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tables/table5.xml" ContentType="application/vnd.openxmlformats-officedocument.spreadsheetml.table+xml"/>
  <Override PartName="/xl/comments16.xml" ContentType="application/vnd.openxmlformats-officedocument.spreadsheetml.comments+xml"/>
  <Override PartName="/xl/tables/table6.xml" ContentType="application/vnd.openxmlformats-officedocument.spreadsheetml.table+xml"/>
  <Override PartName="/xl/comments17.xml" ContentType="application/vnd.openxmlformats-officedocument.spreadsheetml.comments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Z:\EDITAIS PARA EMPRESAS\COLETA DE LIXO\"/>
    </mc:Choice>
  </mc:AlternateContent>
  <xr:revisionPtr revIDLastSave="0" documentId="13_ncr:1_{F630C8B0-3AE9-44A9-8E8C-9F8B45984D99}" xr6:coauthVersionLast="47" xr6:coauthVersionMax="47" xr10:uidLastSave="{00000000-0000-0000-0000-000000000000}"/>
  <bookViews>
    <workbookView xWindow="-120" yWindow="-120" windowWidth="24240" windowHeight="13140" tabRatio="870" firstSheet="10" activeTab="10" xr2:uid="{00000000-000D-0000-FFFF-FFFF00000000}"/>
  </bookViews>
  <sheets>
    <sheet name="SÍNTESE" sheetId="24" state="hidden" r:id="rId1"/>
    <sheet name="TR" sheetId="31" state="hidden" r:id="rId2"/>
    <sheet name="1.VARRICAO_MAN" sheetId="10" state="hidden" r:id="rId3"/>
    <sheet name="2.ROC_MEC_CAP_RASP" sheetId="11" state="hidden" r:id="rId4"/>
    <sheet name="3.PINTURA_MEIO-FIO" sheetId="13" state="hidden" r:id="rId5"/>
    <sheet name="6.DISP. DRENAGEM" sheetId="14" state="hidden" r:id="rId6"/>
    <sheet name="7.PODA" sheetId="15" state="hidden" r:id="rId7"/>
    <sheet name="8.LIMP. RCC E RVOL" sheetId="16" state="hidden" r:id="rId8"/>
    <sheet name="4.LIMP_EVENTOS" sheetId="17" state="hidden" r:id="rId9"/>
    <sheet name="ANEXO_I_SINTESE_COMPOSICAO_CUST" sheetId="37" r:id="rId10"/>
    <sheet name="ANEXO_II_CRONOGRAMA_FF" sheetId="33" r:id="rId11"/>
    <sheet name="ANEXO_IIIa_COLETA_TRANSP_SEDE" sheetId="30" r:id="rId12"/>
    <sheet name="ANEXO_IIIb_CONTEINERES" sheetId="34" r:id="rId13"/>
    <sheet name="ANEXO_IIIc_COLETA_DISTRITOS" sheetId="35" r:id="rId14"/>
    <sheet name="ANEXO_IIId_BDI" sheetId="23" r:id="rId15"/>
    <sheet name="ANEXO_IIIe_ENCARGOS_SOCIAIS" sheetId="32" r:id="rId16"/>
    <sheet name="6.ADM" sheetId="27" state="hidden" r:id="rId17"/>
    <sheet name="QuadroII-NR4" sheetId="28" state="hidden" r:id="rId18"/>
    <sheet name="VARRICAO" sheetId="3" state="hidden" r:id="rId19"/>
    <sheet name="TRATOR" sheetId="6" state="hidden" r:id="rId20"/>
    <sheet name="COSTAL" sheetId="7" state="hidden" r:id="rId21"/>
    <sheet name="RH" sheetId="9" state="hidden" r:id="rId22"/>
    <sheet name="RM" sheetId="20" state="hidden" r:id="rId23"/>
    <sheet name="VEÍCULOS" sheetId="19" state="hidden" r:id="rId24"/>
    <sheet name="COTAÇÕES" sheetId="8" state="hidden" r:id="rId25"/>
    <sheet name="FUNCIONÁRIOS" sheetId="21" state="hidden" r:id="rId26"/>
    <sheet name="SEGUNDA" sheetId="2" state="hidden" r:id="rId27"/>
  </sheets>
  <externalReferences>
    <externalReference r:id="rId28"/>
  </externalReferences>
  <definedNames>
    <definedName name="_xlnm._FilterDatabase" localSheetId="21" hidden="1">RH!$B$7:$I$2237</definedName>
    <definedName name="_xlnm._FilterDatabase" localSheetId="22" hidden="1">RM!$B$3:$G$59</definedName>
    <definedName name="_xlnm.Print_Area" localSheetId="2">'1.VARRICAO_MAN'!$B$1:$H$213</definedName>
    <definedName name="_xlnm.Print_Area" localSheetId="3">'2.ROC_MEC_CAP_RASP'!$B$2:$H$619</definedName>
    <definedName name="_xlnm.Print_Area" localSheetId="4">'3.PINTURA_MEIO-FIO'!$B$1:$H$241</definedName>
    <definedName name="_xlnm.Print_Area" localSheetId="8">'4.LIMP_EVENTOS'!$B$1:$H$193</definedName>
    <definedName name="_xlnm.Print_Area" localSheetId="16">'6.ADM'!$B$1:$H$339</definedName>
    <definedName name="_xlnm.Print_Area" localSheetId="5">'6.DISP. DRENAGEM'!$B$1:$I$338</definedName>
    <definedName name="_xlnm.Print_Area" localSheetId="6">'7.PODA'!$B$1:$I$315</definedName>
    <definedName name="_xlnm.Print_Area" localSheetId="7">'8.LIMP. RCC E RVOL'!$B$1:$I$305</definedName>
    <definedName name="_xlnm.Print_Area" localSheetId="9">ANEXO_I_SINTESE_COMPOSICAO_CUST!$B$2:$J$10</definedName>
    <definedName name="_xlnm.Print_Area" localSheetId="10">ANEXO_II_CRONOGRAMA_FF!$B$2:$AG$32</definedName>
    <definedName name="_xlnm.Print_Area" localSheetId="11">ANEXO_IIIa_COLETA_TRANSP_SEDE!$B$1:$H$297</definedName>
    <definedName name="_xlnm.Print_Area" localSheetId="12">ANEXO_IIIb_CONTEINERES!$B$1:$H$97</definedName>
    <definedName name="_xlnm.Print_Area" localSheetId="13">ANEXO_IIIc_COLETA_DISTRITOS!$B$1:$H$108</definedName>
    <definedName name="_xlnm.Print_Area" localSheetId="14">ANEXO_IIId_BDI!$B$2:$G$16</definedName>
    <definedName name="_xlnm.Print_Area" localSheetId="15">ANEXO_IIIe_ENCARGOS_SOCIAIS!$B$2:$D$46</definedName>
    <definedName name="_xlnm.Print_Area" localSheetId="21">RH!$B$1:$I$2237</definedName>
    <definedName name="_xlnm.Print_Area" localSheetId="0">SÍNTESE!$B$1:$G$13</definedName>
    <definedName name="codigo2" localSheetId="11">#REF!</definedName>
    <definedName name="codigo2" localSheetId="12">#REF!</definedName>
    <definedName name="codigo2" localSheetId="13">#REF!</definedName>
    <definedName name="codigo2">#REF!</definedName>
    <definedName name="PEDESTAL_PARA_CERQUITE" localSheetId="11">#REF!</definedName>
    <definedName name="PEDESTAL_PARA_CERQUITE" localSheetId="12">#REF!</definedName>
    <definedName name="PEDESTAL_PARA_CERQUITE" localSheetId="13">#REF!</definedName>
    <definedName name="PEDESTAL_PARA_CERQUITE">#REF!</definedName>
    <definedName name="_xlnm.Print_Titles" localSheetId="2">'1.VARRICAO_MAN'!$1:$1</definedName>
    <definedName name="_xlnm.Print_Titles" localSheetId="21">RH!$1:$7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72" i="30" l="1"/>
  <c r="G170" i="30"/>
  <c r="G111" i="30"/>
  <c r="H122" i="30"/>
  <c r="G120" i="30"/>
  <c r="H72" i="30"/>
  <c r="H73" i="30"/>
  <c r="G73" i="30"/>
  <c r="G70" i="30"/>
  <c r="H70" i="30"/>
  <c r="G71" i="35"/>
  <c r="D16" i="23"/>
  <c r="H54" i="34"/>
  <c r="H61" i="34" s="1"/>
  <c r="H275" i="30"/>
  <c r="G259" i="30"/>
  <c r="G53" i="30"/>
  <c r="H240" i="30"/>
  <c r="H247" i="30" s="1"/>
  <c r="H284" i="30"/>
  <c r="G115" i="30"/>
  <c r="G114" i="30"/>
  <c r="H79" i="35" l="1"/>
  <c r="H74" i="35"/>
  <c r="G190" i="30"/>
  <c r="G191" i="30"/>
  <c r="G192" i="30"/>
  <c r="G193" i="30"/>
  <c r="G194" i="30"/>
  <c r="G196" i="30"/>
  <c r="G197" i="30"/>
  <c r="G198" i="30"/>
  <c r="G189" i="30"/>
  <c r="G188" i="30"/>
  <c r="G112" i="30"/>
  <c r="H84" i="30"/>
  <c r="H83" i="30"/>
  <c r="G82" i="30" s="1"/>
  <c r="H82" i="30" s="1"/>
  <c r="F80" i="30"/>
  <c r="F83" i="30"/>
  <c r="F81" i="30"/>
  <c r="G65" i="30"/>
  <c r="G64" i="30"/>
  <c r="H32" i="30" l="1"/>
  <c r="H33" i="30"/>
  <c r="H34" i="30"/>
  <c r="H6" i="35" l="1"/>
  <c r="F8" i="37" l="1"/>
  <c r="F8" i="35"/>
  <c r="H18" i="35" s="1"/>
  <c r="F44" i="35" s="1"/>
  <c r="H44" i="35" s="1"/>
  <c r="F73" i="34"/>
  <c r="H73" i="34" s="1"/>
  <c r="E23" i="34"/>
  <c r="AE19" i="33"/>
  <c r="AC19" i="33"/>
  <c r="AA19" i="33"/>
  <c r="Y19" i="33"/>
  <c r="W19" i="33"/>
  <c r="U19" i="33"/>
  <c r="S19" i="33"/>
  <c r="Q19" i="33"/>
  <c r="O19" i="33"/>
  <c r="M19" i="33"/>
  <c r="K19" i="33"/>
  <c r="I19" i="33"/>
  <c r="J19" i="33" s="1"/>
  <c r="AE18" i="33"/>
  <c r="AC18" i="33"/>
  <c r="AA18" i="33"/>
  <c r="Y18" i="33"/>
  <c r="W18" i="33"/>
  <c r="U18" i="33"/>
  <c r="S18" i="33"/>
  <c r="Q18" i="33"/>
  <c r="O18" i="33"/>
  <c r="M18" i="33"/>
  <c r="K18" i="33"/>
  <c r="I18" i="33"/>
  <c r="J18" i="33" s="1"/>
  <c r="B96" i="35"/>
  <c r="B95" i="35"/>
  <c r="B94" i="35"/>
  <c r="B93" i="35"/>
  <c r="B54" i="35"/>
  <c r="B44" i="35"/>
  <c r="H54" i="35"/>
  <c r="H23" i="35"/>
  <c r="B85" i="34"/>
  <c r="B84" i="34"/>
  <c r="B83" i="34"/>
  <c r="B82" i="34"/>
  <c r="B73" i="34"/>
  <c r="H56" i="34"/>
  <c r="H57" i="34" s="1"/>
  <c r="H65" i="34"/>
  <c r="H63" i="34" s="1"/>
  <c r="B50" i="34"/>
  <c r="B49" i="34"/>
  <c r="B44" i="34"/>
  <c r="H23" i="34"/>
  <c r="H66" i="34" s="1"/>
  <c r="F44" i="34"/>
  <c r="H44" i="34" s="1"/>
  <c r="L19" i="33" l="1"/>
  <c r="H58" i="34"/>
  <c r="H55" i="34" s="1"/>
  <c r="N19" i="33"/>
  <c r="P19" i="33" s="1"/>
  <c r="R19" i="33" s="1"/>
  <c r="T19" i="33" s="1"/>
  <c r="V19" i="33" s="1"/>
  <c r="X19" i="33" s="1"/>
  <c r="Z19" i="33" s="1"/>
  <c r="AB19" i="33" s="1"/>
  <c r="AD19" i="33" s="1"/>
  <c r="L18" i="33"/>
  <c r="N18" i="33" s="1"/>
  <c r="P18" i="33" s="1"/>
  <c r="R18" i="33"/>
  <c r="T18" i="33" s="1"/>
  <c r="V18" i="33" s="1"/>
  <c r="X18" i="33" s="1"/>
  <c r="Z18" i="33" s="1"/>
  <c r="AB18" i="33" s="1"/>
  <c r="AD18" i="33" s="1"/>
  <c r="H66" i="35"/>
  <c r="H35" i="35"/>
  <c r="H46" i="35"/>
  <c r="H94" i="35" s="1"/>
  <c r="H46" i="34"/>
  <c r="H83" i="34" s="1"/>
  <c r="H64" i="35"/>
  <c r="H85" i="35"/>
  <c r="H62" i="35"/>
  <c r="H56" i="35"/>
  <c r="H96" i="35" s="1"/>
  <c r="G35" i="35"/>
  <c r="H75" i="34"/>
  <c r="H85" i="34" s="1"/>
  <c r="G35" i="34"/>
  <c r="H62" i="34"/>
  <c r="H59" i="34" s="1"/>
  <c r="H35" i="34"/>
  <c r="H84" i="35" l="1"/>
  <c r="H73" i="35" s="1"/>
  <c r="H50" i="35"/>
  <c r="H95" i="35" s="1"/>
  <c r="H50" i="34"/>
  <c r="H67" i="34" s="1"/>
  <c r="H69" i="34" s="1"/>
  <c r="H84" i="34" s="1"/>
  <c r="H79" i="34"/>
  <c r="H86" i="34" s="1"/>
  <c r="H40" i="34" l="1"/>
  <c r="H82" i="34" s="1"/>
  <c r="H87" i="34" s="1"/>
  <c r="F90" i="34" l="1"/>
  <c r="H40" i="35"/>
  <c r="H93" i="35" s="1"/>
  <c r="H202" i="30" l="1"/>
  <c r="H201" i="30"/>
  <c r="H200" i="30"/>
  <c r="H199" i="30"/>
  <c r="H198" i="30"/>
  <c r="H197" i="30"/>
  <c r="H196" i="30"/>
  <c r="H195" i="30"/>
  <c r="H194" i="30"/>
  <c r="H193" i="30"/>
  <c r="H192" i="30"/>
  <c r="H191" i="30"/>
  <c r="H190" i="30"/>
  <c r="H189" i="30"/>
  <c r="H188" i="30"/>
  <c r="H152" i="30"/>
  <c r="H151" i="30"/>
  <c r="H150" i="30"/>
  <c r="H149" i="30"/>
  <c r="H148" i="30"/>
  <c r="H147" i="30"/>
  <c r="H146" i="30"/>
  <c r="H145" i="30"/>
  <c r="H144" i="30"/>
  <c r="H143" i="30"/>
  <c r="H142" i="30"/>
  <c r="H141" i="30"/>
  <c r="H140" i="30"/>
  <c r="H139" i="30"/>
  <c r="H138" i="30"/>
  <c r="H98" i="30"/>
  <c r="H99" i="30"/>
  <c r="H100" i="30"/>
  <c r="H101" i="30"/>
  <c r="H97" i="30" l="1"/>
  <c r="H96" i="30"/>
  <c r="H95" i="30"/>
  <c r="B234" i="30" l="1"/>
  <c r="B60" i="35" s="1"/>
  <c r="B233" i="30"/>
  <c r="B59" i="35" s="1"/>
  <c r="B284" i="30"/>
  <c r="E14" i="30"/>
  <c r="E15" i="30" s="1"/>
  <c r="H258" i="30" l="1"/>
  <c r="H222" i="30"/>
  <c r="H70" i="35" l="1"/>
  <c r="H71" i="35" s="1"/>
  <c r="H53" i="30"/>
  <c r="E26" i="30"/>
  <c r="H242" i="30"/>
  <c r="H35" i="30"/>
  <c r="Q31" i="33"/>
  <c r="AE17" i="33"/>
  <c r="AE21" i="33" s="1"/>
  <c r="AC17" i="33"/>
  <c r="AC21" i="33" s="1"/>
  <c r="AA17" i="33"/>
  <c r="AA21" i="33" s="1"/>
  <c r="Y17" i="33"/>
  <c r="Y21" i="33" s="1"/>
  <c r="W17" i="33"/>
  <c r="W21" i="33" s="1"/>
  <c r="U17" i="33"/>
  <c r="U21" i="33" s="1"/>
  <c r="S17" i="33"/>
  <c r="S21" i="33" s="1"/>
  <c r="Q17" i="33"/>
  <c r="O17" i="33"/>
  <c r="M17" i="33"/>
  <c r="K17" i="33"/>
  <c r="I17" i="33"/>
  <c r="J17" i="33" s="1"/>
  <c r="H21" i="33"/>
  <c r="C30" i="33"/>
  <c r="D10" i="33"/>
  <c r="O8" i="33"/>
  <c r="H72" i="35" l="1"/>
  <c r="H68" i="35" s="1"/>
  <c r="H60" i="35" s="1"/>
  <c r="L17" i="33"/>
  <c r="N17" i="33" s="1"/>
  <c r="P17" i="33" s="1"/>
  <c r="R17" i="33" s="1"/>
  <c r="T17" i="33" s="1"/>
  <c r="V17" i="33" s="1"/>
  <c r="X17" i="33" s="1"/>
  <c r="Z17" i="33" s="1"/>
  <c r="AB17" i="33" s="1"/>
  <c r="AD17" i="33" s="1"/>
  <c r="AF17" i="33" s="1"/>
  <c r="O21" i="33"/>
  <c r="I21" i="33"/>
  <c r="H22" i="33"/>
  <c r="M21" i="33"/>
  <c r="Q21" i="33"/>
  <c r="K21" i="33"/>
  <c r="F21" i="33"/>
  <c r="H88" i="35" l="1"/>
  <c r="H90" i="35" s="1"/>
  <c r="H97" i="35" s="1"/>
  <c r="H98" i="35" s="1"/>
  <c r="F101" i="35" s="1"/>
  <c r="F22" i="33"/>
  <c r="G22" i="33" s="1"/>
  <c r="G21" i="33"/>
  <c r="J21" i="33"/>
  <c r="L21" i="33" s="1"/>
  <c r="N21" i="33" s="1"/>
  <c r="P21" i="33" s="1"/>
  <c r="R21" i="33" s="1"/>
  <c r="T21" i="33" s="1"/>
  <c r="V21" i="33" s="1"/>
  <c r="X21" i="33" s="1"/>
  <c r="Z21" i="33" s="1"/>
  <c r="AB21" i="33" s="1"/>
  <c r="AD21" i="33" s="1"/>
  <c r="AF21" i="33" s="1"/>
  <c r="B215" i="30" l="1"/>
  <c r="B216" i="30"/>
  <c r="H36" i="30"/>
  <c r="F216" i="30" s="1"/>
  <c r="H216" i="30" s="1"/>
  <c r="F215" i="30"/>
  <c r="H215" i="30" s="1"/>
  <c r="D38" i="32"/>
  <c r="D30" i="32"/>
  <c r="D17" i="32"/>
  <c r="G55" i="30"/>
  <c r="H205" i="30"/>
  <c r="H184" i="30"/>
  <c r="B181" i="30"/>
  <c r="F180" i="30"/>
  <c r="F183" i="30" s="1"/>
  <c r="H183" i="30" s="1"/>
  <c r="G182" i="30" s="1"/>
  <c r="H182" i="30" s="1"/>
  <c r="H170" i="30"/>
  <c r="G168" i="30"/>
  <c r="H168" i="30" s="1"/>
  <c r="G167" i="30"/>
  <c r="H167" i="30" s="1"/>
  <c r="G165" i="30"/>
  <c r="H165" i="30" s="1"/>
  <c r="G164" i="30"/>
  <c r="H164" i="30" s="1"/>
  <c r="H161" i="30"/>
  <c r="G250" i="30"/>
  <c r="H243" i="30"/>
  <c r="B214" i="30"/>
  <c r="H134" i="30"/>
  <c r="B131" i="30"/>
  <c r="F130" i="30"/>
  <c r="F133" i="30" s="1"/>
  <c r="H133" i="30" s="1"/>
  <c r="H120" i="30"/>
  <c r="G118" i="30"/>
  <c r="H118" i="30" s="1"/>
  <c r="G117" i="30"/>
  <c r="H117" i="30" s="1"/>
  <c r="H115" i="30"/>
  <c r="H114" i="30"/>
  <c r="H111" i="30"/>
  <c r="H61" i="30"/>
  <c r="H88" i="30"/>
  <c r="H89" i="30"/>
  <c r="H90" i="30"/>
  <c r="H91" i="30"/>
  <c r="H92" i="30"/>
  <c r="H93" i="30"/>
  <c r="H94" i="30"/>
  <c r="H102" i="30"/>
  <c r="G121" i="30" l="1"/>
  <c r="H121" i="30" s="1"/>
  <c r="G123" i="30" s="1"/>
  <c r="H123" i="30" s="1"/>
  <c r="H124" i="30" s="1"/>
  <c r="D43" i="32"/>
  <c r="D45" i="32" s="1"/>
  <c r="F75" i="30" s="1"/>
  <c r="F125" i="30" s="1"/>
  <c r="G132" i="30"/>
  <c r="H132" i="30" s="1"/>
  <c r="H104" i="30"/>
  <c r="H248" i="30"/>
  <c r="H245" i="30" s="1"/>
  <c r="H273" i="30"/>
  <c r="H244" i="30"/>
  <c r="H241" i="30" s="1"/>
  <c r="H203" i="30"/>
  <c r="G171" i="30"/>
  <c r="H171" i="30" s="1"/>
  <c r="F181" i="30"/>
  <c r="G181" i="30"/>
  <c r="F131" i="30"/>
  <c r="G131" i="30"/>
  <c r="H154" i="30"/>
  <c r="F175" i="30" l="1"/>
  <c r="H181" i="30"/>
  <c r="G178" i="30" s="1"/>
  <c r="H178" i="30" s="1"/>
  <c r="G173" i="30"/>
  <c r="H173" i="30" s="1"/>
  <c r="H174" i="30" s="1"/>
  <c r="H131" i="30"/>
  <c r="G128" i="30" s="1"/>
  <c r="H128" i="30" s="1"/>
  <c r="G125" i="30"/>
  <c r="H125" i="30" s="1"/>
  <c r="H126" i="30" l="1"/>
  <c r="H110" i="30" s="1"/>
  <c r="G175" i="30"/>
  <c r="H175" i="30" s="1"/>
  <c r="H176" i="30" s="1"/>
  <c r="H160" i="30" s="1"/>
  <c r="H206" i="30" s="1"/>
  <c r="H48" i="30" l="1"/>
  <c r="H47" i="30"/>
  <c r="H46" i="30"/>
  <c r="H214" i="30"/>
  <c r="N16" i="31" l="1"/>
  <c r="P6" i="31"/>
  <c r="P5" i="31"/>
  <c r="K4" i="31"/>
  <c r="N6" i="31" s="1"/>
  <c r="K5" i="31"/>
  <c r="N7" i="31" s="1"/>
  <c r="K6" i="31"/>
  <c r="N3" i="31" s="1"/>
  <c r="K7" i="31"/>
  <c r="N5" i="31" s="1"/>
  <c r="K8" i="31"/>
  <c r="N8" i="31" s="1"/>
  <c r="K9" i="31"/>
  <c r="N9" i="31" s="1"/>
  <c r="K10" i="31"/>
  <c r="N12" i="31" s="1"/>
  <c r="K11" i="31"/>
  <c r="K12" i="31"/>
  <c r="N11" i="31" s="1"/>
  <c r="K13" i="31"/>
  <c r="K14" i="31"/>
  <c r="K15" i="31"/>
  <c r="K16" i="31"/>
  <c r="K17" i="31"/>
  <c r="K18" i="31"/>
  <c r="K19" i="31"/>
  <c r="K20" i="31"/>
  <c r="K21" i="31"/>
  <c r="N14" i="31" s="1"/>
  <c r="K22" i="31"/>
  <c r="N15" i="31" s="1"/>
  <c r="K23" i="31"/>
  <c r="N4" i="31" s="1"/>
  <c r="K24" i="31"/>
  <c r="K25" i="31"/>
  <c r="K26" i="31"/>
  <c r="K27" i="31"/>
  <c r="K28" i="31"/>
  <c r="K29" i="31"/>
  <c r="K30" i="31"/>
  <c r="K31" i="31"/>
  <c r="K32" i="31"/>
  <c r="K33" i="31"/>
  <c r="K34" i="31"/>
  <c r="K35" i="31"/>
  <c r="N13" i="31" s="1"/>
  <c r="K36" i="31"/>
  <c r="K37" i="31"/>
  <c r="K38" i="31"/>
  <c r="K39" i="31"/>
  <c r="K40" i="31"/>
  <c r="K41" i="31"/>
  <c r="K42" i="31"/>
  <c r="K43" i="31"/>
  <c r="K44" i="31"/>
  <c r="K45" i="31"/>
  <c r="K46" i="31"/>
  <c r="K47" i="31"/>
  <c r="K48" i="31"/>
  <c r="K49" i="31"/>
  <c r="K50" i="31"/>
  <c r="K51" i="31"/>
  <c r="K52" i="31"/>
  <c r="K53" i="31"/>
  <c r="K54" i="31"/>
  <c r="K55" i="31"/>
  <c r="K56" i="31"/>
  <c r="K57" i="31"/>
  <c r="K58" i="31"/>
  <c r="K59" i="31"/>
  <c r="K60" i="31"/>
  <c r="K61" i="31"/>
  <c r="K62" i="31"/>
  <c r="K63" i="31"/>
  <c r="K64" i="31"/>
  <c r="K65" i="31"/>
  <c r="K66" i="31"/>
  <c r="K67" i="31"/>
  <c r="K68" i="31"/>
  <c r="K69" i="31"/>
  <c r="K70" i="31"/>
  <c r="K71" i="31"/>
  <c r="K72" i="31"/>
  <c r="K73" i="31"/>
  <c r="K3" i="31"/>
  <c r="N10" i="31" s="1"/>
  <c r="D25" i="31"/>
  <c r="D26" i="31"/>
  <c r="D27" i="31"/>
  <c r="D28" i="31"/>
  <c r="D29" i="31"/>
  <c r="D30" i="31"/>
  <c r="D31" i="31"/>
  <c r="D32" i="31"/>
  <c r="D33" i="31"/>
  <c r="D34" i="31"/>
  <c r="D35" i="31"/>
  <c r="D36" i="31"/>
  <c r="D37" i="31"/>
  <c r="D38" i="31"/>
  <c r="H22" i="10" l="1"/>
  <c r="G303" i="27" l="1"/>
  <c r="G290" i="27"/>
  <c r="G277" i="27"/>
  <c r="G9" i="9" l="1"/>
  <c r="E442" i="11" l="1"/>
  <c r="E448" i="11"/>
  <c r="E450" i="11" s="1"/>
  <c r="G453" i="11" s="1"/>
  <c r="E457" i="11"/>
  <c r="B503" i="11"/>
  <c r="G504" i="11"/>
  <c r="F506" i="11"/>
  <c r="F509" i="11"/>
  <c r="F512" i="11"/>
  <c r="F517" i="11"/>
  <c r="G521" i="11"/>
  <c r="F522" i="11"/>
  <c r="F525" i="11" s="1"/>
  <c r="B523" i="11"/>
  <c r="G525" i="11"/>
  <c r="G526" i="11"/>
  <c r="H526" i="11" s="1"/>
  <c r="B532" i="11"/>
  <c r="F544" i="11" s="1"/>
  <c r="G533" i="11"/>
  <c r="F535" i="11"/>
  <c r="F538" i="11"/>
  <c r="F541" i="11"/>
  <c r="F546" i="11"/>
  <c r="G550" i="11"/>
  <c r="F551" i="11"/>
  <c r="F552" i="11" s="1"/>
  <c r="B552" i="11"/>
  <c r="G554" i="11"/>
  <c r="G555" i="11"/>
  <c r="H555" i="11" s="1"/>
  <c r="H576" i="11"/>
  <c r="B580" i="11"/>
  <c r="B581" i="11"/>
  <c r="B582" i="11"/>
  <c r="B583" i="11"/>
  <c r="B584" i="11"/>
  <c r="B585" i="11"/>
  <c r="B586" i="11"/>
  <c r="B587" i="11"/>
  <c r="B588" i="11"/>
  <c r="B594" i="11"/>
  <c r="E200" i="11"/>
  <c r="E203" i="11"/>
  <c r="E211" i="11"/>
  <c r="F214" i="11" s="1"/>
  <c r="E226" i="11"/>
  <c r="H245" i="11"/>
  <c r="H261" i="11"/>
  <c r="F424" i="11" s="1"/>
  <c r="H262" i="11"/>
  <c r="F425" i="11" s="1"/>
  <c r="B276" i="11"/>
  <c r="F288" i="11" s="1"/>
  <c r="G277" i="11"/>
  <c r="F279" i="11"/>
  <c r="F282" i="11"/>
  <c r="F285" i="11"/>
  <c r="F290" i="11"/>
  <c r="G294" i="11"/>
  <c r="F295" i="11"/>
  <c r="F296" i="11" s="1"/>
  <c r="B296" i="11"/>
  <c r="G298" i="11"/>
  <c r="G299" i="11"/>
  <c r="H299" i="11" s="1"/>
  <c r="H300" i="11"/>
  <c r="B305" i="11"/>
  <c r="G305" i="11" s="1"/>
  <c r="G312" i="11" s="1"/>
  <c r="H312" i="11" s="1"/>
  <c r="G306" i="11"/>
  <c r="F308" i="11"/>
  <c r="F311" i="11"/>
  <c r="F314" i="11"/>
  <c r="F319" i="11"/>
  <c r="G323" i="11"/>
  <c r="F324" i="11"/>
  <c r="F327" i="11" s="1"/>
  <c r="B325" i="11"/>
  <c r="G327" i="11"/>
  <c r="G328" i="11"/>
  <c r="H328" i="11" s="1"/>
  <c r="B334" i="11"/>
  <c r="F346" i="11" s="1"/>
  <c r="G335" i="11"/>
  <c r="F337" i="11"/>
  <c r="F340" i="11"/>
  <c r="F343" i="11"/>
  <c r="F348" i="11"/>
  <c r="G352" i="11"/>
  <c r="F353" i="11"/>
  <c r="B354" i="11"/>
  <c r="G356" i="11"/>
  <c r="G357" i="11"/>
  <c r="H357" i="11" s="1"/>
  <c r="H381" i="11"/>
  <c r="H387" i="11"/>
  <c r="H397" i="11"/>
  <c r="H403" i="11"/>
  <c r="B431" i="11"/>
  <c r="B432" i="11"/>
  <c r="B433" i="11"/>
  <c r="B434" i="11"/>
  <c r="H406" i="11" l="1"/>
  <c r="Q6" i="31"/>
  <c r="T5" i="31" s="1"/>
  <c r="F523" i="11"/>
  <c r="G446" i="11"/>
  <c r="E460" i="11" s="1"/>
  <c r="H472" i="11" s="1"/>
  <c r="F567" i="11" s="1"/>
  <c r="G532" i="11"/>
  <c r="G535" i="11" s="1"/>
  <c r="H535" i="11" s="1"/>
  <c r="H525" i="11"/>
  <c r="G524" i="11" s="1"/>
  <c r="H524" i="11" s="1"/>
  <c r="G334" i="11"/>
  <c r="G341" i="11" s="1"/>
  <c r="H341" i="11" s="1"/>
  <c r="G503" i="11"/>
  <c r="F515" i="11"/>
  <c r="F554" i="11"/>
  <c r="H554" i="11" s="1"/>
  <c r="G553" i="11" s="1"/>
  <c r="H553" i="11" s="1"/>
  <c r="F325" i="11"/>
  <c r="F205" i="11"/>
  <c r="H259" i="11" s="1"/>
  <c r="F422" i="11" s="1"/>
  <c r="F317" i="11"/>
  <c r="G309" i="11"/>
  <c r="H309" i="11" s="1"/>
  <c r="F298" i="11"/>
  <c r="H298" i="11" s="1"/>
  <c r="G297" i="11" s="1"/>
  <c r="H297" i="11" s="1"/>
  <c r="G314" i="11"/>
  <c r="H314" i="11" s="1"/>
  <c r="H327" i="11"/>
  <c r="G326" i="11" s="1"/>
  <c r="H326" i="11" s="1"/>
  <c r="G276" i="11"/>
  <c r="G280" i="11" s="1"/>
  <c r="H280" i="11" s="1"/>
  <c r="F354" i="11"/>
  <c r="F356" i="11"/>
  <c r="H356" i="11" s="1"/>
  <c r="G355" i="11" s="1"/>
  <c r="H355" i="11" s="1"/>
  <c r="G308" i="11"/>
  <c r="H308" i="11" s="1"/>
  <c r="G325" i="11"/>
  <c r="H305" i="11"/>
  <c r="G311" i="11"/>
  <c r="H311" i="11" s="1"/>
  <c r="B181" i="11"/>
  <c r="B207" i="13"/>
  <c r="B208" i="13"/>
  <c r="G354" i="11" l="1"/>
  <c r="H354" i="11" s="1"/>
  <c r="G351" i="11" s="1"/>
  <c r="H351" i="11" s="1"/>
  <c r="G337" i="11"/>
  <c r="H337" i="11" s="1"/>
  <c r="G552" i="11"/>
  <c r="H552" i="11" s="1"/>
  <c r="G549" i="11" s="1"/>
  <c r="H549" i="11" s="1"/>
  <c r="H532" i="11"/>
  <c r="E462" i="11"/>
  <c r="G536" i="11"/>
  <c r="H536" i="11" s="1"/>
  <c r="G541" i="11"/>
  <c r="H541" i="11" s="1"/>
  <c r="H471" i="11"/>
  <c r="F566" i="11" s="1"/>
  <c r="H468" i="11"/>
  <c r="F563" i="11" s="1"/>
  <c r="H473" i="11"/>
  <c r="F568" i="11" s="1"/>
  <c r="H527" i="11"/>
  <c r="E461" i="11"/>
  <c r="H470" i="11"/>
  <c r="F565" i="11" s="1"/>
  <c r="H469" i="11"/>
  <c r="F564" i="11" s="1"/>
  <c r="G539" i="11"/>
  <c r="H539" i="11" s="1"/>
  <c r="G538" i="11"/>
  <c r="H538" i="11" s="1"/>
  <c r="G338" i="11"/>
  <c r="H338" i="11" s="1"/>
  <c r="G343" i="11"/>
  <c r="H343" i="11" s="1"/>
  <c r="H334" i="11"/>
  <c r="F207" i="11"/>
  <c r="H268" i="11" s="1"/>
  <c r="G340" i="11"/>
  <c r="H340" i="11" s="1"/>
  <c r="G506" i="11"/>
  <c r="H506" i="11" s="1"/>
  <c r="G523" i="11"/>
  <c r="H523" i="11" s="1"/>
  <c r="G520" i="11" s="1"/>
  <c r="H520" i="11" s="1"/>
  <c r="H503" i="11"/>
  <c r="G509" i="11"/>
  <c r="H509" i="11" s="1"/>
  <c r="G507" i="11"/>
  <c r="H507" i="11" s="1"/>
  <c r="G512" i="11"/>
  <c r="H512" i="11" s="1"/>
  <c r="G510" i="11"/>
  <c r="H510" i="11" s="1"/>
  <c r="E224" i="11"/>
  <c r="H237" i="11" s="1"/>
  <c r="F370" i="11" s="1"/>
  <c r="G296" i="11"/>
  <c r="H296" i="11" s="1"/>
  <c r="G293" i="11" s="1"/>
  <c r="H293" i="11" s="1"/>
  <c r="H325" i="11"/>
  <c r="G322" i="11" s="1"/>
  <c r="H322" i="11" s="1"/>
  <c r="G315" i="11"/>
  <c r="H315" i="11" s="1"/>
  <c r="G317" i="11" s="1"/>
  <c r="H317" i="11" s="1"/>
  <c r="H318" i="11" s="1"/>
  <c r="H276" i="11"/>
  <c r="G283" i="11"/>
  <c r="H283" i="11" s="1"/>
  <c r="G279" i="11"/>
  <c r="H279" i="11" s="1"/>
  <c r="G282" i="11"/>
  <c r="H282" i="11" s="1"/>
  <c r="G285" i="11"/>
  <c r="H285" i="11" s="1"/>
  <c r="H233" i="27"/>
  <c r="G232" i="27"/>
  <c r="H232" i="27" s="1"/>
  <c r="G231" i="27"/>
  <c r="B229" i="27"/>
  <c r="F228" i="27"/>
  <c r="F229" i="27" s="1"/>
  <c r="G227" i="27"/>
  <c r="F223" i="27"/>
  <c r="F221" i="27"/>
  <c r="F218" i="27"/>
  <c r="F215" i="27"/>
  <c r="F212" i="27"/>
  <c r="G210" i="27"/>
  <c r="G209" i="27"/>
  <c r="G218" i="27" s="1"/>
  <c r="H218" i="27" s="1"/>
  <c r="F432" i="11" l="1"/>
  <c r="W11" i="31"/>
  <c r="X11" i="31" s="1"/>
  <c r="G542" i="11"/>
  <c r="H542" i="11" s="1"/>
  <c r="G544" i="11" s="1"/>
  <c r="H544" i="11" s="1"/>
  <c r="H545" i="11" s="1"/>
  <c r="G546" i="11" s="1"/>
  <c r="H546" i="11" s="1"/>
  <c r="H547" i="11" s="1"/>
  <c r="H531" i="11" s="1"/>
  <c r="H270" i="11"/>
  <c r="H556" i="11"/>
  <c r="E463" i="11"/>
  <c r="H244" i="11"/>
  <c r="G344" i="11"/>
  <c r="H344" i="11" s="1"/>
  <c r="G346" i="11" s="1"/>
  <c r="H346" i="11" s="1"/>
  <c r="H347" i="11" s="1"/>
  <c r="G348" i="11" s="1"/>
  <c r="H348" i="11" s="1"/>
  <c r="H349" i="11" s="1"/>
  <c r="H333" i="11" s="1"/>
  <c r="H269" i="11"/>
  <c r="H260" i="11"/>
  <c r="F423" i="11" s="1"/>
  <c r="H233" i="11"/>
  <c r="F366" i="11" s="1"/>
  <c r="H236" i="11"/>
  <c r="F369" i="11" s="1"/>
  <c r="G513" i="11"/>
  <c r="H513" i="11" s="1"/>
  <c r="G515" i="11" s="1"/>
  <c r="H515" i="11" s="1"/>
  <c r="H516" i="11" s="1"/>
  <c r="H329" i="11"/>
  <c r="H235" i="11"/>
  <c r="F368" i="11" s="1"/>
  <c r="E225" i="11"/>
  <c r="H358" i="11" s="1"/>
  <c r="H234" i="11"/>
  <c r="F367" i="11" s="1"/>
  <c r="H238" i="11"/>
  <c r="F371" i="11" s="1"/>
  <c r="H232" i="11"/>
  <c r="F365" i="11" s="1"/>
  <c r="G286" i="11"/>
  <c r="H286" i="11" s="1"/>
  <c r="G288" i="11" s="1"/>
  <c r="H288" i="11" s="1"/>
  <c r="H289" i="11" s="1"/>
  <c r="G290" i="11" s="1"/>
  <c r="H290" i="11" s="1"/>
  <c r="H291" i="11" s="1"/>
  <c r="H275" i="11" s="1"/>
  <c r="H301" i="11" s="1"/>
  <c r="G319" i="11"/>
  <c r="H319" i="11" s="1"/>
  <c r="H320" i="11" s="1"/>
  <c r="H304" i="11" s="1"/>
  <c r="F231" i="27"/>
  <c r="H231" i="27" s="1"/>
  <c r="G230" i="27" s="1"/>
  <c r="H230" i="27" s="1"/>
  <c r="G216" i="27"/>
  <c r="H216" i="27" s="1"/>
  <c r="G229" i="27"/>
  <c r="H229" i="27" s="1"/>
  <c r="G226" i="27" s="1"/>
  <c r="H226" i="27" s="1"/>
  <c r="G212" i="27"/>
  <c r="H212" i="27" s="1"/>
  <c r="H209" i="27"/>
  <c r="G215" i="27"/>
  <c r="H215" i="27" s="1"/>
  <c r="G213" i="27"/>
  <c r="H213" i="27" s="1"/>
  <c r="F434" i="11" l="1"/>
  <c r="W13" i="31"/>
  <c r="X13" i="31" s="1"/>
  <c r="H390" i="11"/>
  <c r="Q5" i="31"/>
  <c r="F433" i="11"/>
  <c r="W12" i="31"/>
  <c r="X12" i="31" s="1"/>
  <c r="H557" i="11"/>
  <c r="H483" i="11"/>
  <c r="F580" i="11" s="1"/>
  <c r="H488" i="11"/>
  <c r="F585" i="11" s="1"/>
  <c r="H490" i="11"/>
  <c r="F587" i="11" s="1"/>
  <c r="H487" i="11"/>
  <c r="F584" i="11" s="1"/>
  <c r="H496" i="11"/>
  <c r="H486" i="11"/>
  <c r="F583" i="11" s="1"/>
  <c r="H491" i="11"/>
  <c r="F588" i="11" s="1"/>
  <c r="H485" i="11"/>
  <c r="F582" i="11" s="1"/>
  <c r="H484" i="11"/>
  <c r="F581" i="11" s="1"/>
  <c r="H489" i="11"/>
  <c r="F586" i="11" s="1"/>
  <c r="E227" i="11"/>
  <c r="H250" i="11" s="1"/>
  <c r="F413" i="11" s="1"/>
  <c r="G517" i="11"/>
  <c r="H517" i="11" s="1"/>
  <c r="H518" i="11" s="1"/>
  <c r="H502" i="11" s="1"/>
  <c r="H528" i="11" s="1"/>
  <c r="H559" i="11" s="1"/>
  <c r="H330" i="11"/>
  <c r="H359" i="11"/>
  <c r="G219" i="27"/>
  <c r="H219" i="27" s="1"/>
  <c r="G221" i="27" s="1"/>
  <c r="H221" i="27" s="1"/>
  <c r="H222" i="27" s="1"/>
  <c r="F57" i="21"/>
  <c r="H267" i="11" l="1"/>
  <c r="F431" i="11"/>
  <c r="W10" i="31"/>
  <c r="X10" i="31" s="1"/>
  <c r="F594" i="11"/>
  <c r="W14" i="31"/>
  <c r="X14" i="31" s="1"/>
  <c r="H254" i="11"/>
  <c r="F417" i="11" s="1"/>
  <c r="H256" i="11"/>
  <c r="F419" i="11" s="1"/>
  <c r="H258" i="11"/>
  <c r="F421" i="11" s="1"/>
  <c r="H252" i="11"/>
  <c r="F415" i="11" s="1"/>
  <c r="H257" i="11"/>
  <c r="F420" i="11" s="1"/>
  <c r="H253" i="11"/>
  <c r="F416" i="11" s="1"/>
  <c r="H251" i="11"/>
  <c r="F414" i="11" s="1"/>
  <c r="H361" i="11"/>
  <c r="H239" i="11"/>
  <c r="F372" i="11" s="1"/>
  <c r="H255" i="11"/>
  <c r="F418" i="11" s="1"/>
  <c r="G223" i="27"/>
  <c r="H223" i="27" s="1"/>
  <c r="H224" i="27" s="1"/>
  <c r="H208" i="27" s="1"/>
  <c r="H234" i="27" s="1"/>
  <c r="B228" i="30"/>
  <c r="B197" i="10"/>
  <c r="B266" i="27" l="1"/>
  <c r="B227" i="30"/>
  <c r="H54" i="10"/>
  <c r="C5" i="31" s="1"/>
  <c r="D5" i="31" s="1"/>
  <c r="E212" i="10" l="1"/>
  <c r="C31" i="10"/>
  <c r="D31" i="10"/>
  <c r="B285" i="30" l="1"/>
  <c r="B226" i="30"/>
  <c r="F192" i="17"/>
  <c r="C8" i="24" s="1"/>
  <c r="E15" i="17"/>
  <c r="B177" i="17"/>
  <c r="B168" i="17"/>
  <c r="B167" i="17"/>
  <c r="B224" i="13"/>
  <c r="B215" i="13"/>
  <c r="B214" i="13"/>
  <c r="D32" i="10" l="1"/>
  <c r="D36" i="10" s="1"/>
  <c r="B192" i="11" l="1"/>
  <c r="B189" i="11"/>
  <c r="B190" i="11"/>
  <c r="B191" i="11"/>
  <c r="B188" i="11"/>
  <c r="B188" i="10" l="1"/>
  <c r="B187" i="10"/>
  <c r="H163" i="10" l="1"/>
  <c r="J53" i="21" l="1"/>
  <c r="J50" i="21"/>
  <c r="J52" i="21"/>
  <c r="J51" i="21"/>
  <c r="B100" i="11"/>
  <c r="B129" i="11"/>
  <c r="B123" i="13"/>
  <c r="B109" i="11"/>
  <c r="B80" i="11"/>
  <c r="J54" i="21" l="1"/>
  <c r="F48" i="9"/>
  <c r="F50" i="9"/>
  <c r="G59" i="9"/>
  <c r="H59" i="9" s="1"/>
  <c r="G58" i="9"/>
  <c r="G54" i="9"/>
  <c r="G37" i="9"/>
  <c r="G36" i="9"/>
  <c r="B56" i="9"/>
  <c r="F45" i="9"/>
  <c r="F41" i="9"/>
  <c r="F42" i="9" s="1"/>
  <c r="F40" i="9"/>
  <c r="G45" i="9" l="1"/>
  <c r="H45" i="9" s="1"/>
  <c r="G43" i="9"/>
  <c r="H43" i="9" s="1"/>
  <c r="G40" i="9"/>
  <c r="H40" i="9" s="1"/>
  <c r="G42" i="9"/>
  <c r="H42" i="9" s="1"/>
  <c r="H36" i="9"/>
  <c r="G39" i="9"/>
  <c r="F22" i="21" l="1"/>
  <c r="I22" i="21" s="1"/>
  <c r="H55" i="21"/>
  <c r="H56" i="21" s="1"/>
  <c r="F58" i="21" l="1"/>
  <c r="F114" i="17"/>
  <c r="F85" i="17"/>
  <c r="F142" i="13"/>
  <c r="F113" i="13"/>
  <c r="F84" i="13"/>
  <c r="F134" i="10"/>
  <c r="F105" i="10"/>
  <c r="E16" i="11"/>
  <c r="E19" i="11" s="1"/>
  <c r="H26" i="10" l="1"/>
  <c r="H314" i="27" l="1"/>
  <c r="B283" i="30"/>
  <c r="B282" i="30"/>
  <c r="B213" i="30"/>
  <c r="B212" i="30"/>
  <c r="B81" i="30"/>
  <c r="H272" i="30" l="1"/>
  <c r="H261" i="30" s="1"/>
  <c r="H259" i="30"/>
  <c r="G81" i="30"/>
  <c r="G67" i="30"/>
  <c r="H67" i="30" s="1"/>
  <c r="B176" i="17"/>
  <c r="G68" i="30" l="1"/>
  <c r="H68" i="30" s="1"/>
  <c r="H81" i="30"/>
  <c r="G78" i="30" s="1"/>
  <c r="H78" i="30" s="1"/>
  <c r="H65" i="30"/>
  <c r="H64" i="30"/>
  <c r="H260" i="30"/>
  <c r="H256" i="30" s="1"/>
  <c r="W21" i="31" l="1"/>
  <c r="X21" i="31" s="1"/>
  <c r="G71" i="30"/>
  <c r="H71" i="30" s="1"/>
  <c r="H250" i="30"/>
  <c r="H255" i="30" s="1"/>
  <c r="H249" i="30" s="1"/>
  <c r="H74" i="30" l="1"/>
  <c r="H106" i="30"/>
  <c r="F228" i="30"/>
  <c r="G75" i="30" l="1"/>
  <c r="H75" i="30" s="1"/>
  <c r="H76" i="30" s="1"/>
  <c r="F227" i="30"/>
  <c r="W20" i="31"/>
  <c r="X20" i="31" s="1"/>
  <c r="H276" i="30"/>
  <c r="T3" i="31"/>
  <c r="F213" i="30"/>
  <c r="C24" i="31"/>
  <c r="D24" i="31" s="1"/>
  <c r="C23" i="31"/>
  <c r="D23" i="31" s="1"/>
  <c r="H55" i="30"/>
  <c r="H156" i="30"/>
  <c r="H157" i="30" s="1"/>
  <c r="E27" i="30"/>
  <c r="H60" i="30" l="1"/>
  <c r="H107" i="30" s="1"/>
  <c r="W19" i="31"/>
  <c r="X19" i="31" s="1"/>
  <c r="H208" i="30" l="1"/>
  <c r="H282" i="30" s="1"/>
  <c r="F226" i="30"/>
  <c r="B196" i="10"/>
  <c r="F128" i="11"/>
  <c r="F131" i="11" s="1"/>
  <c r="F99" i="11"/>
  <c r="F102" i="11" s="1"/>
  <c r="H155" i="11"/>
  <c r="H161" i="11"/>
  <c r="F123" i="11"/>
  <c r="F121" i="11"/>
  <c r="F118" i="11"/>
  <c r="F115" i="11"/>
  <c r="F112" i="11"/>
  <c r="F94" i="11"/>
  <c r="F92" i="11"/>
  <c r="F89" i="11"/>
  <c r="F86" i="11"/>
  <c r="F83" i="11"/>
  <c r="F129" i="11" l="1"/>
  <c r="F100" i="11"/>
  <c r="F145" i="16"/>
  <c r="G132" i="11" l="1"/>
  <c r="H132" i="11" s="1"/>
  <c r="G131" i="11"/>
  <c r="H131" i="11" s="1"/>
  <c r="G130" i="11" s="1"/>
  <c r="H130" i="11" s="1"/>
  <c r="G127" i="11"/>
  <c r="G110" i="11"/>
  <c r="G109" i="11"/>
  <c r="G116" i="11" s="1"/>
  <c r="H116" i="11" s="1"/>
  <c r="G103" i="11"/>
  <c r="H103" i="11" s="1"/>
  <c r="G102" i="11"/>
  <c r="H102" i="11" s="1"/>
  <c r="G101" i="11" s="1"/>
  <c r="H101" i="11" s="1"/>
  <c r="G98" i="11"/>
  <c r="G81" i="11"/>
  <c r="G80" i="11"/>
  <c r="G87" i="11" s="1"/>
  <c r="H87" i="11" s="1"/>
  <c r="G86" i="11" l="1"/>
  <c r="H86" i="11" s="1"/>
  <c r="G89" i="11"/>
  <c r="H89" i="11" s="1"/>
  <c r="G83" i="11"/>
  <c r="H83" i="11" s="1"/>
  <c r="G100" i="11"/>
  <c r="H100" i="11" s="1"/>
  <c r="G97" i="11" s="1"/>
  <c r="H97" i="11" s="1"/>
  <c r="G112" i="11"/>
  <c r="H112" i="11" s="1"/>
  <c r="G115" i="11"/>
  <c r="H115" i="11" s="1"/>
  <c r="G118" i="11"/>
  <c r="H118" i="11" s="1"/>
  <c r="G129" i="11"/>
  <c r="H129" i="11" s="1"/>
  <c r="G126" i="11" s="1"/>
  <c r="H126" i="11" s="1"/>
  <c r="H109" i="11"/>
  <c r="G113" i="11"/>
  <c r="H113" i="11" s="1"/>
  <c r="H80" i="11"/>
  <c r="G84" i="11"/>
  <c r="H84" i="11" s="1"/>
  <c r="E29" i="11"/>
  <c r="E8" i="11"/>
  <c r="F618" i="11" l="1"/>
  <c r="C6" i="24" s="1"/>
  <c r="G90" i="11"/>
  <c r="H90" i="11" s="1"/>
  <c r="G92" i="11" s="1"/>
  <c r="H92" i="11" s="1"/>
  <c r="H93" i="11" s="1"/>
  <c r="E12" i="11"/>
  <c r="G119" i="11"/>
  <c r="H119" i="11" s="1"/>
  <c r="G121" i="11" s="1"/>
  <c r="H121" i="11" s="1"/>
  <c r="H122" i="11" s="1"/>
  <c r="F170" i="27"/>
  <c r="F171" i="27" s="1"/>
  <c r="F199" i="27"/>
  <c r="F202" i="27" s="1"/>
  <c r="F141" i="27"/>
  <c r="F112" i="27"/>
  <c r="F83" i="27"/>
  <c r="F84" i="27" s="1"/>
  <c r="G203" i="27"/>
  <c r="H203" i="27" s="1"/>
  <c r="G202" i="27"/>
  <c r="B200" i="27"/>
  <c r="G198" i="27"/>
  <c r="F194" i="27"/>
  <c r="F189" i="27"/>
  <c r="F186" i="27"/>
  <c r="F183" i="27"/>
  <c r="G181" i="27"/>
  <c r="F192" i="27"/>
  <c r="H204" i="27"/>
  <c r="G111" i="27"/>
  <c r="G56" i="27"/>
  <c r="G55" i="27"/>
  <c r="E55" i="27"/>
  <c r="H56" i="27"/>
  <c r="T11" i="31" s="1"/>
  <c r="P284" i="27"/>
  <c r="P285" i="27"/>
  <c r="P283" i="27"/>
  <c r="P287" i="27"/>
  <c r="P286" i="27"/>
  <c r="P282" i="27"/>
  <c r="D20" i="27"/>
  <c r="G174" i="27"/>
  <c r="H174" i="27" s="1"/>
  <c r="G173" i="27"/>
  <c r="B171" i="27"/>
  <c r="G169" i="27"/>
  <c r="F165" i="27"/>
  <c r="F160" i="27"/>
  <c r="F157" i="27"/>
  <c r="F154" i="27"/>
  <c r="G152" i="27"/>
  <c r="B151" i="27"/>
  <c r="F163" i="27" s="1"/>
  <c r="H291" i="27"/>
  <c r="Q293" i="27"/>
  <c r="Q292" i="27"/>
  <c r="Q291" i="27"/>
  <c r="P289" i="27"/>
  <c r="F315" i="27"/>
  <c r="H315" i="27" s="1"/>
  <c r="H313" i="27"/>
  <c r="H312" i="27"/>
  <c r="B323" i="27"/>
  <c r="B324" i="27"/>
  <c r="H290" i="27" l="1"/>
  <c r="H303" i="27"/>
  <c r="H288" i="27"/>
  <c r="H277" i="27"/>
  <c r="H164" i="11"/>
  <c r="H62" i="11"/>
  <c r="H47" i="11"/>
  <c r="Q4" i="31" s="1"/>
  <c r="T9" i="31" s="1"/>
  <c r="E27" i="11"/>
  <c r="H39" i="11" s="1"/>
  <c r="C11" i="31" s="1"/>
  <c r="D11" i="31" s="1"/>
  <c r="H70" i="11"/>
  <c r="W7" i="31" s="1"/>
  <c r="X7" i="31" s="1"/>
  <c r="H71" i="11"/>
  <c r="W8" i="31" s="1"/>
  <c r="X8" i="31" s="1"/>
  <c r="AA3" i="31" s="1"/>
  <c r="H72" i="11"/>
  <c r="W9" i="31" s="1"/>
  <c r="X9" i="31" s="1"/>
  <c r="AA4" i="31" s="1"/>
  <c r="H69" i="11"/>
  <c r="W6" i="31" s="1"/>
  <c r="X6" i="31" s="1"/>
  <c r="AA7" i="31" s="1"/>
  <c r="H61" i="11"/>
  <c r="H63" i="11"/>
  <c r="H302" i="27"/>
  <c r="G123" i="11"/>
  <c r="H123" i="11" s="1"/>
  <c r="H124" i="11" s="1"/>
  <c r="H108" i="11" s="1"/>
  <c r="G94" i="11"/>
  <c r="H94" i="11" s="1"/>
  <c r="H95" i="11" s="1"/>
  <c r="H79" i="11" s="1"/>
  <c r="H300" i="27"/>
  <c r="H202" i="27"/>
  <c r="G201" i="27" s="1"/>
  <c r="H201" i="27" s="1"/>
  <c r="H289" i="27"/>
  <c r="F200" i="27"/>
  <c r="H298" i="27"/>
  <c r="G180" i="27"/>
  <c r="G200" i="27" s="1"/>
  <c r="H301" i="27"/>
  <c r="H299" i="27"/>
  <c r="F173" i="27"/>
  <c r="H173" i="27" s="1"/>
  <c r="G172" i="27" s="1"/>
  <c r="H172" i="27" s="1"/>
  <c r="G151" i="27"/>
  <c r="H286" i="27"/>
  <c r="H287" i="27"/>
  <c r="H275" i="27"/>
  <c r="H273" i="27"/>
  <c r="H272" i="27"/>
  <c r="H276" i="27"/>
  <c r="H274" i="27"/>
  <c r="H285" i="27"/>
  <c r="H317" i="27"/>
  <c r="B252" i="27"/>
  <c r="B253" i="27"/>
  <c r="B254" i="27"/>
  <c r="B255" i="27"/>
  <c r="B256" i="27"/>
  <c r="B257" i="27"/>
  <c r="B258" i="27"/>
  <c r="B259" i="27"/>
  <c r="B260" i="27"/>
  <c r="B326" i="27"/>
  <c r="B325" i="27"/>
  <c r="G145" i="27"/>
  <c r="H145" i="27" s="1"/>
  <c r="G144" i="27"/>
  <c r="B142" i="27"/>
  <c r="F142" i="27"/>
  <c r="G140" i="27"/>
  <c r="F136" i="27"/>
  <c r="F131" i="27"/>
  <c r="F128" i="27"/>
  <c r="F125" i="27"/>
  <c r="G123" i="27"/>
  <c r="B122" i="27"/>
  <c r="F134" i="27" s="1"/>
  <c r="G116" i="27"/>
  <c r="H116" i="27" s="1"/>
  <c r="G115" i="27"/>
  <c r="B113" i="27"/>
  <c r="F107" i="27"/>
  <c r="F102" i="27"/>
  <c r="F99" i="27"/>
  <c r="F96" i="27"/>
  <c r="G94" i="27"/>
  <c r="B93" i="27"/>
  <c r="G93" i="27" s="1"/>
  <c r="G99" i="27" s="1"/>
  <c r="G87" i="27"/>
  <c r="H87" i="27" s="1"/>
  <c r="G86" i="27"/>
  <c r="B84" i="27"/>
  <c r="G82" i="27"/>
  <c r="F78" i="27"/>
  <c r="F73" i="27"/>
  <c r="F70" i="27"/>
  <c r="F67" i="27"/>
  <c r="G65" i="27"/>
  <c r="B64" i="27"/>
  <c r="F76" i="27" s="1"/>
  <c r="H296" i="27" l="1"/>
  <c r="H283" i="27"/>
  <c r="H270" i="27"/>
  <c r="F189" i="11"/>
  <c r="F192" i="11"/>
  <c r="F191" i="11"/>
  <c r="F181" i="11"/>
  <c r="F180" i="11"/>
  <c r="F190" i="11"/>
  <c r="F182" i="11"/>
  <c r="E28" i="11"/>
  <c r="H37" i="11"/>
  <c r="C9" i="31" s="1"/>
  <c r="D9" i="31" s="1"/>
  <c r="G7" i="31" s="1"/>
  <c r="H41" i="11"/>
  <c r="C13" i="31" s="1"/>
  <c r="D13" i="31" s="1"/>
  <c r="H40" i="11"/>
  <c r="C12" i="31" s="1"/>
  <c r="D12" i="31" s="1"/>
  <c r="H38" i="11"/>
  <c r="C10" i="31" s="1"/>
  <c r="D10" i="31" s="1"/>
  <c r="G9" i="31" s="1"/>
  <c r="H36" i="11"/>
  <c r="C8" i="31" s="1"/>
  <c r="D8" i="31" s="1"/>
  <c r="G6" i="31" s="1"/>
  <c r="H35" i="11"/>
  <c r="C7" i="31" s="1"/>
  <c r="D7" i="31" s="1"/>
  <c r="G5" i="31" s="1"/>
  <c r="H104" i="11"/>
  <c r="H105" i="11" s="1"/>
  <c r="F144" i="11"/>
  <c r="H200" i="27"/>
  <c r="G197" i="27" s="1"/>
  <c r="H197" i="27" s="1"/>
  <c r="G189" i="27"/>
  <c r="H189" i="27" s="1"/>
  <c r="G184" i="27"/>
  <c r="H184" i="27" s="1"/>
  <c r="G186" i="27"/>
  <c r="H186" i="27" s="1"/>
  <c r="H180" i="27"/>
  <c r="G183" i="27"/>
  <c r="H183" i="27" s="1"/>
  <c r="G187" i="27"/>
  <c r="H187" i="27" s="1"/>
  <c r="G160" i="27"/>
  <c r="H160" i="27" s="1"/>
  <c r="G155" i="27"/>
  <c r="H155" i="27" s="1"/>
  <c r="G157" i="27"/>
  <c r="H157" i="27" s="1"/>
  <c r="H151" i="27"/>
  <c r="G154" i="27"/>
  <c r="H154" i="27" s="1"/>
  <c r="G158" i="27"/>
  <c r="H158" i="27" s="1"/>
  <c r="G171" i="27"/>
  <c r="H171" i="27" s="1"/>
  <c r="G168" i="27" s="1"/>
  <c r="H168" i="27" s="1"/>
  <c r="H328" i="27"/>
  <c r="G64" i="27"/>
  <c r="G84" i="27" s="1"/>
  <c r="H84" i="27" s="1"/>
  <c r="G81" i="27" s="1"/>
  <c r="H81" i="27" s="1"/>
  <c r="F86" i="27"/>
  <c r="H86" i="27" s="1"/>
  <c r="G85" i="27" s="1"/>
  <c r="H85" i="27" s="1"/>
  <c r="H99" i="27"/>
  <c r="F144" i="27"/>
  <c r="H144" i="27" s="1"/>
  <c r="G143" i="27" s="1"/>
  <c r="H143" i="27" s="1"/>
  <c r="H93" i="27"/>
  <c r="G122" i="27"/>
  <c r="G129" i="27" s="1"/>
  <c r="H129" i="27" s="1"/>
  <c r="G113" i="27"/>
  <c r="G102" i="27"/>
  <c r="H102" i="27" s="1"/>
  <c r="G97" i="27"/>
  <c r="H97" i="27" s="1"/>
  <c r="F105" i="27"/>
  <c r="H248" i="27"/>
  <c r="H325" i="27" s="1"/>
  <c r="F115" i="27"/>
  <c r="H115" i="27" s="1"/>
  <c r="G114" i="27" s="1"/>
  <c r="H114" i="27" s="1"/>
  <c r="F113" i="27"/>
  <c r="G96" i="27"/>
  <c r="H96" i="27" s="1"/>
  <c r="G100" i="27"/>
  <c r="H100" i="27" s="1"/>
  <c r="F146" i="11" l="1"/>
  <c r="F140" i="11"/>
  <c r="F141" i="11"/>
  <c r="F145" i="11"/>
  <c r="F142" i="11"/>
  <c r="F143" i="11"/>
  <c r="H133" i="11"/>
  <c r="H134" i="11" s="1"/>
  <c r="E30" i="11"/>
  <c r="G190" i="27"/>
  <c r="H190" i="27" s="1"/>
  <c r="G192" i="27" s="1"/>
  <c r="H192" i="27" s="1"/>
  <c r="G161" i="27"/>
  <c r="H161" i="27" s="1"/>
  <c r="H64" i="27"/>
  <c r="G67" i="27"/>
  <c r="H67" i="27" s="1"/>
  <c r="G68" i="27"/>
  <c r="H68" i="27" s="1"/>
  <c r="G70" i="27"/>
  <c r="H70" i="27" s="1"/>
  <c r="G142" i="27"/>
  <c r="H142" i="27" s="1"/>
  <c r="G139" i="27" s="1"/>
  <c r="H139" i="27" s="1"/>
  <c r="G71" i="27"/>
  <c r="H71" i="27" s="1"/>
  <c r="G73" i="27"/>
  <c r="H73" i="27" s="1"/>
  <c r="H113" i="27"/>
  <c r="G110" i="27" s="1"/>
  <c r="H110" i="27" s="1"/>
  <c r="G128" i="27"/>
  <c r="H128" i="27" s="1"/>
  <c r="H122" i="27"/>
  <c r="G125" i="27"/>
  <c r="H125" i="27" s="1"/>
  <c r="G126" i="27"/>
  <c r="H126" i="27" s="1"/>
  <c r="G131" i="27"/>
  <c r="H131" i="27" s="1"/>
  <c r="G103" i="27"/>
  <c r="H103" i="27" s="1"/>
  <c r="G105" i="27" s="1"/>
  <c r="H105" i="27" s="1"/>
  <c r="H68" i="11" l="1"/>
  <c r="W5" i="31" s="1"/>
  <c r="X5" i="31" s="1"/>
  <c r="H42" i="11"/>
  <c r="C14" i="31" s="1"/>
  <c r="D14" i="31" s="1"/>
  <c r="G10" i="31" s="1"/>
  <c r="H136" i="11"/>
  <c r="H193" i="27"/>
  <c r="G194" i="27" s="1"/>
  <c r="H57" i="11"/>
  <c r="H60" i="11"/>
  <c r="H58" i="11"/>
  <c r="H52" i="11"/>
  <c r="H59" i="11"/>
  <c r="H54" i="11"/>
  <c r="H55" i="11"/>
  <c r="H53" i="11"/>
  <c r="H56" i="11"/>
  <c r="G163" i="27"/>
  <c r="H163" i="27" s="1"/>
  <c r="H164" i="27" s="1"/>
  <c r="G74" i="27"/>
  <c r="H74" i="27" s="1"/>
  <c r="G76" i="27" s="1"/>
  <c r="H76" i="27" s="1"/>
  <c r="H77" i="27" s="1"/>
  <c r="G78" i="27" s="1"/>
  <c r="H78" i="27" s="1"/>
  <c r="H79" i="27" s="1"/>
  <c r="H63" i="27" s="1"/>
  <c r="G132" i="27"/>
  <c r="H132" i="27" s="1"/>
  <c r="G134" i="27" s="1"/>
  <c r="H134" i="27" s="1"/>
  <c r="H135" i="27" s="1"/>
  <c r="G136" i="27" s="1"/>
  <c r="H136" i="27" s="1"/>
  <c r="H137" i="27" s="1"/>
  <c r="H121" i="27" s="1"/>
  <c r="H106" i="27"/>
  <c r="G107" i="27" s="1"/>
  <c r="H107" i="27" s="1"/>
  <c r="H108" i="27" s="1"/>
  <c r="H92" i="27" s="1"/>
  <c r="H599" i="11" l="1"/>
  <c r="F188" i="11"/>
  <c r="F173" i="11"/>
  <c r="F172" i="11"/>
  <c r="F171" i="11"/>
  <c r="F174" i="11"/>
  <c r="F177" i="11"/>
  <c r="F179" i="11"/>
  <c r="F175" i="11"/>
  <c r="F178" i="11"/>
  <c r="F176" i="11"/>
  <c r="F147" i="11"/>
  <c r="H194" i="27"/>
  <c r="H195" i="27" s="1"/>
  <c r="H179" i="27" s="1"/>
  <c r="H205" i="27" s="1"/>
  <c r="G165" i="27"/>
  <c r="H165" i="27" s="1"/>
  <c r="H166" i="27" s="1"/>
  <c r="H150" i="27" s="1"/>
  <c r="B5" i="24" l="1"/>
  <c r="D16" i="27" l="1"/>
  <c r="H146" i="27" s="1"/>
  <c r="H147" i="27" s="1"/>
  <c r="H117" i="27"/>
  <c r="H118" i="27" s="1"/>
  <c r="F6" i="16"/>
  <c r="F304" i="16" s="1"/>
  <c r="B173" i="17"/>
  <c r="B174" i="17"/>
  <c r="B175" i="17"/>
  <c r="F12" i="16"/>
  <c r="H292" i="16"/>
  <c r="B291" i="16"/>
  <c r="B292" i="16"/>
  <c r="B293" i="16"/>
  <c r="B294" i="16"/>
  <c r="B300" i="15"/>
  <c r="B301" i="15"/>
  <c r="B302" i="15"/>
  <c r="B303" i="15"/>
  <c r="B304" i="15"/>
  <c r="F9" i="14"/>
  <c r="B322" i="14"/>
  <c r="B323" i="14"/>
  <c r="B324" i="14"/>
  <c r="B325" i="14"/>
  <c r="B326" i="14"/>
  <c r="B223" i="13"/>
  <c r="B222" i="13"/>
  <c r="B221" i="13"/>
  <c r="B220" i="13"/>
  <c r="B195" i="10"/>
  <c r="B194" i="10"/>
  <c r="B193" i="10"/>
  <c r="D11" i="23"/>
  <c r="G9" i="23"/>
  <c r="F9" i="23"/>
  <c r="E9" i="23"/>
  <c r="F102" i="35" l="1"/>
  <c r="F103" i="35" s="1"/>
  <c r="F91" i="34"/>
  <c r="F92" i="34" s="1"/>
  <c r="F613" i="11"/>
  <c r="F291" i="30"/>
  <c r="F299" i="16"/>
  <c r="E207" i="10"/>
  <c r="F187" i="17"/>
  <c r="F331" i="14"/>
  <c r="F309" i="15"/>
  <c r="F235" i="13"/>
  <c r="H143" i="17"/>
  <c r="H252" i="16"/>
  <c r="H200" i="16"/>
  <c r="H193" i="16"/>
  <c r="H264" i="15"/>
  <c r="H196" i="15"/>
  <c r="H212" i="15"/>
  <c r="H286" i="14"/>
  <c r="H237" i="14"/>
  <c r="H221" i="14"/>
  <c r="H182" i="13"/>
  <c r="H189" i="13"/>
  <c r="H172" i="13"/>
  <c r="M95" i="8"/>
  <c r="S26" i="19" s="1"/>
  <c r="F95" i="34" l="1"/>
  <c r="E18" i="33" s="1"/>
  <c r="G7" i="37"/>
  <c r="H7" i="37" s="1"/>
  <c r="G8" i="37"/>
  <c r="F106" i="35"/>
  <c r="E19" i="33" s="1"/>
  <c r="G580" i="11"/>
  <c r="H580" i="11" s="1"/>
  <c r="G413" i="11"/>
  <c r="H413" i="11" s="1"/>
  <c r="S24" i="19"/>
  <c r="G171" i="11"/>
  <c r="H171" i="11" s="1"/>
  <c r="G252" i="27"/>
  <c r="C5" i="24"/>
  <c r="M69" i="8"/>
  <c r="S22" i="19" s="1"/>
  <c r="M94" i="8"/>
  <c r="G90" i="16"/>
  <c r="H8" i="37" l="1"/>
  <c r="I8" i="37" s="1"/>
  <c r="I7" i="37"/>
  <c r="P15" i="20"/>
  <c r="P12" i="20"/>
  <c r="E10" i="17"/>
  <c r="H234" i="30" l="1"/>
  <c r="H277" i="30" s="1"/>
  <c r="H57" i="16"/>
  <c r="H46" i="14"/>
  <c r="H45" i="14"/>
  <c r="H279" i="30" l="1"/>
  <c r="H286" i="30" s="1"/>
  <c r="E22" i="17"/>
  <c r="H58" i="17" l="1"/>
  <c r="W18" i="31" s="1"/>
  <c r="X18" i="31" s="1"/>
  <c r="H34" i="17"/>
  <c r="C22" i="31" s="1"/>
  <c r="D22" i="31" s="1"/>
  <c r="H39" i="17"/>
  <c r="Q9" i="31" s="1"/>
  <c r="E41" i="10"/>
  <c r="H146" i="17" l="1"/>
  <c r="F168" i="17"/>
  <c r="C32" i="10"/>
  <c r="G138" i="10"/>
  <c r="H138" i="10" s="1"/>
  <c r="G137" i="10"/>
  <c r="B135" i="10"/>
  <c r="F135" i="10"/>
  <c r="G133" i="10"/>
  <c r="F129" i="10"/>
  <c r="F124" i="10"/>
  <c r="F121" i="10"/>
  <c r="F118" i="10"/>
  <c r="G116" i="10"/>
  <c r="B115" i="10"/>
  <c r="G109" i="10"/>
  <c r="H109" i="10" s="1"/>
  <c r="G108" i="10"/>
  <c r="B106" i="10"/>
  <c r="F106" i="10"/>
  <c r="G104" i="10"/>
  <c r="F100" i="10"/>
  <c r="F95" i="10"/>
  <c r="F92" i="10"/>
  <c r="F89" i="10"/>
  <c r="G87" i="10"/>
  <c r="B86" i="10"/>
  <c r="G146" i="13"/>
  <c r="H146" i="13" s="1"/>
  <c r="G145" i="13"/>
  <c r="B143" i="13"/>
  <c r="F145" i="13"/>
  <c r="G141" i="13"/>
  <c r="F137" i="13"/>
  <c r="F132" i="13"/>
  <c r="F129" i="13"/>
  <c r="F126" i="13"/>
  <c r="G124" i="13"/>
  <c r="G117" i="13"/>
  <c r="H117" i="13" s="1"/>
  <c r="G116" i="13"/>
  <c r="B114" i="13"/>
  <c r="F114" i="13"/>
  <c r="G112" i="13"/>
  <c r="F108" i="13"/>
  <c r="F103" i="13"/>
  <c r="F100" i="13"/>
  <c r="F97" i="13"/>
  <c r="G95" i="13"/>
  <c r="B94" i="13"/>
  <c r="G88" i="13"/>
  <c r="H88" i="13" s="1"/>
  <c r="G87" i="13"/>
  <c r="B85" i="13"/>
  <c r="F85" i="13"/>
  <c r="G83" i="13"/>
  <c r="F79" i="13"/>
  <c r="F74" i="13"/>
  <c r="F71" i="13"/>
  <c r="F68" i="13"/>
  <c r="G66" i="13"/>
  <c r="B65" i="13"/>
  <c r="G186" i="14"/>
  <c r="H186" i="14" s="1"/>
  <c r="G185" i="14"/>
  <c r="B183" i="14"/>
  <c r="F182" i="14"/>
  <c r="F185" i="14" s="1"/>
  <c r="G181" i="14"/>
  <c r="F177" i="14"/>
  <c r="F172" i="14"/>
  <c r="F169" i="14"/>
  <c r="F166" i="14"/>
  <c r="G164" i="14"/>
  <c r="B163" i="14"/>
  <c r="G157" i="14"/>
  <c r="H157" i="14" s="1"/>
  <c r="G156" i="14"/>
  <c r="B154" i="14"/>
  <c r="F153" i="14"/>
  <c r="F154" i="14" s="1"/>
  <c r="G152" i="14"/>
  <c r="F148" i="14"/>
  <c r="F143" i="14"/>
  <c r="F140" i="14"/>
  <c r="F137" i="14"/>
  <c r="G135" i="14"/>
  <c r="B134" i="14"/>
  <c r="G128" i="14"/>
  <c r="H128" i="14" s="1"/>
  <c r="G127" i="14"/>
  <c r="B125" i="14"/>
  <c r="F124" i="14"/>
  <c r="F125" i="14" s="1"/>
  <c r="G123" i="14"/>
  <c r="F119" i="14"/>
  <c r="F114" i="14"/>
  <c r="F111" i="14"/>
  <c r="F108" i="14"/>
  <c r="G106" i="14"/>
  <c r="B105" i="14"/>
  <c r="G99" i="14"/>
  <c r="H99" i="14" s="1"/>
  <c r="G98" i="14"/>
  <c r="B96" i="14"/>
  <c r="F95" i="14"/>
  <c r="F98" i="14" s="1"/>
  <c r="G94" i="14"/>
  <c r="F90" i="14"/>
  <c r="F85" i="14"/>
  <c r="F82" i="14"/>
  <c r="F79" i="14"/>
  <c r="G77" i="14"/>
  <c r="B76" i="14"/>
  <c r="G173" i="15"/>
  <c r="H173" i="15" s="1"/>
  <c r="G172" i="15"/>
  <c r="B170" i="15"/>
  <c r="F169" i="15"/>
  <c r="F170" i="15" s="1"/>
  <c r="G168" i="15"/>
  <c r="F164" i="15"/>
  <c r="F159" i="15"/>
  <c r="F156" i="15"/>
  <c r="F153" i="15"/>
  <c r="G151" i="15"/>
  <c r="B150" i="15"/>
  <c r="G144" i="15"/>
  <c r="H144" i="15" s="1"/>
  <c r="G143" i="15"/>
  <c r="B141" i="15"/>
  <c r="F140" i="15"/>
  <c r="F141" i="15" s="1"/>
  <c r="G139" i="15"/>
  <c r="F135" i="15"/>
  <c r="F130" i="15"/>
  <c r="F127" i="15"/>
  <c r="F124" i="15"/>
  <c r="G122" i="15"/>
  <c r="B121" i="15"/>
  <c r="G115" i="15"/>
  <c r="H115" i="15" s="1"/>
  <c r="G114" i="15"/>
  <c r="B112" i="15"/>
  <c r="F111" i="15"/>
  <c r="F114" i="15" s="1"/>
  <c r="G110" i="15"/>
  <c r="F106" i="15"/>
  <c r="F101" i="15"/>
  <c r="F98" i="15"/>
  <c r="F95" i="15"/>
  <c r="G93" i="15"/>
  <c r="B92" i="15"/>
  <c r="G86" i="15"/>
  <c r="H86" i="15" s="1"/>
  <c r="G85" i="15"/>
  <c r="B83" i="15"/>
  <c r="F82" i="15"/>
  <c r="F83" i="15" s="1"/>
  <c r="G81" i="15"/>
  <c r="F77" i="15"/>
  <c r="F72" i="15"/>
  <c r="F69" i="15"/>
  <c r="F66" i="15"/>
  <c r="G64" i="15"/>
  <c r="B63" i="15"/>
  <c r="G178" i="16"/>
  <c r="H178" i="16" s="1"/>
  <c r="G177" i="16"/>
  <c r="B175" i="16"/>
  <c r="F174" i="16"/>
  <c r="F177" i="16" s="1"/>
  <c r="G173" i="16"/>
  <c r="F169" i="16"/>
  <c r="F164" i="16"/>
  <c r="F161" i="16"/>
  <c r="F158" i="16"/>
  <c r="G156" i="16"/>
  <c r="B155" i="16"/>
  <c r="G149" i="16"/>
  <c r="H149" i="16" s="1"/>
  <c r="G148" i="16"/>
  <c r="B146" i="16"/>
  <c r="F148" i="16"/>
  <c r="G144" i="16"/>
  <c r="F140" i="16"/>
  <c r="F135" i="16"/>
  <c r="F132" i="16"/>
  <c r="F129" i="16"/>
  <c r="G127" i="16"/>
  <c r="B126" i="16"/>
  <c r="G120" i="16"/>
  <c r="H120" i="16" s="1"/>
  <c r="G119" i="16"/>
  <c r="B117" i="16"/>
  <c r="F116" i="16"/>
  <c r="F117" i="16" s="1"/>
  <c r="G115" i="16"/>
  <c r="F111" i="16"/>
  <c r="F106" i="16"/>
  <c r="F103" i="16"/>
  <c r="F100" i="16"/>
  <c r="G98" i="16"/>
  <c r="B97" i="16"/>
  <c r="G91" i="16"/>
  <c r="H91" i="16" s="1"/>
  <c r="B88" i="16"/>
  <c r="F87" i="16"/>
  <c r="F88" i="16" s="1"/>
  <c r="G86" i="16"/>
  <c r="F82" i="16"/>
  <c r="F77" i="16"/>
  <c r="F74" i="16"/>
  <c r="F71" i="16"/>
  <c r="G69" i="16"/>
  <c r="B68" i="16"/>
  <c r="G118" i="17"/>
  <c r="H118" i="17" s="1"/>
  <c r="G117" i="17"/>
  <c r="B115" i="17"/>
  <c r="F117" i="17"/>
  <c r="G113" i="17"/>
  <c r="F109" i="17"/>
  <c r="F104" i="17"/>
  <c r="F101" i="17"/>
  <c r="F98" i="17"/>
  <c r="G96" i="17"/>
  <c r="B95" i="17"/>
  <c r="H90" i="17"/>
  <c r="G89" i="17"/>
  <c r="H89" i="17" s="1"/>
  <c r="G88" i="17"/>
  <c r="B86" i="17"/>
  <c r="F88" i="17"/>
  <c r="G84" i="17"/>
  <c r="F80" i="17"/>
  <c r="F75" i="17"/>
  <c r="F72" i="17"/>
  <c r="F69" i="17"/>
  <c r="G67" i="17"/>
  <c r="B66" i="17"/>
  <c r="F27" i="9"/>
  <c r="F28" i="9" s="1"/>
  <c r="F12" i="9"/>
  <c r="F14" i="9"/>
  <c r="F22" i="9"/>
  <c r="B8" i="9"/>
  <c r="F20" i="9" s="1"/>
  <c r="C36" i="10" l="1"/>
  <c r="C37" i="10" s="1"/>
  <c r="F156" i="14"/>
  <c r="F119" i="16"/>
  <c r="H119" i="16" s="1"/>
  <c r="G118" i="16" s="1"/>
  <c r="H118" i="16" s="1"/>
  <c r="F86" i="17"/>
  <c r="G95" i="17"/>
  <c r="H95" i="17" s="1"/>
  <c r="F107" i="17"/>
  <c r="G66" i="17"/>
  <c r="G69" i="17" s="1"/>
  <c r="H69" i="17" s="1"/>
  <c r="F78" i="17"/>
  <c r="G126" i="16"/>
  <c r="G129" i="16" s="1"/>
  <c r="H129" i="16" s="1"/>
  <c r="F138" i="16"/>
  <c r="F175" i="16"/>
  <c r="F90" i="16"/>
  <c r="H90" i="16" s="1"/>
  <c r="G89" i="16" s="1"/>
  <c r="H89" i="16" s="1"/>
  <c r="G97" i="16"/>
  <c r="G103" i="16" s="1"/>
  <c r="H103" i="16" s="1"/>
  <c r="F109" i="16"/>
  <c r="F146" i="16"/>
  <c r="G68" i="16"/>
  <c r="G77" i="16" s="1"/>
  <c r="H77" i="16" s="1"/>
  <c r="F80" i="16"/>
  <c r="G155" i="16"/>
  <c r="G159" i="16" s="1"/>
  <c r="H159" i="16" s="1"/>
  <c r="F167" i="16"/>
  <c r="F112" i="15"/>
  <c r="F143" i="15"/>
  <c r="G63" i="15"/>
  <c r="G69" i="15" s="1"/>
  <c r="H69" i="15" s="1"/>
  <c r="F75" i="15"/>
  <c r="G121" i="15"/>
  <c r="H121" i="15" s="1"/>
  <c r="F133" i="15"/>
  <c r="F172" i="15"/>
  <c r="H172" i="15" s="1"/>
  <c r="G171" i="15" s="1"/>
  <c r="H171" i="15" s="1"/>
  <c r="F85" i="15"/>
  <c r="H85" i="15" s="1"/>
  <c r="G84" i="15" s="1"/>
  <c r="H84" i="15" s="1"/>
  <c r="G92" i="15"/>
  <c r="G112" i="15" s="1"/>
  <c r="H112" i="15" s="1"/>
  <c r="G109" i="15" s="1"/>
  <c r="H109" i="15" s="1"/>
  <c r="F104" i="15"/>
  <c r="G150" i="15"/>
  <c r="G156" i="15" s="1"/>
  <c r="H156" i="15" s="1"/>
  <c r="F162" i="15"/>
  <c r="G76" i="14"/>
  <c r="G83" i="14" s="1"/>
  <c r="H83" i="14" s="1"/>
  <c r="F88" i="14"/>
  <c r="F127" i="14"/>
  <c r="H127" i="14" s="1"/>
  <c r="G126" i="14" s="1"/>
  <c r="H126" i="14" s="1"/>
  <c r="G163" i="14"/>
  <c r="G167" i="14" s="1"/>
  <c r="H167" i="14" s="1"/>
  <c r="F175" i="14"/>
  <c r="F96" i="14"/>
  <c r="G65" i="13"/>
  <c r="G71" i="13" s="1"/>
  <c r="H71" i="13" s="1"/>
  <c r="F77" i="13"/>
  <c r="G94" i="13"/>
  <c r="G100" i="13" s="1"/>
  <c r="H100" i="13" s="1"/>
  <c r="F106" i="13"/>
  <c r="F116" i="13"/>
  <c r="H116" i="13" s="1"/>
  <c r="G115" i="13" s="1"/>
  <c r="H115" i="13" s="1"/>
  <c r="G123" i="13"/>
  <c r="G143" i="13" s="1"/>
  <c r="F135" i="13"/>
  <c r="F108" i="10"/>
  <c r="H108" i="10" s="1"/>
  <c r="G107" i="10" s="1"/>
  <c r="H107" i="10" s="1"/>
  <c r="F137" i="10"/>
  <c r="H137" i="10" s="1"/>
  <c r="G136" i="10" s="1"/>
  <c r="H136" i="10" s="1"/>
  <c r="G115" i="10"/>
  <c r="G121" i="10" s="1"/>
  <c r="H121" i="10" s="1"/>
  <c r="F127" i="10"/>
  <c r="G86" i="10"/>
  <c r="G89" i="10" s="1"/>
  <c r="H89" i="10" s="1"/>
  <c r="F98" i="10"/>
  <c r="G105" i="14"/>
  <c r="G111" i="14" s="1"/>
  <c r="H111" i="14" s="1"/>
  <c r="F117" i="14"/>
  <c r="G134" i="14"/>
  <c r="G154" i="14" s="1"/>
  <c r="H154" i="14" s="1"/>
  <c r="G151" i="14" s="1"/>
  <c r="H151" i="14" s="1"/>
  <c r="F146" i="14"/>
  <c r="H156" i="14"/>
  <c r="G155" i="14" s="1"/>
  <c r="H155" i="14" s="1"/>
  <c r="F87" i="13"/>
  <c r="H87" i="13" s="1"/>
  <c r="G86" i="13" s="1"/>
  <c r="H86" i="13" s="1"/>
  <c r="H145" i="13"/>
  <c r="G144" i="13" s="1"/>
  <c r="H144" i="13" s="1"/>
  <c r="F143" i="13"/>
  <c r="H177" i="16"/>
  <c r="G176" i="16" s="1"/>
  <c r="H176" i="16" s="1"/>
  <c r="H114" i="15"/>
  <c r="G113" i="15" s="1"/>
  <c r="H113" i="15" s="1"/>
  <c r="H185" i="14"/>
  <c r="G184" i="14" s="1"/>
  <c r="H184" i="14" s="1"/>
  <c r="H98" i="14"/>
  <c r="G97" i="14" s="1"/>
  <c r="H97" i="14" s="1"/>
  <c r="F183" i="14"/>
  <c r="G141" i="15"/>
  <c r="H141" i="15" s="1"/>
  <c r="G138" i="15" s="1"/>
  <c r="H138" i="15" s="1"/>
  <c r="H143" i="15"/>
  <c r="G142" i="15" s="1"/>
  <c r="H142" i="15" s="1"/>
  <c r="H148" i="16"/>
  <c r="G147" i="16" s="1"/>
  <c r="H147" i="16" s="1"/>
  <c r="H88" i="17"/>
  <c r="G87" i="17" s="1"/>
  <c r="H87" i="17" s="1"/>
  <c r="H117" i="17"/>
  <c r="G116" i="17" s="1"/>
  <c r="H116" i="17" s="1"/>
  <c r="F115" i="17"/>
  <c r="G117" i="16" l="1"/>
  <c r="H117" i="16" s="1"/>
  <c r="G114" i="16" s="1"/>
  <c r="H114" i="16" s="1"/>
  <c r="G99" i="15"/>
  <c r="H99" i="15" s="1"/>
  <c r="G72" i="16"/>
  <c r="H72" i="16" s="1"/>
  <c r="G133" i="16"/>
  <c r="H133" i="16" s="1"/>
  <c r="H97" i="16"/>
  <c r="G100" i="16"/>
  <c r="H100" i="16" s="1"/>
  <c r="G80" i="14"/>
  <c r="H80" i="14" s="1"/>
  <c r="G82" i="14"/>
  <c r="H82" i="14" s="1"/>
  <c r="H76" i="14"/>
  <c r="G85" i="14"/>
  <c r="H85" i="14" s="1"/>
  <c r="H126" i="16"/>
  <c r="G146" i="16"/>
  <c r="H146" i="16" s="1"/>
  <c r="G143" i="16" s="1"/>
  <c r="H143" i="16" s="1"/>
  <c r="G104" i="17"/>
  <c r="H104" i="17" s="1"/>
  <c r="G130" i="15"/>
  <c r="H130" i="15" s="1"/>
  <c r="G127" i="15"/>
  <c r="H127" i="15" s="1"/>
  <c r="G170" i="15"/>
  <c r="H170" i="15" s="1"/>
  <c r="G167" i="15" s="1"/>
  <c r="H167" i="15" s="1"/>
  <c r="G74" i="13"/>
  <c r="H74" i="13" s="1"/>
  <c r="G101" i="16"/>
  <c r="H101" i="16" s="1"/>
  <c r="G130" i="16"/>
  <c r="H130" i="16" s="1"/>
  <c r="G132" i="16"/>
  <c r="H132" i="16" s="1"/>
  <c r="G104" i="16"/>
  <c r="H104" i="16" s="1"/>
  <c r="G135" i="16"/>
  <c r="H135" i="16" s="1"/>
  <c r="G101" i="17"/>
  <c r="H101" i="17" s="1"/>
  <c r="G72" i="15"/>
  <c r="H72" i="15" s="1"/>
  <c r="G69" i="13"/>
  <c r="H69" i="13" s="1"/>
  <c r="G106" i="16"/>
  <c r="H106" i="16" s="1"/>
  <c r="G83" i="15"/>
  <c r="H83" i="15" s="1"/>
  <c r="G80" i="15" s="1"/>
  <c r="H80" i="15" s="1"/>
  <c r="G138" i="14"/>
  <c r="H138" i="14" s="1"/>
  <c r="G158" i="16"/>
  <c r="H158" i="16" s="1"/>
  <c r="G68" i="13"/>
  <c r="H68" i="13" s="1"/>
  <c r="G67" i="15"/>
  <c r="H67" i="15" s="1"/>
  <c r="G85" i="13"/>
  <c r="H85" i="13" s="1"/>
  <c r="G82" i="13" s="1"/>
  <c r="H82" i="13" s="1"/>
  <c r="H65" i="13"/>
  <c r="G73" i="17"/>
  <c r="H73" i="17" s="1"/>
  <c r="H66" i="17"/>
  <c r="G72" i="17"/>
  <c r="H72" i="17" s="1"/>
  <c r="G70" i="17"/>
  <c r="H70" i="17" s="1"/>
  <c r="G96" i="15"/>
  <c r="H96" i="15" s="1"/>
  <c r="H92" i="15"/>
  <c r="G124" i="15"/>
  <c r="H124" i="15" s="1"/>
  <c r="G101" i="15"/>
  <c r="H101" i="15" s="1"/>
  <c r="G98" i="15"/>
  <c r="H98" i="15" s="1"/>
  <c r="G128" i="15"/>
  <c r="H128" i="15" s="1"/>
  <c r="G95" i="15"/>
  <c r="H95" i="15" s="1"/>
  <c r="G125" i="15"/>
  <c r="H125" i="15" s="1"/>
  <c r="G79" i="14"/>
  <c r="H79" i="14" s="1"/>
  <c r="G112" i="14"/>
  <c r="H112" i="14" s="1"/>
  <c r="G96" i="14"/>
  <c r="H96" i="14" s="1"/>
  <c r="G93" i="14" s="1"/>
  <c r="H93" i="14" s="1"/>
  <c r="H105" i="14"/>
  <c r="G166" i="14"/>
  <c r="H166" i="14" s="1"/>
  <c r="G101" i="13"/>
  <c r="H101" i="13" s="1"/>
  <c r="G72" i="13"/>
  <c r="H72" i="13" s="1"/>
  <c r="G97" i="13"/>
  <c r="H97" i="13" s="1"/>
  <c r="G114" i="13"/>
  <c r="H114" i="13" s="1"/>
  <c r="G111" i="13" s="1"/>
  <c r="H111" i="13" s="1"/>
  <c r="G103" i="13"/>
  <c r="H103" i="13" s="1"/>
  <c r="H94" i="13"/>
  <c r="G98" i="13"/>
  <c r="H98" i="13" s="1"/>
  <c r="G95" i="10"/>
  <c r="H95" i="10" s="1"/>
  <c r="G92" i="10"/>
  <c r="H92" i="10" s="1"/>
  <c r="G75" i="17"/>
  <c r="H75" i="17" s="1"/>
  <c r="G86" i="17"/>
  <c r="H86" i="17" s="1"/>
  <c r="G83" i="17" s="1"/>
  <c r="H83" i="17" s="1"/>
  <c r="G98" i="17"/>
  <c r="H98" i="17" s="1"/>
  <c r="G115" i="17"/>
  <c r="H115" i="17" s="1"/>
  <c r="G112" i="17" s="1"/>
  <c r="H112" i="17" s="1"/>
  <c r="G102" i="17"/>
  <c r="H102" i="17" s="1"/>
  <c r="G99" i="17"/>
  <c r="H99" i="17" s="1"/>
  <c r="G71" i="16"/>
  <c r="H71" i="16" s="1"/>
  <c r="G164" i="16"/>
  <c r="H164" i="16" s="1"/>
  <c r="G74" i="16"/>
  <c r="H74" i="16" s="1"/>
  <c r="H68" i="16"/>
  <c r="G88" i="16"/>
  <c r="H88" i="16" s="1"/>
  <c r="G85" i="16" s="1"/>
  <c r="H85" i="16" s="1"/>
  <c r="G75" i="16"/>
  <c r="H75" i="16" s="1"/>
  <c r="G161" i="16"/>
  <c r="H161" i="16" s="1"/>
  <c r="H155" i="16"/>
  <c r="G162" i="16"/>
  <c r="H162" i="16" s="1"/>
  <c r="G175" i="16"/>
  <c r="H175" i="16" s="1"/>
  <c r="G172" i="16" s="1"/>
  <c r="H172" i="16" s="1"/>
  <c r="H63" i="15"/>
  <c r="G159" i="15"/>
  <c r="H159" i="15" s="1"/>
  <c r="G70" i="15"/>
  <c r="H70" i="15" s="1"/>
  <c r="G66" i="15"/>
  <c r="H66" i="15" s="1"/>
  <c r="G154" i="15"/>
  <c r="H154" i="15" s="1"/>
  <c r="G157" i="15"/>
  <c r="H157" i="15" s="1"/>
  <c r="H150" i="15"/>
  <c r="G153" i="15"/>
  <c r="H153" i="15" s="1"/>
  <c r="G143" i="14"/>
  <c r="H143" i="14" s="1"/>
  <c r="H163" i="14"/>
  <c r="G170" i="14"/>
  <c r="H170" i="14" s="1"/>
  <c r="G140" i="14"/>
  <c r="H140" i="14" s="1"/>
  <c r="G169" i="14"/>
  <c r="H169" i="14" s="1"/>
  <c r="G183" i="14"/>
  <c r="H183" i="14" s="1"/>
  <c r="G180" i="14" s="1"/>
  <c r="H180" i="14" s="1"/>
  <c r="G137" i="14"/>
  <c r="H137" i="14" s="1"/>
  <c r="G141" i="14"/>
  <c r="H141" i="14" s="1"/>
  <c r="G172" i="14"/>
  <c r="H172" i="14" s="1"/>
  <c r="G109" i="14"/>
  <c r="H109" i="14" s="1"/>
  <c r="H134" i="14"/>
  <c r="G127" i="13"/>
  <c r="H127" i="13" s="1"/>
  <c r="H123" i="13"/>
  <c r="G132" i="13"/>
  <c r="H132" i="13" s="1"/>
  <c r="G129" i="13"/>
  <c r="H129" i="13" s="1"/>
  <c r="G130" i="13"/>
  <c r="H130" i="13" s="1"/>
  <c r="G126" i="13"/>
  <c r="H126" i="13" s="1"/>
  <c r="G119" i="10"/>
  <c r="H119" i="10" s="1"/>
  <c r="G118" i="10"/>
  <c r="H118" i="10" s="1"/>
  <c r="G90" i="10"/>
  <c r="H90" i="10" s="1"/>
  <c r="G93" i="10"/>
  <c r="H93" i="10" s="1"/>
  <c r="H115" i="10"/>
  <c r="G135" i="10"/>
  <c r="H135" i="10" s="1"/>
  <c r="G132" i="10" s="1"/>
  <c r="H132" i="10" s="1"/>
  <c r="H86" i="10"/>
  <c r="G124" i="10"/>
  <c r="H124" i="10" s="1"/>
  <c r="G122" i="10"/>
  <c r="H122" i="10" s="1"/>
  <c r="G106" i="10"/>
  <c r="H106" i="10" s="1"/>
  <c r="G103" i="10" s="1"/>
  <c r="H103" i="10" s="1"/>
  <c r="G108" i="14"/>
  <c r="H108" i="14" s="1"/>
  <c r="G125" i="14"/>
  <c r="H125" i="14" s="1"/>
  <c r="G122" i="14" s="1"/>
  <c r="H122" i="14" s="1"/>
  <c r="G114" i="14"/>
  <c r="H114" i="14" s="1"/>
  <c r="H143" i="13"/>
  <c r="G140" i="13" s="1"/>
  <c r="H140" i="13" s="1"/>
  <c r="G136" i="16" l="1"/>
  <c r="H136" i="16" s="1"/>
  <c r="G138" i="16" s="1"/>
  <c r="H138" i="16" s="1"/>
  <c r="H139" i="16" s="1"/>
  <c r="G140" i="16" s="1"/>
  <c r="H140" i="16" s="1"/>
  <c r="H141" i="16" s="1"/>
  <c r="H125" i="16" s="1"/>
  <c r="G86" i="14"/>
  <c r="H86" i="14" s="1"/>
  <c r="G88" i="14" s="1"/>
  <c r="H88" i="14" s="1"/>
  <c r="H89" i="14" s="1"/>
  <c r="G90" i="14" s="1"/>
  <c r="H90" i="14" s="1"/>
  <c r="H91" i="14" s="1"/>
  <c r="H75" i="14" s="1"/>
  <c r="G75" i="13"/>
  <c r="H75" i="13" s="1"/>
  <c r="G77" i="13" s="1"/>
  <c r="H77" i="13" s="1"/>
  <c r="H78" i="13" s="1"/>
  <c r="G79" i="13" s="1"/>
  <c r="H79" i="13" s="1"/>
  <c r="H80" i="13" s="1"/>
  <c r="H64" i="13" s="1"/>
  <c r="G105" i="17"/>
  <c r="H105" i="17" s="1"/>
  <c r="G107" i="17" s="1"/>
  <c r="H107" i="17" s="1"/>
  <c r="H108" i="17" s="1"/>
  <c r="G109" i="17" s="1"/>
  <c r="H109" i="17" s="1"/>
  <c r="H110" i="17" s="1"/>
  <c r="H94" i="17" s="1"/>
  <c r="G115" i="14"/>
  <c r="H115" i="14" s="1"/>
  <c r="G117" i="14" s="1"/>
  <c r="H117" i="14" s="1"/>
  <c r="H118" i="14" s="1"/>
  <c r="G119" i="14" s="1"/>
  <c r="H119" i="14" s="1"/>
  <c r="H120" i="14" s="1"/>
  <c r="H104" i="14" s="1"/>
  <c r="G102" i="15"/>
  <c r="H102" i="15" s="1"/>
  <c r="G104" i="15" s="1"/>
  <c r="H104" i="15" s="1"/>
  <c r="H105" i="15" s="1"/>
  <c r="G106" i="15" s="1"/>
  <c r="H106" i="15" s="1"/>
  <c r="H107" i="15" s="1"/>
  <c r="H91" i="15" s="1"/>
  <c r="G160" i="15"/>
  <c r="H160" i="15" s="1"/>
  <c r="G162" i="15" s="1"/>
  <c r="H162" i="15" s="1"/>
  <c r="H163" i="15" s="1"/>
  <c r="G107" i="16"/>
  <c r="H107" i="16" s="1"/>
  <c r="G109" i="16" s="1"/>
  <c r="H109" i="16" s="1"/>
  <c r="H110" i="16" s="1"/>
  <c r="G111" i="16" s="1"/>
  <c r="H111" i="16" s="1"/>
  <c r="H112" i="16" s="1"/>
  <c r="H96" i="16" s="1"/>
  <c r="G173" i="14"/>
  <c r="H173" i="14" s="1"/>
  <c r="G175" i="14" s="1"/>
  <c r="H175" i="14" s="1"/>
  <c r="G76" i="17"/>
  <c r="H76" i="17" s="1"/>
  <c r="G78" i="17" s="1"/>
  <c r="H78" i="17" s="1"/>
  <c r="H79" i="17" s="1"/>
  <c r="G80" i="17" s="1"/>
  <c r="H80" i="17" s="1"/>
  <c r="H81" i="17" s="1"/>
  <c r="H65" i="17" s="1"/>
  <c r="H91" i="17" s="1"/>
  <c r="G73" i="15"/>
  <c r="H73" i="15" s="1"/>
  <c r="G75" i="15" s="1"/>
  <c r="H75" i="15" s="1"/>
  <c r="H76" i="15" s="1"/>
  <c r="G131" i="15"/>
  <c r="H131" i="15" s="1"/>
  <c r="G133" i="15" s="1"/>
  <c r="H133" i="15" s="1"/>
  <c r="H134" i="15" s="1"/>
  <c r="G135" i="15" s="1"/>
  <c r="H135" i="15" s="1"/>
  <c r="H136" i="15" s="1"/>
  <c r="H120" i="15" s="1"/>
  <c r="G144" i="14"/>
  <c r="H144" i="14" s="1"/>
  <c r="G146" i="14" s="1"/>
  <c r="H146" i="14" s="1"/>
  <c r="H147" i="14" s="1"/>
  <c r="G148" i="14" s="1"/>
  <c r="H148" i="14" s="1"/>
  <c r="H149" i="14" s="1"/>
  <c r="H133" i="14" s="1"/>
  <c r="G165" i="16"/>
  <c r="H165" i="16" s="1"/>
  <c r="G167" i="16" s="1"/>
  <c r="H167" i="16" s="1"/>
  <c r="H168" i="16" s="1"/>
  <c r="G78" i="16"/>
  <c r="H78" i="16" s="1"/>
  <c r="G80" i="16" s="1"/>
  <c r="H80" i="16" s="1"/>
  <c r="G104" i="13"/>
  <c r="H104" i="13" s="1"/>
  <c r="G106" i="13" s="1"/>
  <c r="H106" i="13" s="1"/>
  <c r="H107" i="13" s="1"/>
  <c r="G108" i="13" s="1"/>
  <c r="H108" i="13" s="1"/>
  <c r="H109" i="13" s="1"/>
  <c r="H93" i="13" s="1"/>
  <c r="G133" i="13"/>
  <c r="H133" i="13" s="1"/>
  <c r="G135" i="13" s="1"/>
  <c r="H135" i="13" s="1"/>
  <c r="H136" i="13" s="1"/>
  <c r="G137" i="13" s="1"/>
  <c r="H137" i="13" s="1"/>
  <c r="H138" i="13" s="1"/>
  <c r="H122" i="13" s="1"/>
  <c r="G96" i="10"/>
  <c r="H96" i="10" s="1"/>
  <c r="G98" i="10" s="1"/>
  <c r="H98" i="10" s="1"/>
  <c r="H99" i="10" s="1"/>
  <c r="G100" i="10" s="1"/>
  <c r="H100" i="10" s="1"/>
  <c r="H101" i="10" s="1"/>
  <c r="H85" i="10" s="1"/>
  <c r="G125" i="10"/>
  <c r="H125" i="10" s="1"/>
  <c r="G127" i="10" s="1"/>
  <c r="H176" i="14" l="1"/>
  <c r="G177" i="14" s="1"/>
  <c r="H177" i="14" s="1"/>
  <c r="H127" i="10"/>
  <c r="H128" i="10" s="1"/>
  <c r="G129" i="10" s="1"/>
  <c r="H129" i="10" s="1"/>
  <c r="H130" i="10" s="1"/>
  <c r="H114" i="10" s="1"/>
  <c r="H81" i="16"/>
  <c r="G82" i="16" s="1"/>
  <c r="H82" i="16" s="1"/>
  <c r="H83" i="16" s="1"/>
  <c r="H67" i="16" s="1"/>
  <c r="G164" i="15"/>
  <c r="H164" i="15" s="1"/>
  <c r="H165" i="15" s="1"/>
  <c r="H149" i="15" s="1"/>
  <c r="G77" i="15"/>
  <c r="H77" i="15" s="1"/>
  <c r="H78" i="15" s="1"/>
  <c r="H62" i="15" s="1"/>
  <c r="G169" i="16"/>
  <c r="H169" i="16" s="1"/>
  <c r="H170" i="16" s="1"/>
  <c r="H154" i="16" s="1"/>
  <c r="H178" i="14" l="1"/>
  <c r="H162" i="14" s="1"/>
  <c r="E6" i="13"/>
  <c r="F240" i="13" s="1"/>
  <c r="H33" i="17"/>
  <c r="C21" i="31" s="1"/>
  <c r="D21" i="31" s="1"/>
  <c r="G8" i="31" s="1"/>
  <c r="F148" i="10"/>
  <c r="H31" i="17"/>
  <c r="C19" i="31" s="1"/>
  <c r="D19" i="31" s="1"/>
  <c r="H28" i="14"/>
  <c r="H30" i="14"/>
  <c r="C7" i="24" l="1"/>
  <c r="E12" i="13"/>
  <c r="H58" i="13" s="1"/>
  <c r="W16" i="31" s="1"/>
  <c r="X16" i="31" s="1"/>
  <c r="E7" i="13"/>
  <c r="H32" i="13" s="1"/>
  <c r="C18" i="31" s="1"/>
  <c r="D18" i="31" s="1"/>
  <c r="G4" i="31" s="1"/>
  <c r="G31" i="9"/>
  <c r="G30" i="9"/>
  <c r="G26" i="9"/>
  <c r="G8" i="9"/>
  <c r="B28" i="9"/>
  <c r="F17" i="9"/>
  <c r="F11" i="9"/>
  <c r="F215" i="13" l="1"/>
  <c r="E19" i="13"/>
  <c r="E21" i="13"/>
  <c r="G28" i="9"/>
  <c r="G14" i="9"/>
  <c r="H14" i="9" s="1"/>
  <c r="G15" i="9"/>
  <c r="H15" i="9" s="1"/>
  <c r="H8" i="9"/>
  <c r="G12" i="9"/>
  <c r="H12" i="9" s="1"/>
  <c r="G11" i="9"/>
  <c r="H11" i="9" s="1"/>
  <c r="G17" i="9"/>
  <c r="H17" i="9" s="1"/>
  <c r="H147" i="13" l="1"/>
  <c r="H89" i="13"/>
  <c r="H28" i="9"/>
  <c r="G25" i="9" s="1"/>
  <c r="H25" i="9" s="1"/>
  <c r="G18" i="9"/>
  <c r="H31" i="9"/>
  <c r="H29" i="14" l="1"/>
  <c r="H31" i="14"/>
  <c r="H32" i="14"/>
  <c r="H33" i="14"/>
  <c r="H34" i="14"/>
  <c r="H35" i="14"/>
  <c r="H36" i="14"/>
  <c r="H37" i="14"/>
  <c r="H38" i="14"/>
  <c r="H39" i="14"/>
  <c r="H40" i="14"/>
  <c r="H282" i="16"/>
  <c r="H280" i="16"/>
  <c r="H275" i="16"/>
  <c r="H274" i="16"/>
  <c r="H273" i="16"/>
  <c r="H272" i="16"/>
  <c r="H271" i="16"/>
  <c r="H270" i="16"/>
  <c r="H269" i="16"/>
  <c r="H263" i="16"/>
  <c r="H260" i="16"/>
  <c r="H259" i="16"/>
  <c r="H258" i="16"/>
  <c r="H257" i="16"/>
  <c r="H248" i="16"/>
  <c r="H241" i="16"/>
  <c r="H240" i="16"/>
  <c r="H239" i="16"/>
  <c r="H238" i="16"/>
  <c r="H235" i="16"/>
  <c r="H234" i="16"/>
  <c r="G264" i="16" s="1"/>
  <c r="H233" i="16"/>
  <c r="G265" i="16" s="1"/>
  <c r="H278" i="16" s="1"/>
  <c r="H232" i="16"/>
  <c r="H231" i="16"/>
  <c r="H230" i="16"/>
  <c r="H229" i="16"/>
  <c r="F228" i="16"/>
  <c r="H292" i="15"/>
  <c r="H287" i="15"/>
  <c r="H286" i="15"/>
  <c r="H285" i="15"/>
  <c r="H284" i="15"/>
  <c r="H283" i="15"/>
  <c r="H282" i="15"/>
  <c r="H281" i="15"/>
  <c r="H275" i="15"/>
  <c r="H272" i="15"/>
  <c r="H271" i="15"/>
  <c r="H270" i="15"/>
  <c r="H269" i="15"/>
  <c r="H260" i="15"/>
  <c r="H253" i="15"/>
  <c r="H252" i="15"/>
  <c r="H251" i="15"/>
  <c r="H250" i="15"/>
  <c r="H247" i="15"/>
  <c r="H246" i="15"/>
  <c r="G276" i="15" s="1"/>
  <c r="H245" i="15"/>
  <c r="G277" i="15" s="1"/>
  <c r="H290" i="15" s="1"/>
  <c r="H244" i="15"/>
  <c r="H243" i="15"/>
  <c r="H242" i="15"/>
  <c r="H241" i="15"/>
  <c r="F240" i="15"/>
  <c r="H47" i="20"/>
  <c r="H16" i="20"/>
  <c r="H15" i="20"/>
  <c r="H14" i="20"/>
  <c r="H13" i="20"/>
  <c r="H183" i="15"/>
  <c r="H301" i="15" s="1"/>
  <c r="H55" i="20"/>
  <c r="H50" i="20"/>
  <c r="H49" i="20"/>
  <c r="H48" i="20"/>
  <c r="H46" i="20"/>
  <c r="H45" i="20"/>
  <c r="H44" i="20"/>
  <c r="H38" i="20"/>
  <c r="H35" i="20"/>
  <c r="H34" i="20"/>
  <c r="H33" i="20"/>
  <c r="H32" i="20"/>
  <c r="H27" i="20"/>
  <c r="H23" i="20"/>
  <c r="H10" i="20"/>
  <c r="H9" i="20"/>
  <c r="G39" i="20" s="1"/>
  <c r="H39" i="20" s="1"/>
  <c r="H8" i="20"/>
  <c r="G40" i="20" s="1"/>
  <c r="H53" i="20" s="1"/>
  <c r="H7" i="20"/>
  <c r="H6" i="20"/>
  <c r="H5" i="20"/>
  <c r="H4" i="20"/>
  <c r="F3" i="20"/>
  <c r="H314" i="14"/>
  <c r="H309" i="14"/>
  <c r="H308" i="14"/>
  <c r="H307" i="14"/>
  <c r="H306" i="14"/>
  <c r="H305" i="14"/>
  <c r="H304" i="14"/>
  <c r="H303" i="14"/>
  <c r="H297" i="14"/>
  <c r="H294" i="14"/>
  <c r="H293" i="14"/>
  <c r="H292" i="14"/>
  <c r="H291" i="14"/>
  <c r="H282" i="14"/>
  <c r="H275" i="14"/>
  <c r="H274" i="14"/>
  <c r="H273" i="14"/>
  <c r="H272" i="14"/>
  <c r="H269" i="14"/>
  <c r="H268" i="14"/>
  <c r="G298" i="14" s="1"/>
  <c r="H267" i="14"/>
  <c r="G299" i="14" s="1"/>
  <c r="H312" i="14" s="1"/>
  <c r="H266" i="14"/>
  <c r="H265" i="14"/>
  <c r="H264" i="14"/>
  <c r="H263" i="14"/>
  <c r="F262" i="14"/>
  <c r="H264" i="16" l="1"/>
  <c r="H265" i="16" s="1"/>
  <c r="H266" i="16" s="1"/>
  <c r="H262" i="16" s="1"/>
  <c r="H276" i="15"/>
  <c r="H277" i="15" s="1"/>
  <c r="H278" i="15" s="1"/>
  <c r="H274" i="15" s="1"/>
  <c r="H40" i="20"/>
  <c r="H41" i="20" s="1"/>
  <c r="H315" i="14"/>
  <c r="H313" i="14" s="1"/>
  <c r="H249" i="16"/>
  <c r="H253" i="16" s="1"/>
  <c r="H254" i="16" s="1"/>
  <c r="H251" i="16" s="1"/>
  <c r="H261" i="15"/>
  <c r="H262" i="15" s="1"/>
  <c r="H259" i="15" s="1"/>
  <c r="H242" i="16"/>
  <c r="H243" i="16" s="1"/>
  <c r="H244" i="16" s="1"/>
  <c r="H17" i="20"/>
  <c r="H18" i="20" s="1"/>
  <c r="H19" i="20" s="1"/>
  <c r="H257" i="15"/>
  <c r="H254" i="15"/>
  <c r="H255" i="15" s="1"/>
  <c r="H256" i="15" s="1"/>
  <c r="H281" i="16"/>
  <c r="H279" i="16" s="1"/>
  <c r="H293" i="15"/>
  <c r="H291" i="15" s="1"/>
  <c r="H24" i="20"/>
  <c r="H28" i="20" s="1"/>
  <c r="H29" i="20" s="1"/>
  <c r="H56" i="20"/>
  <c r="H54" i="20" s="1"/>
  <c r="H283" i="14"/>
  <c r="H284" i="14" s="1"/>
  <c r="H281" i="14" s="1"/>
  <c r="H276" i="14"/>
  <c r="H277" i="14" s="1"/>
  <c r="H278" i="14" s="1"/>
  <c r="H298" i="14"/>
  <c r="H299" i="14" s="1"/>
  <c r="H37" i="20" l="1"/>
  <c r="H250" i="16"/>
  <c r="H247" i="16" s="1"/>
  <c r="H20" i="20"/>
  <c r="H21" i="20" s="1"/>
  <c r="H11" i="20" s="1"/>
  <c r="H25" i="20"/>
  <c r="H22" i="20" s="1"/>
  <c r="H245" i="16"/>
  <c r="G256" i="16" s="1"/>
  <c r="H265" i="15"/>
  <c r="H266" i="15" s="1"/>
  <c r="H263" i="15" s="1"/>
  <c r="H279" i="14"/>
  <c r="H280" i="14" s="1"/>
  <c r="H270" i="14" s="1"/>
  <c r="H287" i="14"/>
  <c r="H288" i="14" s="1"/>
  <c r="H285" i="14" s="1"/>
  <c r="H258" i="15"/>
  <c r="H248" i="15" s="1"/>
  <c r="H26" i="20"/>
  <c r="H300" i="14"/>
  <c r="H296" i="14" s="1"/>
  <c r="G268" i="15" l="1"/>
  <c r="H268" i="15" s="1"/>
  <c r="H273" i="15" s="1"/>
  <c r="H267" i="15" s="1"/>
  <c r="G31" i="20"/>
  <c r="H31" i="20" s="1"/>
  <c r="H36" i="20" s="1"/>
  <c r="H30" i="20" s="1"/>
  <c r="H246" i="16"/>
  <c r="H236" i="16" s="1"/>
  <c r="G290" i="14"/>
  <c r="H290" i="14" s="1"/>
  <c r="H295" i="14" s="1"/>
  <c r="H289" i="14" s="1"/>
  <c r="H256" i="16"/>
  <c r="H261" i="16" s="1"/>
  <c r="H255" i="16" s="1"/>
  <c r="B222" i="16" l="1"/>
  <c r="B219" i="16"/>
  <c r="B220" i="16"/>
  <c r="B221" i="16"/>
  <c r="B211" i="16"/>
  <c r="B212" i="16"/>
  <c r="B213" i="16"/>
  <c r="B214" i="16"/>
  <c r="B215" i="16"/>
  <c r="B216" i="16"/>
  <c r="B217" i="16"/>
  <c r="B218" i="16"/>
  <c r="B210" i="16"/>
  <c r="G210" i="16" s="1"/>
  <c r="H194" i="16"/>
  <c r="D25" i="16"/>
  <c r="D21" i="16"/>
  <c r="F13" i="16"/>
  <c r="F14" i="16" s="1"/>
  <c r="F18" i="16"/>
  <c r="F6" i="15"/>
  <c r="G10" i="15" l="1"/>
  <c r="F314" i="15"/>
  <c r="D22" i="16"/>
  <c r="H52" i="16" s="1"/>
  <c r="F222" i="16" s="1"/>
  <c r="H92" i="16"/>
  <c r="H93" i="16" s="1"/>
  <c r="H201" i="16"/>
  <c r="H199" i="16" s="1"/>
  <c r="H198" i="16"/>
  <c r="H196" i="16" s="1"/>
  <c r="H202" i="16"/>
  <c r="H59" i="16"/>
  <c r="H51" i="16" l="1"/>
  <c r="F221" i="16" s="1"/>
  <c r="H50" i="16"/>
  <c r="F220" i="16" s="1"/>
  <c r="D23" i="16"/>
  <c r="H150" i="16" s="1"/>
  <c r="H151" i="16" s="1"/>
  <c r="H192" i="16"/>
  <c r="H35" i="16"/>
  <c r="H203" i="16" s="1"/>
  <c r="H121" i="16"/>
  <c r="H122" i="16" s="1"/>
  <c r="D24" i="16"/>
  <c r="H179" i="16" s="1"/>
  <c r="H180" i="16" s="1"/>
  <c r="H182" i="16" l="1"/>
  <c r="H204" i="16"/>
  <c r="H206" i="16" s="1"/>
  <c r="H293" i="16" s="1"/>
  <c r="H25" i="16"/>
  <c r="H40" i="16" s="1"/>
  <c r="H137" i="17"/>
  <c r="H206" i="15"/>
  <c r="H190" i="15"/>
  <c r="H215" i="14"/>
  <c r="H231" i="14"/>
  <c r="H183" i="13"/>
  <c r="H166" i="13"/>
  <c r="H291" i="16" l="1"/>
  <c r="H41" i="16"/>
  <c r="F211" i="16" s="1"/>
  <c r="H45" i="16"/>
  <c r="F215" i="16" s="1"/>
  <c r="H49" i="16"/>
  <c r="F219" i="16" s="1"/>
  <c r="H47" i="16"/>
  <c r="F217" i="16" s="1"/>
  <c r="H42" i="16"/>
  <c r="F212" i="16" s="1"/>
  <c r="H46" i="16"/>
  <c r="F216" i="16" s="1"/>
  <c r="F210" i="16"/>
  <c r="H210" i="16" s="1"/>
  <c r="H43" i="16"/>
  <c r="F213" i="16" s="1"/>
  <c r="H44" i="16"/>
  <c r="F214" i="16" s="1"/>
  <c r="H48" i="16"/>
  <c r="F218" i="16" s="1"/>
  <c r="B161" i="17"/>
  <c r="B159" i="17"/>
  <c r="B160" i="17"/>
  <c r="B154" i="17"/>
  <c r="B155" i="17"/>
  <c r="B156" i="17"/>
  <c r="B157" i="17"/>
  <c r="B158" i="17"/>
  <c r="B153" i="17"/>
  <c r="G153" i="17" s="1"/>
  <c r="B127" i="17"/>
  <c r="B128" i="17"/>
  <c r="B129" i="17"/>
  <c r="B126" i="17"/>
  <c r="E24" i="17"/>
  <c r="E19" i="17"/>
  <c r="F129" i="17" l="1"/>
  <c r="F128" i="17"/>
  <c r="F126" i="17"/>
  <c r="E23" i="17"/>
  <c r="H32" i="17"/>
  <c r="C20" i="31" s="1"/>
  <c r="D20" i="31" s="1"/>
  <c r="H119" i="17" l="1"/>
  <c r="H120" i="17" s="1"/>
  <c r="H122" i="17" s="1"/>
  <c r="H173" i="17" s="1"/>
  <c r="F127" i="17"/>
  <c r="E25" i="17"/>
  <c r="H57" i="17" s="1"/>
  <c r="W17" i="31" s="1"/>
  <c r="X17" i="31" s="1"/>
  <c r="B234" i="15"/>
  <c r="B233" i="15"/>
  <c r="B223" i="15"/>
  <c r="B224" i="15"/>
  <c r="B225" i="15"/>
  <c r="B226" i="15"/>
  <c r="B227" i="15"/>
  <c r="B228" i="15"/>
  <c r="B229" i="15"/>
  <c r="B230" i="15"/>
  <c r="B231" i="15"/>
  <c r="B232" i="15"/>
  <c r="B222" i="15"/>
  <c r="G222" i="15" s="1"/>
  <c r="M17" i="8"/>
  <c r="M80" i="8"/>
  <c r="M44" i="8"/>
  <c r="M2" i="8"/>
  <c r="M26" i="8"/>
  <c r="M66" i="8"/>
  <c r="M57" i="8"/>
  <c r="M56" i="8"/>
  <c r="H205" i="15" s="1"/>
  <c r="M81" i="8"/>
  <c r="H230" i="14" s="1"/>
  <c r="M7" i="8"/>
  <c r="H214" i="14" s="1"/>
  <c r="D21" i="15"/>
  <c r="F14" i="15"/>
  <c r="D17" i="15"/>
  <c r="H87" i="15" s="1"/>
  <c r="H88" i="15" s="1"/>
  <c r="F167" i="17" l="1"/>
  <c r="P5" i="20"/>
  <c r="P14" i="20" s="1"/>
  <c r="H189" i="15"/>
  <c r="H194" i="15" s="1"/>
  <c r="H197" i="15" s="1"/>
  <c r="H195" i="15" s="1"/>
  <c r="H210" i="15"/>
  <c r="H213" i="15" s="1"/>
  <c r="H211" i="15" s="1"/>
  <c r="H214" i="15"/>
  <c r="H47" i="17"/>
  <c r="H51" i="17"/>
  <c r="H48" i="17"/>
  <c r="H45" i="17"/>
  <c r="H49" i="17"/>
  <c r="H52" i="17"/>
  <c r="H46" i="17"/>
  <c r="H50" i="17"/>
  <c r="H44" i="17"/>
  <c r="D20" i="15"/>
  <c r="E32" i="15"/>
  <c r="E33" i="15"/>
  <c r="D18" i="15"/>
  <c r="H116" i="15" s="1"/>
  <c r="H117" i="15" s="1"/>
  <c r="F160" i="17" l="1"/>
  <c r="F159" i="17"/>
  <c r="F154" i="17"/>
  <c r="F161" i="17"/>
  <c r="F153" i="17"/>
  <c r="H153" i="17" s="1"/>
  <c r="F158" i="17"/>
  <c r="F156" i="17"/>
  <c r="F155" i="17"/>
  <c r="F157" i="17"/>
  <c r="P10" i="20"/>
  <c r="P13" i="20" s="1"/>
  <c r="P11" i="20" s="1"/>
  <c r="H198" i="15"/>
  <c r="H192" i="15"/>
  <c r="H208" i="15"/>
  <c r="H204" i="15" s="1"/>
  <c r="H33" i="15"/>
  <c r="H215" i="15" s="1"/>
  <c r="H174" i="15"/>
  <c r="H175" i="15" s="1"/>
  <c r="D55" i="15"/>
  <c r="H55" i="15" s="1"/>
  <c r="H32" i="15"/>
  <c r="H199" i="15" s="1"/>
  <c r="D19" i="15"/>
  <c r="H145" i="15" s="1"/>
  <c r="H146" i="15" s="1"/>
  <c r="B248" i="14"/>
  <c r="B249" i="14"/>
  <c r="B250" i="14"/>
  <c r="B251" i="14"/>
  <c r="B252" i="14"/>
  <c r="B253" i="14"/>
  <c r="B254" i="14"/>
  <c r="B255" i="14"/>
  <c r="B256" i="14"/>
  <c r="B247" i="14"/>
  <c r="H240" i="14"/>
  <c r="H224" i="14"/>
  <c r="H223" i="14"/>
  <c r="F195" i="14"/>
  <c r="F196" i="14"/>
  <c r="F197" i="14"/>
  <c r="F198" i="14"/>
  <c r="F199" i="14"/>
  <c r="F200" i="14"/>
  <c r="F201" i="14"/>
  <c r="F202" i="14"/>
  <c r="F203" i="14"/>
  <c r="F204" i="14"/>
  <c r="F205" i="14"/>
  <c r="F206" i="14"/>
  <c r="B206" i="14"/>
  <c r="B204" i="14"/>
  <c r="B205" i="14"/>
  <c r="B195" i="14"/>
  <c r="B196" i="14"/>
  <c r="B197" i="14"/>
  <c r="B198" i="14"/>
  <c r="B199" i="14"/>
  <c r="B200" i="14"/>
  <c r="B201" i="14"/>
  <c r="B202" i="14"/>
  <c r="B203" i="14"/>
  <c r="F194" i="14"/>
  <c r="B194" i="14"/>
  <c r="P8" i="20" l="1"/>
  <c r="P4" i="20" s="1"/>
  <c r="P16" i="20" s="1"/>
  <c r="G247" i="14"/>
  <c r="G206" i="14"/>
  <c r="G198" i="14"/>
  <c r="H198" i="14" s="1"/>
  <c r="G201" i="14"/>
  <c r="G197" i="14"/>
  <c r="H188" i="15"/>
  <c r="H200" i="15" s="1"/>
  <c r="G205" i="14"/>
  <c r="H177" i="15"/>
  <c r="H300" i="15" s="1"/>
  <c r="H235" i="14"/>
  <c r="H238" i="14" s="1"/>
  <c r="H236" i="14" s="1"/>
  <c r="H239" i="14"/>
  <c r="H294" i="15"/>
  <c r="H219" i="14"/>
  <c r="H206" i="14" l="1"/>
  <c r="H201" i="14"/>
  <c r="H197" i="14"/>
  <c r="H205" i="14"/>
  <c r="H233" i="14"/>
  <c r="H229" i="14" s="1"/>
  <c r="H217" i="14"/>
  <c r="H222" i="14"/>
  <c r="H220" i="14" s="1"/>
  <c r="H21" i="15"/>
  <c r="H38" i="15" s="1"/>
  <c r="F222" i="15" s="1"/>
  <c r="H222" i="15" s="1"/>
  <c r="H241" i="14" l="1"/>
  <c r="H213" i="14"/>
  <c r="H42" i="15"/>
  <c r="F226" i="15" s="1"/>
  <c r="H41" i="15"/>
  <c r="F225" i="15" s="1"/>
  <c r="H49" i="15"/>
  <c r="F233" i="15" s="1"/>
  <c r="H50" i="15"/>
  <c r="F234" i="15" s="1"/>
  <c r="H48" i="15"/>
  <c r="H44" i="15"/>
  <c r="F228" i="15" s="1"/>
  <c r="H45" i="15"/>
  <c r="F229" i="15" s="1"/>
  <c r="H43" i="15"/>
  <c r="F227" i="15" s="1"/>
  <c r="H46" i="15"/>
  <c r="F230" i="15" s="1"/>
  <c r="H47" i="15"/>
  <c r="F231" i="15" s="1"/>
  <c r="H39" i="15"/>
  <c r="F223" i="15" s="1"/>
  <c r="H40" i="15"/>
  <c r="F224" i="15" s="1"/>
  <c r="H225" i="14" l="1"/>
  <c r="H243" i="14" s="1"/>
  <c r="H324" i="14" s="1"/>
  <c r="F232" i="15"/>
  <c r="H216" i="15"/>
  <c r="H218" i="15" s="1"/>
  <c r="H302" i="15" s="1"/>
  <c r="D22" i="14"/>
  <c r="F15" i="14"/>
  <c r="F7" i="14"/>
  <c r="F336" i="14" s="1"/>
  <c r="B200" i="13"/>
  <c r="B201" i="13"/>
  <c r="B202" i="13"/>
  <c r="B203" i="13"/>
  <c r="B204" i="13"/>
  <c r="B205" i="13"/>
  <c r="B206" i="13"/>
  <c r="B199" i="13"/>
  <c r="G199" i="13" s="1"/>
  <c r="H191" i="13"/>
  <c r="B164" i="13"/>
  <c r="B155" i="13"/>
  <c r="B156" i="13"/>
  <c r="G156" i="13" s="1"/>
  <c r="B157" i="13"/>
  <c r="M5" i="8"/>
  <c r="B154" i="13"/>
  <c r="E22" i="13"/>
  <c r="E16" i="13"/>
  <c r="E20" i="13" s="1"/>
  <c r="H118" i="13" l="1"/>
  <c r="H52" i="13"/>
  <c r="H30" i="13"/>
  <c r="C16" i="31" s="1"/>
  <c r="D16" i="31" s="1"/>
  <c r="G12" i="31" s="1"/>
  <c r="H31" i="13"/>
  <c r="C17" i="31" s="1"/>
  <c r="D17" i="31" s="1"/>
  <c r="G13" i="31" s="1"/>
  <c r="H29" i="13"/>
  <c r="C15" i="31" s="1"/>
  <c r="D15" i="31" s="1"/>
  <c r="G3" i="31" s="1"/>
  <c r="G154" i="13"/>
  <c r="F8" i="14"/>
  <c r="G11" i="14"/>
  <c r="D18" i="14" s="1"/>
  <c r="G155" i="13"/>
  <c r="H90" i="13"/>
  <c r="H148" i="13"/>
  <c r="H187" i="13"/>
  <c r="F155" i="13" l="1"/>
  <c r="F154" i="13"/>
  <c r="H154" i="13" s="1"/>
  <c r="F208" i="13"/>
  <c r="F156" i="13"/>
  <c r="H156" i="13" s="1"/>
  <c r="H100" i="14"/>
  <c r="H101" i="14" s="1"/>
  <c r="H185" i="13"/>
  <c r="H190" i="13"/>
  <c r="H188" i="13" s="1"/>
  <c r="H155" i="13"/>
  <c r="H119" i="13"/>
  <c r="H150" i="13" s="1"/>
  <c r="H220" i="13" s="1"/>
  <c r="D19" i="14"/>
  <c r="D21" i="14"/>
  <c r="H129" i="14" l="1"/>
  <c r="H130" i="14" s="1"/>
  <c r="H159" i="13"/>
  <c r="H221" i="13" s="1"/>
  <c r="H187" i="14"/>
  <c r="H188" i="14" s="1"/>
  <c r="D65" i="14"/>
  <c r="H181" i="13"/>
  <c r="D20" i="14"/>
  <c r="M54" i="8"/>
  <c r="H396" i="11"/>
  <c r="H380" i="11"/>
  <c r="G432" i="11"/>
  <c r="H432" i="11" s="1"/>
  <c r="G424" i="11" l="1"/>
  <c r="H424" i="11" s="1"/>
  <c r="G208" i="13"/>
  <c r="H208" i="13" s="1"/>
  <c r="H401" i="11"/>
  <c r="H404" i="11" s="1"/>
  <c r="H402" i="11" s="1"/>
  <c r="H405" i="11"/>
  <c r="H389" i="11"/>
  <c r="H385" i="11"/>
  <c r="H383" i="11" s="1"/>
  <c r="G189" i="11"/>
  <c r="H189" i="11" s="1"/>
  <c r="H158" i="14"/>
  <c r="H159" i="14" s="1"/>
  <c r="H190" i="14" s="1"/>
  <c r="H322" i="14" s="1"/>
  <c r="H154" i="11"/>
  <c r="G221" i="16"/>
  <c r="H221" i="16" s="1"/>
  <c r="G233" i="15"/>
  <c r="H233" i="15" s="1"/>
  <c r="H65" i="14"/>
  <c r="D67" i="14"/>
  <c r="E23" i="13"/>
  <c r="H51" i="13" l="1"/>
  <c r="F207" i="13" s="1"/>
  <c r="H399" i="11"/>
  <c r="H395" i="11" s="1"/>
  <c r="H407" i="11" s="1"/>
  <c r="H388" i="11"/>
  <c r="H386" i="11" s="1"/>
  <c r="H379" i="11" s="1"/>
  <c r="H391" i="11" s="1"/>
  <c r="H37" i="13"/>
  <c r="Q7" i="31" s="1"/>
  <c r="T10" i="31" s="1"/>
  <c r="H57" i="13"/>
  <c r="W15" i="31" s="1"/>
  <c r="X15" i="31" s="1"/>
  <c r="H163" i="11"/>
  <c r="H159" i="11"/>
  <c r="H157" i="11" s="1"/>
  <c r="H316" i="14"/>
  <c r="H67" i="14"/>
  <c r="H44" i="13"/>
  <c r="H49" i="13"/>
  <c r="H48" i="13"/>
  <c r="H47" i="13"/>
  <c r="H46" i="13"/>
  <c r="H45" i="13"/>
  <c r="H50" i="13"/>
  <c r="H43" i="13"/>
  <c r="H22" i="14"/>
  <c r="B180" i="10"/>
  <c r="B181" i="10"/>
  <c r="B174" i="10"/>
  <c r="B175" i="10"/>
  <c r="B176" i="10"/>
  <c r="B177" i="10"/>
  <c r="B178" i="10"/>
  <c r="B179" i="10"/>
  <c r="B173" i="10"/>
  <c r="G173" i="10" s="1"/>
  <c r="B147" i="10"/>
  <c r="B148" i="10"/>
  <c r="B149" i="10"/>
  <c r="B146" i="10"/>
  <c r="F214" i="13" l="1"/>
  <c r="H175" i="13"/>
  <c r="H409" i="11"/>
  <c r="F206" i="13"/>
  <c r="F204" i="13"/>
  <c r="F201" i="13"/>
  <c r="F202" i="13"/>
  <c r="F205" i="13"/>
  <c r="F199" i="13"/>
  <c r="H199" i="13" s="1"/>
  <c r="F203" i="13"/>
  <c r="F200" i="13"/>
  <c r="H162" i="11"/>
  <c r="H160" i="11" s="1"/>
  <c r="H153" i="11" s="1"/>
  <c r="H165" i="11" s="1"/>
  <c r="H167" i="11" s="1"/>
  <c r="H38" i="13"/>
  <c r="Q8" i="31" s="1"/>
  <c r="T8" i="31" s="1"/>
  <c r="H59" i="14"/>
  <c r="F255" i="14" s="1"/>
  <c r="H55" i="14"/>
  <c r="F251" i="14" s="1"/>
  <c r="H60" i="14"/>
  <c r="F256" i="14" s="1"/>
  <c r="H52" i="14"/>
  <c r="F248" i="14" s="1"/>
  <c r="H51" i="14"/>
  <c r="F247" i="14" s="1"/>
  <c r="H53" i="14"/>
  <c r="F249" i="14" s="1"/>
  <c r="H58" i="14"/>
  <c r="F254" i="14" s="1"/>
  <c r="H56" i="14"/>
  <c r="F252" i="14" s="1"/>
  <c r="H54" i="14"/>
  <c r="F250" i="14" s="1"/>
  <c r="H57" i="14"/>
  <c r="F253" i="14" s="1"/>
  <c r="H601" i="11" l="1"/>
  <c r="H192" i="13"/>
  <c r="H193" i="13" s="1"/>
  <c r="H247" i="14"/>
  <c r="W50" i="7" l="1"/>
  <c r="U50" i="7"/>
  <c r="Y50" i="7"/>
  <c r="X50" i="7" l="1"/>
  <c r="F31" i="10" l="1"/>
  <c r="G31" i="10"/>
  <c r="H31" i="10"/>
  <c r="H32" i="10" s="1"/>
  <c r="E31" i="10"/>
  <c r="F30" i="10"/>
  <c r="G30" i="10"/>
  <c r="H30" i="10"/>
  <c r="E30" i="10"/>
  <c r="D30" i="10"/>
  <c r="C30" i="10"/>
  <c r="F32" i="10" l="1"/>
  <c r="F36" i="10" s="1"/>
  <c r="F37" i="10" s="1"/>
  <c r="E32" i="10"/>
  <c r="E36" i="10" s="1"/>
  <c r="G32" i="10"/>
  <c r="G36" i="10" s="1"/>
  <c r="H36" i="10"/>
  <c r="G37" i="10" l="1"/>
  <c r="E37" i="10"/>
  <c r="D37" i="10"/>
  <c r="H37" i="10"/>
  <c r="D44" i="10" l="1"/>
  <c r="G371" i="11"/>
  <c r="H371" i="11" s="1"/>
  <c r="H79" i="10" l="1"/>
  <c r="W4" i="31" s="1"/>
  <c r="X4" i="31" s="1"/>
  <c r="H52" i="10"/>
  <c r="C3" i="31" s="1"/>
  <c r="D3" i="31" s="1"/>
  <c r="G15" i="31" s="1"/>
  <c r="H53" i="10"/>
  <c r="H55" i="10"/>
  <c r="C6" i="31" s="1"/>
  <c r="D6" i="31" s="1"/>
  <c r="G11" i="31" s="1"/>
  <c r="H60" i="10"/>
  <c r="Q3" i="31" s="1"/>
  <c r="T4" i="31" s="1"/>
  <c r="H110" i="10"/>
  <c r="H111" i="10" s="1"/>
  <c r="D45" i="10"/>
  <c r="G146" i="11"/>
  <c r="H146" i="11" s="1"/>
  <c r="G129" i="17"/>
  <c r="H129" i="17" s="1"/>
  <c r="G149" i="10"/>
  <c r="H136" i="17"/>
  <c r="H156" i="10"/>
  <c r="I2" i="9"/>
  <c r="F147" i="10" l="1"/>
  <c r="C4" i="31"/>
  <c r="D4" i="31" s="1"/>
  <c r="G14" i="31" s="1"/>
  <c r="H166" i="10"/>
  <c r="H139" i="10"/>
  <c r="H140" i="10" s="1"/>
  <c r="H142" i="10" s="1"/>
  <c r="H193" i="10" s="1"/>
  <c r="F149" i="10"/>
  <c r="H149" i="10" s="1"/>
  <c r="F146" i="10"/>
  <c r="D47" i="10"/>
  <c r="F188" i="10"/>
  <c r="H165" i="10"/>
  <c r="H161" i="10"/>
  <c r="H164" i="10" s="1"/>
  <c r="F55" i="9"/>
  <c r="F56" i="9" s="1"/>
  <c r="F38" i="9"/>
  <c r="F39" i="9" s="1"/>
  <c r="H39" i="9" s="1"/>
  <c r="G46" i="9"/>
  <c r="H46" i="9" s="1"/>
  <c r="H141" i="17"/>
  <c r="H144" i="17" s="1"/>
  <c r="H142" i="17" s="1"/>
  <c r="H145" i="17"/>
  <c r="F30" i="9"/>
  <c r="H30" i="9" s="1"/>
  <c r="G29" i="9" s="1"/>
  <c r="H29" i="9" s="1"/>
  <c r="H18" i="9"/>
  <c r="K366" i="9"/>
  <c r="H73" i="10" l="1"/>
  <c r="P6" i="27"/>
  <c r="H66" i="10"/>
  <c r="F174" i="10" s="1"/>
  <c r="H65" i="10"/>
  <c r="H78" i="10"/>
  <c r="W3" i="31" s="1"/>
  <c r="X3" i="31" s="1"/>
  <c r="AA6" i="31" s="1"/>
  <c r="H162" i="10"/>
  <c r="H159" i="10"/>
  <c r="G48" i="9"/>
  <c r="H48" i="9" s="1"/>
  <c r="H49" i="9" s="1"/>
  <c r="G50" i="9" s="1"/>
  <c r="H50" i="9" s="1"/>
  <c r="H51" i="9" s="1"/>
  <c r="F58" i="9"/>
  <c r="H58" i="9" s="1"/>
  <c r="G57" i="9" s="1"/>
  <c r="H57" i="9" s="1"/>
  <c r="G56" i="9"/>
  <c r="H56" i="9" s="1"/>
  <c r="G53" i="9" s="1"/>
  <c r="H53" i="9" s="1"/>
  <c r="H139" i="17"/>
  <c r="H135" i="17" s="1"/>
  <c r="H147" i="17" s="1"/>
  <c r="H149" i="17" s="1"/>
  <c r="H175" i="17" s="1"/>
  <c r="G20" i="9"/>
  <c r="H20" i="9" s="1"/>
  <c r="H21" i="9" s="1"/>
  <c r="G22" i="9" s="1"/>
  <c r="H70" i="10"/>
  <c r="H67" i="10"/>
  <c r="H71" i="10"/>
  <c r="H68" i="10"/>
  <c r="H72" i="10"/>
  <c r="F181" i="10"/>
  <c r="H69" i="10"/>
  <c r="K410" i="9"/>
  <c r="F179" i="10" l="1"/>
  <c r="F180" i="10"/>
  <c r="F187" i="10"/>
  <c r="F176" i="10"/>
  <c r="F178" i="10"/>
  <c r="F173" i="10"/>
  <c r="H173" i="10" s="1"/>
  <c r="F177" i="10"/>
  <c r="F175" i="10"/>
  <c r="H155" i="10"/>
  <c r="H167" i="10" s="1"/>
  <c r="H169" i="10" s="1"/>
  <c r="H195" i="10" s="1"/>
  <c r="H22" i="9"/>
  <c r="H23" i="9" s="1"/>
  <c r="H7" i="9" s="1"/>
  <c r="H33" i="9" s="1"/>
  <c r="H35" i="9"/>
  <c r="H61" i="9" s="1"/>
  <c r="M33" i="8" l="1"/>
  <c r="M27" i="8"/>
  <c r="G434" i="11" s="1"/>
  <c r="H434" i="11" s="1"/>
  <c r="M42" i="8"/>
  <c r="M68" i="8"/>
  <c r="H228" i="30"/>
  <c r="G433" i="11"/>
  <c r="H433" i="11" s="1"/>
  <c r="M65" i="8"/>
  <c r="M3" i="8"/>
  <c r="G423" i="11"/>
  <c r="H423" i="11" s="1"/>
  <c r="M49" i="8"/>
  <c r="M53" i="8"/>
  <c r="M28" i="8"/>
  <c r="M51" i="8"/>
  <c r="M4" i="8"/>
  <c r="M58" i="8"/>
  <c r="G422" i="11" s="1"/>
  <c r="H422" i="11" s="1"/>
  <c r="M22" i="8"/>
  <c r="M9" i="8"/>
  <c r="M38" i="8"/>
  <c r="M15" i="8"/>
  <c r="M43" i="8"/>
  <c r="M30" i="8"/>
  <c r="M24" i="8"/>
  <c r="M14" i="8"/>
  <c r="M63" i="8"/>
  <c r="M37" i="8"/>
  <c r="M36" i="8"/>
  <c r="M35" i="8"/>
  <c r="G372" i="11"/>
  <c r="H372" i="11" s="1"/>
  <c r="G367" i="11"/>
  <c r="H367" i="11" s="1"/>
  <c r="G368" i="11"/>
  <c r="H368" i="11" s="1"/>
  <c r="M23" i="8"/>
  <c r="M62" i="8"/>
  <c r="M48" i="8"/>
  <c r="M25" i="8"/>
  <c r="M70" i="8"/>
  <c r="M46" i="8"/>
  <c r="M32" i="8"/>
  <c r="M31" i="8"/>
  <c r="M67" i="8"/>
  <c r="M13" i="8"/>
  <c r="M90" i="8"/>
  <c r="M89" i="8"/>
  <c r="M88" i="8"/>
  <c r="M85" i="8"/>
  <c r="H165" i="13" s="1"/>
  <c r="M77" i="8"/>
  <c r="M41" i="8"/>
  <c r="M86" i="8"/>
  <c r="M18" i="8"/>
  <c r="M64" i="8"/>
  <c r="G414" i="11" l="1"/>
  <c r="H414" i="11" s="1"/>
  <c r="G581" i="11"/>
  <c r="H581" i="11" s="1"/>
  <c r="G564" i="11"/>
  <c r="H564" i="11" s="1"/>
  <c r="G366" i="11"/>
  <c r="H366" i="11" s="1"/>
  <c r="G587" i="11"/>
  <c r="H587" i="11" s="1"/>
  <c r="G420" i="11"/>
  <c r="H420" i="11" s="1"/>
  <c r="G417" i="11"/>
  <c r="H417" i="11" s="1"/>
  <c r="G584" i="11"/>
  <c r="H584" i="11" s="1"/>
  <c r="G563" i="11"/>
  <c r="H563" i="11" s="1"/>
  <c r="G365" i="11"/>
  <c r="H365" i="11" s="1"/>
  <c r="G419" i="11"/>
  <c r="H419" i="11" s="1"/>
  <c r="G586" i="11"/>
  <c r="H586" i="11" s="1"/>
  <c r="G425" i="11"/>
  <c r="H425" i="11" s="1"/>
  <c r="G181" i="11"/>
  <c r="H181" i="11" s="1"/>
  <c r="G370" i="11"/>
  <c r="H370" i="11" s="1"/>
  <c r="G567" i="11"/>
  <c r="H567" i="11" s="1"/>
  <c r="H213" i="30"/>
  <c r="G566" i="11"/>
  <c r="H566" i="11" s="1"/>
  <c r="G583" i="11"/>
  <c r="H583" i="11" s="1"/>
  <c r="G416" i="11"/>
  <c r="H416" i="11" s="1"/>
  <c r="G421" i="11"/>
  <c r="H421" i="11" s="1"/>
  <c r="G588" i="11"/>
  <c r="H588" i="11" s="1"/>
  <c r="G594" i="11"/>
  <c r="H594" i="11" s="1"/>
  <c r="H596" i="11" s="1"/>
  <c r="G431" i="11"/>
  <c r="H431" i="11" s="1"/>
  <c r="H436" i="11" s="1"/>
  <c r="G568" i="11"/>
  <c r="H568" i="11" s="1"/>
  <c r="G369" i="11"/>
  <c r="H369" i="11" s="1"/>
  <c r="G415" i="11"/>
  <c r="H415" i="11" s="1"/>
  <c r="G582" i="11"/>
  <c r="H582" i="11" s="1"/>
  <c r="G418" i="11"/>
  <c r="H418" i="11" s="1"/>
  <c r="G585" i="11"/>
  <c r="H585" i="11" s="1"/>
  <c r="H227" i="30"/>
  <c r="G266" i="27"/>
  <c r="G168" i="17"/>
  <c r="H168" i="17" s="1"/>
  <c r="G215" i="13"/>
  <c r="H215" i="13" s="1"/>
  <c r="G190" i="11"/>
  <c r="H190" i="11" s="1"/>
  <c r="G188" i="10"/>
  <c r="H188" i="10" s="1"/>
  <c r="G192" i="11"/>
  <c r="H192" i="11" s="1"/>
  <c r="G214" i="13"/>
  <c r="H214" i="13" s="1"/>
  <c r="H226" i="30"/>
  <c r="G167" i="17"/>
  <c r="H167" i="17" s="1"/>
  <c r="G188" i="11"/>
  <c r="H188" i="11" s="1"/>
  <c r="G187" i="10"/>
  <c r="H187" i="10" s="1"/>
  <c r="G191" i="11"/>
  <c r="H191" i="11" s="1"/>
  <c r="H212" i="30"/>
  <c r="G145" i="11"/>
  <c r="H145" i="11" s="1"/>
  <c r="G143" i="11"/>
  <c r="H143" i="11" s="1"/>
  <c r="G147" i="11"/>
  <c r="H147" i="11" s="1"/>
  <c r="G175" i="11"/>
  <c r="H175" i="11" s="1"/>
  <c r="G256" i="27"/>
  <c r="G182" i="11"/>
  <c r="H182" i="11" s="1"/>
  <c r="G142" i="11"/>
  <c r="H142" i="11" s="1"/>
  <c r="G144" i="11"/>
  <c r="H144" i="11" s="1"/>
  <c r="G173" i="11"/>
  <c r="H173" i="11" s="1"/>
  <c r="G254" i="27"/>
  <c r="G176" i="11"/>
  <c r="H176" i="11" s="1"/>
  <c r="G257" i="27"/>
  <c r="G180" i="11"/>
  <c r="H180" i="11" s="1"/>
  <c r="G140" i="11"/>
  <c r="H140" i="11" s="1"/>
  <c r="G172" i="11"/>
  <c r="H172" i="11" s="1"/>
  <c r="G253" i="27"/>
  <c r="G177" i="11"/>
  <c r="H177" i="11" s="1"/>
  <c r="G258" i="27"/>
  <c r="G141" i="11"/>
  <c r="H141" i="11" s="1"/>
  <c r="G174" i="11"/>
  <c r="H174" i="11" s="1"/>
  <c r="G255" i="27"/>
  <c r="G179" i="11"/>
  <c r="H179" i="11" s="1"/>
  <c r="G260" i="27"/>
  <c r="G178" i="11"/>
  <c r="H178" i="11" s="1"/>
  <c r="G259" i="27"/>
  <c r="G126" i="17"/>
  <c r="H126" i="17" s="1"/>
  <c r="G199" i="14"/>
  <c r="G146" i="10"/>
  <c r="H146" i="10" s="1"/>
  <c r="G128" i="17"/>
  <c r="H128" i="17" s="1"/>
  <c r="G195" i="14"/>
  <c r="G148" i="10"/>
  <c r="H148" i="10" s="1"/>
  <c r="G213" i="16"/>
  <c r="H213" i="16" s="1"/>
  <c r="G156" i="17"/>
  <c r="H156" i="17" s="1"/>
  <c r="G225" i="15"/>
  <c r="H225" i="15" s="1"/>
  <c r="G250" i="14"/>
  <c r="G202" i="13"/>
  <c r="H202" i="13" s="1"/>
  <c r="G176" i="10"/>
  <c r="H176" i="10" s="1"/>
  <c r="G219" i="16"/>
  <c r="H219" i="16" s="1"/>
  <c r="G161" i="17"/>
  <c r="H161" i="17" s="1"/>
  <c r="G231" i="15"/>
  <c r="H231" i="15" s="1"/>
  <c r="G256" i="14"/>
  <c r="G207" i="13"/>
  <c r="H207" i="13" s="1"/>
  <c r="G181" i="10"/>
  <c r="H181" i="10" s="1"/>
  <c r="G202" i="14"/>
  <c r="G218" i="16"/>
  <c r="H218" i="16" s="1"/>
  <c r="G230" i="15"/>
  <c r="H230" i="15" s="1"/>
  <c r="G255" i="14"/>
  <c r="G215" i="16"/>
  <c r="H215" i="16" s="1"/>
  <c r="G158" i="17"/>
  <c r="H158" i="17" s="1"/>
  <c r="G227" i="15"/>
  <c r="H227" i="15" s="1"/>
  <c r="G252" i="14"/>
  <c r="G204" i="13"/>
  <c r="H204" i="13" s="1"/>
  <c r="G178" i="10"/>
  <c r="H178" i="10" s="1"/>
  <c r="G194" i="14"/>
  <c r="G211" i="16"/>
  <c r="H211" i="16" s="1"/>
  <c r="G154" i="17"/>
  <c r="H154" i="17" s="1"/>
  <c r="G223" i="15"/>
  <c r="H223" i="15" s="1"/>
  <c r="G248" i="14"/>
  <c r="G200" i="13"/>
  <c r="H200" i="13" s="1"/>
  <c r="G174" i="10"/>
  <c r="H174" i="10" s="1"/>
  <c r="G216" i="16"/>
  <c r="H216" i="16" s="1"/>
  <c r="G159" i="17"/>
  <c r="H159" i="17" s="1"/>
  <c r="G228" i="15"/>
  <c r="H228" i="15" s="1"/>
  <c r="G253" i="14"/>
  <c r="G205" i="13"/>
  <c r="H205" i="13" s="1"/>
  <c r="G179" i="10"/>
  <c r="H179" i="10" s="1"/>
  <c r="G222" i="16"/>
  <c r="H222" i="16" s="1"/>
  <c r="G234" i="15"/>
  <c r="H234" i="15" s="1"/>
  <c r="G565" i="11"/>
  <c r="H565" i="11" s="1"/>
  <c r="G196" i="14"/>
  <c r="G217" i="16"/>
  <c r="H217" i="16" s="1"/>
  <c r="G160" i="17"/>
  <c r="H160" i="17" s="1"/>
  <c r="G229" i="15"/>
  <c r="H229" i="15" s="1"/>
  <c r="G254" i="14"/>
  <c r="G206" i="13"/>
  <c r="H206" i="13" s="1"/>
  <c r="G180" i="10"/>
  <c r="H180" i="10" s="1"/>
  <c r="G214" i="16"/>
  <c r="H214" i="16" s="1"/>
  <c r="G157" i="17"/>
  <c r="H157" i="17" s="1"/>
  <c r="G226" i="15"/>
  <c r="H226" i="15" s="1"/>
  <c r="G251" i="14"/>
  <c r="G203" i="13"/>
  <c r="H203" i="13" s="1"/>
  <c r="G177" i="10"/>
  <c r="H177" i="10" s="1"/>
  <c r="G203" i="14"/>
  <c r="G127" i="17"/>
  <c r="H127" i="17" s="1"/>
  <c r="G200" i="14"/>
  <c r="G147" i="10"/>
  <c r="H147" i="10" s="1"/>
  <c r="G212" i="16"/>
  <c r="H212" i="16" s="1"/>
  <c r="G155" i="17"/>
  <c r="H155" i="17" s="1"/>
  <c r="G224" i="15"/>
  <c r="H224" i="15" s="1"/>
  <c r="G249" i="14"/>
  <c r="G201" i="13"/>
  <c r="H201" i="13" s="1"/>
  <c r="G175" i="10"/>
  <c r="H175" i="10" s="1"/>
  <c r="G220" i="16"/>
  <c r="H220" i="16" s="1"/>
  <c r="G232" i="15"/>
  <c r="H232" i="15" s="1"/>
  <c r="G204" i="14"/>
  <c r="H174" i="13"/>
  <c r="H170" i="13"/>
  <c r="H173" i="13" s="1"/>
  <c r="H171" i="13" s="1"/>
  <c r="H218" i="30" l="1"/>
  <c r="H283" i="30" s="1"/>
  <c r="H230" i="30"/>
  <c r="H285" i="30" s="1"/>
  <c r="H217" i="13"/>
  <c r="H224" i="13" s="1"/>
  <c r="H190" i="10"/>
  <c r="H197" i="10" s="1"/>
  <c r="H374" i="11"/>
  <c r="H210" i="13"/>
  <c r="H223" i="13" s="1"/>
  <c r="H570" i="11"/>
  <c r="H590" i="11"/>
  <c r="H427" i="11"/>
  <c r="H194" i="11"/>
  <c r="H170" i="17"/>
  <c r="H177" i="17" s="1"/>
  <c r="H253" i="14"/>
  <c r="H195" i="14"/>
  <c r="H196" i="14"/>
  <c r="H203" i="14"/>
  <c r="H250" i="14"/>
  <c r="H252" i="14"/>
  <c r="H251" i="14"/>
  <c r="H200" i="14"/>
  <c r="H255" i="14"/>
  <c r="H204" i="14"/>
  <c r="H248" i="14"/>
  <c r="H194" i="14"/>
  <c r="H202" i="14"/>
  <c r="H256" i="14"/>
  <c r="H199" i="14"/>
  <c r="H254" i="14"/>
  <c r="H149" i="11"/>
  <c r="H249" i="14"/>
  <c r="H184" i="11"/>
  <c r="H168" i="13"/>
  <c r="H164" i="13" s="1"/>
  <c r="H176" i="13" s="1"/>
  <c r="H195" i="13" s="1"/>
  <c r="H222" i="13" s="1"/>
  <c r="H131" i="17"/>
  <c r="H174" i="17" s="1"/>
  <c r="H163" i="17"/>
  <c r="H176" i="17" s="1"/>
  <c r="H151" i="10"/>
  <c r="H194" i="10" s="1"/>
  <c r="H236" i="15"/>
  <c r="H303" i="15" s="1"/>
  <c r="H268" i="16"/>
  <c r="H277" i="16" s="1"/>
  <c r="H267" i="16" s="1"/>
  <c r="H228" i="16" s="1"/>
  <c r="H283" i="16" s="1"/>
  <c r="H285" i="16" s="1"/>
  <c r="H280" i="15"/>
  <c r="H289" i="15" s="1"/>
  <c r="H279" i="15" s="1"/>
  <c r="H240" i="15" s="1"/>
  <c r="H295" i="15" s="1"/>
  <c r="H297" i="15" s="1"/>
  <c r="H304" i="15" s="1"/>
  <c r="H302" i="14"/>
  <c r="H311" i="14" s="1"/>
  <c r="H301" i="14" s="1"/>
  <c r="H262" i="14" s="1"/>
  <c r="H317" i="14" s="1"/>
  <c r="H319" i="14" s="1"/>
  <c r="H43" i="20"/>
  <c r="H52" i="20" s="1"/>
  <c r="H42" i="20" s="1"/>
  <c r="H3" i="20" s="1"/>
  <c r="H58" i="20" s="1"/>
  <c r="H183" i="10"/>
  <c r="H224" i="16"/>
  <c r="H294" i="16" s="1"/>
  <c r="M482" i="7"/>
  <c r="M481" i="7"/>
  <c r="M480" i="7"/>
  <c r="M479" i="7"/>
  <c r="O479" i="7" s="1"/>
  <c r="M478" i="7"/>
  <c r="M477" i="7"/>
  <c r="O477" i="7" s="1"/>
  <c r="M476" i="7"/>
  <c r="M475" i="7"/>
  <c r="O475" i="7" s="1"/>
  <c r="M474" i="7"/>
  <c r="M473" i="7"/>
  <c r="M472" i="7"/>
  <c r="M471" i="7"/>
  <c r="O471" i="7" s="1"/>
  <c r="M470" i="7"/>
  <c r="M469" i="7"/>
  <c r="O469" i="7" s="1"/>
  <c r="M468" i="7"/>
  <c r="M467" i="7"/>
  <c r="O467" i="7" s="1"/>
  <c r="M466" i="7"/>
  <c r="M465" i="7"/>
  <c r="M464" i="7"/>
  <c r="M463" i="7"/>
  <c r="O463" i="7" s="1"/>
  <c r="M462" i="7"/>
  <c r="M461" i="7"/>
  <c r="O461" i="7" s="1"/>
  <c r="M460" i="7"/>
  <c r="M459" i="7"/>
  <c r="O459" i="7" s="1"/>
  <c r="M458" i="7"/>
  <c r="M457" i="7"/>
  <c r="M456" i="7"/>
  <c r="M455" i="7"/>
  <c r="M454" i="7"/>
  <c r="M453" i="7"/>
  <c r="O453" i="7" s="1"/>
  <c r="M452" i="7"/>
  <c r="M451" i="7"/>
  <c r="M450" i="7"/>
  <c r="M449" i="7"/>
  <c r="O449" i="7" s="1"/>
  <c r="M448" i="7"/>
  <c r="M447" i="7"/>
  <c r="M446" i="7"/>
  <c r="M445" i="7"/>
  <c r="O445" i="7" s="1"/>
  <c r="M444" i="7"/>
  <c r="M443" i="7"/>
  <c r="M442" i="7"/>
  <c r="M441" i="7"/>
  <c r="M440" i="7"/>
  <c r="M439" i="7"/>
  <c r="M438" i="7"/>
  <c r="M437" i="7"/>
  <c r="O437" i="7" s="1"/>
  <c r="M436" i="7"/>
  <c r="M435" i="7"/>
  <c r="M434" i="7"/>
  <c r="M433" i="7"/>
  <c r="O433" i="7" s="1"/>
  <c r="M432" i="7"/>
  <c r="M431" i="7"/>
  <c r="M430" i="7"/>
  <c r="M429" i="7"/>
  <c r="O429" i="7" s="1"/>
  <c r="M428" i="7"/>
  <c r="M427" i="7"/>
  <c r="M426" i="7"/>
  <c r="M425" i="7"/>
  <c r="M424" i="7"/>
  <c r="M423" i="7"/>
  <c r="M422" i="7"/>
  <c r="M421" i="7"/>
  <c r="O421" i="7" s="1"/>
  <c r="M420" i="7"/>
  <c r="M419" i="7"/>
  <c r="M418" i="7"/>
  <c r="M417" i="7"/>
  <c r="O417" i="7" s="1"/>
  <c r="M416" i="7"/>
  <c r="M415" i="7"/>
  <c r="M414" i="7"/>
  <c r="M413" i="7"/>
  <c r="O413" i="7" s="1"/>
  <c r="M412" i="7"/>
  <c r="M411" i="7"/>
  <c r="M410" i="7"/>
  <c r="M409" i="7"/>
  <c r="M408" i="7"/>
  <c r="M407" i="7"/>
  <c r="M406" i="7"/>
  <c r="M405" i="7"/>
  <c r="O405" i="7" s="1"/>
  <c r="M404" i="7"/>
  <c r="M403" i="7"/>
  <c r="M402" i="7"/>
  <c r="M401" i="7"/>
  <c r="O401" i="7" s="1"/>
  <c r="M400" i="7"/>
  <c r="M399" i="7"/>
  <c r="M398" i="7"/>
  <c r="M397" i="7"/>
  <c r="O397" i="7" s="1"/>
  <c r="M396" i="7"/>
  <c r="M395" i="7"/>
  <c r="M394" i="7"/>
  <c r="M393" i="7"/>
  <c r="M392" i="7"/>
  <c r="M391" i="7"/>
  <c r="M390" i="7"/>
  <c r="N389" i="7"/>
  <c r="M389" i="7"/>
  <c r="O389" i="7" s="1"/>
  <c r="M388" i="7"/>
  <c r="M387" i="7"/>
  <c r="M386" i="7"/>
  <c r="M385" i="7"/>
  <c r="O385" i="7" s="1"/>
  <c r="M384" i="7"/>
  <c r="M383" i="7"/>
  <c r="M382" i="7"/>
  <c r="M381" i="7"/>
  <c r="O381" i="7" s="1"/>
  <c r="M380" i="7"/>
  <c r="M379" i="7"/>
  <c r="M378" i="7"/>
  <c r="M377" i="7"/>
  <c r="M376" i="7"/>
  <c r="M375" i="7"/>
  <c r="M374" i="7"/>
  <c r="M373" i="7"/>
  <c r="O373" i="7" s="1"/>
  <c r="M372" i="7"/>
  <c r="M371" i="7"/>
  <c r="M370" i="7"/>
  <c r="M369" i="7"/>
  <c r="O369" i="7" s="1"/>
  <c r="M368" i="7"/>
  <c r="M367" i="7"/>
  <c r="M366" i="7"/>
  <c r="M365" i="7"/>
  <c r="O365" i="7" s="1"/>
  <c r="M364" i="7"/>
  <c r="M363" i="7"/>
  <c r="M362" i="7"/>
  <c r="M361" i="7"/>
  <c r="M360" i="7"/>
  <c r="M359" i="7"/>
  <c r="M358" i="7"/>
  <c r="M357" i="7"/>
  <c r="O357" i="7" s="1"/>
  <c r="M356" i="7"/>
  <c r="M355" i="7"/>
  <c r="M354" i="7"/>
  <c r="M353" i="7"/>
  <c r="O353" i="7" s="1"/>
  <c r="M352" i="7"/>
  <c r="M351" i="7"/>
  <c r="M350" i="7"/>
  <c r="M349" i="7"/>
  <c r="O349" i="7" s="1"/>
  <c r="M348" i="7"/>
  <c r="M347" i="7"/>
  <c r="M346" i="7"/>
  <c r="M345" i="7"/>
  <c r="M344" i="7"/>
  <c r="M343" i="7"/>
  <c r="M342" i="7"/>
  <c r="M341" i="7"/>
  <c r="O341" i="7" s="1"/>
  <c r="M340" i="7"/>
  <c r="M339" i="7"/>
  <c r="M338" i="7"/>
  <c r="M337" i="7"/>
  <c r="O337" i="7" s="1"/>
  <c r="M336" i="7"/>
  <c r="M335" i="7"/>
  <c r="M334" i="7"/>
  <c r="M333" i="7"/>
  <c r="O333" i="7" s="1"/>
  <c r="M332" i="7"/>
  <c r="M331" i="7"/>
  <c r="M330" i="7"/>
  <c r="M329" i="7"/>
  <c r="M328" i="7"/>
  <c r="M327" i="7"/>
  <c r="M326" i="7"/>
  <c r="M325" i="7"/>
  <c r="O325" i="7" s="1"/>
  <c r="M324" i="7"/>
  <c r="M323" i="7"/>
  <c r="M322" i="7"/>
  <c r="M321" i="7"/>
  <c r="O321" i="7" s="1"/>
  <c r="M320" i="7"/>
  <c r="M319" i="7"/>
  <c r="M318" i="7"/>
  <c r="M317" i="7"/>
  <c r="O317" i="7" s="1"/>
  <c r="M316" i="7"/>
  <c r="M315" i="7"/>
  <c r="M314" i="7"/>
  <c r="M313" i="7"/>
  <c r="M312" i="7"/>
  <c r="O312" i="7" s="1"/>
  <c r="M311" i="7"/>
  <c r="M310" i="7"/>
  <c r="O310" i="7" s="1"/>
  <c r="M309" i="7"/>
  <c r="M308" i="7"/>
  <c r="O308" i="7" s="1"/>
  <c r="M307" i="7"/>
  <c r="M306" i="7"/>
  <c r="O306" i="7" s="1"/>
  <c r="M305" i="7"/>
  <c r="M304" i="7"/>
  <c r="O304" i="7" s="1"/>
  <c r="M303" i="7"/>
  <c r="M302" i="7"/>
  <c r="O302" i="7" s="1"/>
  <c r="M301" i="7"/>
  <c r="M300" i="7"/>
  <c r="O300" i="7" s="1"/>
  <c r="M299" i="7"/>
  <c r="M298" i="7"/>
  <c r="O298" i="7" s="1"/>
  <c r="M297" i="7"/>
  <c r="M296" i="7"/>
  <c r="O296" i="7" s="1"/>
  <c r="M295" i="7"/>
  <c r="M294" i="7"/>
  <c r="O294" i="7" s="1"/>
  <c r="M293" i="7"/>
  <c r="M292" i="7"/>
  <c r="O292" i="7" s="1"/>
  <c r="M291" i="7"/>
  <c r="M290" i="7"/>
  <c r="O290" i="7" s="1"/>
  <c r="M289" i="7"/>
  <c r="M288" i="7"/>
  <c r="O288" i="7" s="1"/>
  <c r="M287" i="7"/>
  <c r="M286" i="7"/>
  <c r="O286" i="7" s="1"/>
  <c r="M285" i="7"/>
  <c r="M284" i="7"/>
  <c r="O284" i="7" s="1"/>
  <c r="M283" i="7"/>
  <c r="M282" i="7"/>
  <c r="O282" i="7" s="1"/>
  <c r="M281" i="7"/>
  <c r="M280" i="7"/>
  <c r="O280" i="7" s="1"/>
  <c r="M279" i="7"/>
  <c r="M278" i="7"/>
  <c r="O278" i="7" s="1"/>
  <c r="M277" i="7"/>
  <c r="M276" i="7"/>
  <c r="O276" i="7" s="1"/>
  <c r="M275" i="7"/>
  <c r="M274" i="7"/>
  <c r="O274" i="7" s="1"/>
  <c r="M273" i="7"/>
  <c r="M272" i="7"/>
  <c r="O272" i="7" s="1"/>
  <c r="M271" i="7"/>
  <c r="M270" i="7"/>
  <c r="O270" i="7" s="1"/>
  <c r="M269" i="7"/>
  <c r="M268" i="7"/>
  <c r="O268" i="7" s="1"/>
  <c r="M267" i="7"/>
  <c r="M266" i="7"/>
  <c r="O266" i="7" s="1"/>
  <c r="M265" i="7"/>
  <c r="M264" i="7"/>
  <c r="O264" i="7" s="1"/>
  <c r="M263" i="7"/>
  <c r="M262" i="7"/>
  <c r="O262" i="7" s="1"/>
  <c r="M261" i="7"/>
  <c r="M260" i="7"/>
  <c r="O260" i="7" s="1"/>
  <c r="M259" i="7"/>
  <c r="M258" i="7"/>
  <c r="O258" i="7" s="1"/>
  <c r="M257" i="7"/>
  <c r="M256" i="7"/>
  <c r="O256" i="7" s="1"/>
  <c r="M255" i="7"/>
  <c r="M254" i="7"/>
  <c r="O254" i="7" s="1"/>
  <c r="M253" i="7"/>
  <c r="M252" i="7"/>
  <c r="O252" i="7" s="1"/>
  <c r="M251" i="7"/>
  <c r="M250" i="7"/>
  <c r="O250" i="7" s="1"/>
  <c r="M249" i="7"/>
  <c r="M248" i="7"/>
  <c r="O248" i="7" s="1"/>
  <c r="M247" i="7"/>
  <c r="M246" i="7"/>
  <c r="O246" i="7" s="1"/>
  <c r="M245" i="7"/>
  <c r="M244" i="7"/>
  <c r="O244" i="7" s="1"/>
  <c r="M243" i="7"/>
  <c r="M242" i="7"/>
  <c r="O242" i="7" s="1"/>
  <c r="M241" i="7"/>
  <c r="M240" i="7"/>
  <c r="O240" i="7" s="1"/>
  <c r="M239" i="7"/>
  <c r="M238" i="7"/>
  <c r="O238" i="7" s="1"/>
  <c r="M237" i="7"/>
  <c r="M236" i="7"/>
  <c r="O236" i="7" s="1"/>
  <c r="M235" i="7"/>
  <c r="M234" i="7"/>
  <c r="O234" i="7" s="1"/>
  <c r="M233" i="7"/>
  <c r="M232" i="7"/>
  <c r="O232" i="7" s="1"/>
  <c r="M231" i="7"/>
  <c r="M230" i="7"/>
  <c r="O230" i="7" s="1"/>
  <c r="M229" i="7"/>
  <c r="M228" i="7"/>
  <c r="O228" i="7" s="1"/>
  <c r="M227" i="7"/>
  <c r="M226" i="7"/>
  <c r="O226" i="7" s="1"/>
  <c r="M225" i="7"/>
  <c r="M224" i="7"/>
  <c r="O224" i="7" s="1"/>
  <c r="M223" i="7"/>
  <c r="M222" i="7"/>
  <c r="O222" i="7" s="1"/>
  <c r="M221" i="7"/>
  <c r="M220" i="7"/>
  <c r="O220" i="7" s="1"/>
  <c r="M219" i="7"/>
  <c r="M218" i="7"/>
  <c r="O218" i="7" s="1"/>
  <c r="M217" i="7"/>
  <c r="M216" i="7"/>
  <c r="O216" i="7" s="1"/>
  <c r="M215" i="7"/>
  <c r="M214" i="7"/>
  <c r="O214" i="7" s="1"/>
  <c r="M213" i="7"/>
  <c r="M212" i="7"/>
  <c r="O212" i="7" s="1"/>
  <c r="M211" i="7"/>
  <c r="M210" i="7"/>
  <c r="O210" i="7" s="1"/>
  <c r="M209" i="7"/>
  <c r="M208" i="7"/>
  <c r="O208" i="7" s="1"/>
  <c r="M207" i="7"/>
  <c r="M206" i="7"/>
  <c r="O206" i="7" s="1"/>
  <c r="M205" i="7"/>
  <c r="M204" i="7"/>
  <c r="O204" i="7" s="1"/>
  <c r="M203" i="7"/>
  <c r="N202" i="7"/>
  <c r="M202" i="7"/>
  <c r="O202" i="7" s="1"/>
  <c r="M201" i="7"/>
  <c r="M200" i="7"/>
  <c r="O200" i="7" s="1"/>
  <c r="M199" i="7"/>
  <c r="M198" i="7"/>
  <c r="O198" i="7" s="1"/>
  <c r="M197" i="7"/>
  <c r="M196" i="7"/>
  <c r="O196" i="7" s="1"/>
  <c r="M195" i="7"/>
  <c r="M194" i="7"/>
  <c r="O194" i="7" s="1"/>
  <c r="M193" i="7"/>
  <c r="M192" i="7"/>
  <c r="O192" i="7" s="1"/>
  <c r="M191" i="7"/>
  <c r="M190" i="7"/>
  <c r="O190" i="7" s="1"/>
  <c r="M189" i="7"/>
  <c r="M188" i="7"/>
  <c r="O188" i="7" s="1"/>
  <c r="M187" i="7"/>
  <c r="M186" i="7"/>
  <c r="O186" i="7" s="1"/>
  <c r="M185" i="7"/>
  <c r="M184" i="7"/>
  <c r="O184" i="7" s="1"/>
  <c r="M183" i="7"/>
  <c r="M182" i="7"/>
  <c r="O182" i="7" s="1"/>
  <c r="M181" i="7"/>
  <c r="M180" i="7"/>
  <c r="O180" i="7" s="1"/>
  <c r="M179" i="7"/>
  <c r="M178" i="7"/>
  <c r="O178" i="7" s="1"/>
  <c r="M177" i="7"/>
  <c r="M176" i="7"/>
  <c r="O176" i="7" s="1"/>
  <c r="M175" i="7"/>
  <c r="M174" i="7"/>
  <c r="O174" i="7" s="1"/>
  <c r="M173" i="7"/>
  <c r="M172" i="7"/>
  <c r="O172" i="7" s="1"/>
  <c r="M171" i="7"/>
  <c r="M170" i="7"/>
  <c r="O170" i="7" s="1"/>
  <c r="M169" i="7"/>
  <c r="M168" i="7"/>
  <c r="O168" i="7" s="1"/>
  <c r="M167" i="7"/>
  <c r="M166" i="7"/>
  <c r="O166" i="7" s="1"/>
  <c r="M165" i="7"/>
  <c r="M164" i="7"/>
  <c r="O164" i="7" s="1"/>
  <c r="M163" i="7"/>
  <c r="M162" i="7"/>
  <c r="O162" i="7" s="1"/>
  <c r="M161" i="7"/>
  <c r="M160" i="7"/>
  <c r="O160" i="7" s="1"/>
  <c r="M159" i="7"/>
  <c r="M158" i="7"/>
  <c r="O158" i="7" s="1"/>
  <c r="M157" i="7"/>
  <c r="M156" i="7"/>
  <c r="O156" i="7" s="1"/>
  <c r="M155" i="7"/>
  <c r="M154" i="7"/>
  <c r="O154" i="7" s="1"/>
  <c r="M153" i="7"/>
  <c r="M152" i="7"/>
  <c r="O152" i="7" s="1"/>
  <c r="M151" i="7"/>
  <c r="M150" i="7"/>
  <c r="O150" i="7" s="1"/>
  <c r="M149" i="7"/>
  <c r="M148" i="7"/>
  <c r="O148" i="7" s="1"/>
  <c r="M147" i="7"/>
  <c r="M146" i="7"/>
  <c r="O146" i="7" s="1"/>
  <c r="M145" i="7"/>
  <c r="M144" i="7"/>
  <c r="O144" i="7" s="1"/>
  <c r="M143" i="7"/>
  <c r="M142" i="7"/>
  <c r="O142" i="7" s="1"/>
  <c r="M141" i="7"/>
  <c r="M140" i="7"/>
  <c r="O140" i="7" s="1"/>
  <c r="M139" i="7"/>
  <c r="M138" i="7"/>
  <c r="O138" i="7" s="1"/>
  <c r="M137" i="7"/>
  <c r="M136" i="7"/>
  <c r="O136" i="7" s="1"/>
  <c r="M135" i="7"/>
  <c r="M134" i="7"/>
  <c r="O134" i="7" s="1"/>
  <c r="M133" i="7"/>
  <c r="M132" i="7"/>
  <c r="O132" i="7" s="1"/>
  <c r="M131" i="7"/>
  <c r="M130" i="7"/>
  <c r="O130" i="7" s="1"/>
  <c r="M129" i="7"/>
  <c r="M128" i="7"/>
  <c r="O128" i="7" s="1"/>
  <c r="M127" i="7"/>
  <c r="M126" i="7"/>
  <c r="O126" i="7" s="1"/>
  <c r="M125" i="7"/>
  <c r="M124" i="7"/>
  <c r="O124" i="7" s="1"/>
  <c r="M123" i="7"/>
  <c r="M122" i="7"/>
  <c r="O122" i="7" s="1"/>
  <c r="M121" i="7"/>
  <c r="M120" i="7"/>
  <c r="O120" i="7" s="1"/>
  <c r="M119" i="7"/>
  <c r="M118" i="7"/>
  <c r="O118" i="7" s="1"/>
  <c r="M117" i="7"/>
  <c r="M116" i="7"/>
  <c r="O116" i="7" s="1"/>
  <c r="M115" i="7"/>
  <c r="M114" i="7"/>
  <c r="O114" i="7" s="1"/>
  <c r="M113" i="7"/>
  <c r="M112" i="7"/>
  <c r="O112" i="7" s="1"/>
  <c r="M111" i="7"/>
  <c r="M110" i="7"/>
  <c r="O110" i="7" s="1"/>
  <c r="M109" i="7"/>
  <c r="M108" i="7"/>
  <c r="O108" i="7" s="1"/>
  <c r="M107" i="7"/>
  <c r="M106" i="7"/>
  <c r="O106" i="7" s="1"/>
  <c r="M105" i="7"/>
  <c r="M104" i="7"/>
  <c r="O104" i="7" s="1"/>
  <c r="M103" i="7"/>
  <c r="M102" i="7"/>
  <c r="O102" i="7" s="1"/>
  <c r="M101" i="7"/>
  <c r="M100" i="7"/>
  <c r="O100" i="7" s="1"/>
  <c r="M99" i="7"/>
  <c r="M98" i="7"/>
  <c r="O98" i="7" s="1"/>
  <c r="M97" i="7"/>
  <c r="M96" i="7"/>
  <c r="O96" i="7" s="1"/>
  <c r="M95" i="7"/>
  <c r="M94" i="7"/>
  <c r="O94" i="7" s="1"/>
  <c r="M93" i="7"/>
  <c r="M92" i="7"/>
  <c r="O92" i="7" s="1"/>
  <c r="M91" i="7"/>
  <c r="M90" i="7"/>
  <c r="O90" i="7" s="1"/>
  <c r="M89" i="7"/>
  <c r="M88" i="7"/>
  <c r="O88" i="7" s="1"/>
  <c r="M87" i="7"/>
  <c r="M86" i="7"/>
  <c r="O86" i="7" s="1"/>
  <c r="M85" i="7"/>
  <c r="M84" i="7"/>
  <c r="O84" i="7" s="1"/>
  <c r="M83" i="7"/>
  <c r="M82" i="7"/>
  <c r="O82" i="7" s="1"/>
  <c r="M81" i="7"/>
  <c r="M80" i="7"/>
  <c r="O80" i="7" s="1"/>
  <c r="M79" i="7"/>
  <c r="M78" i="7"/>
  <c r="O78" i="7" s="1"/>
  <c r="M77" i="7"/>
  <c r="M76" i="7"/>
  <c r="O76" i="7" s="1"/>
  <c r="M75" i="7"/>
  <c r="N74" i="7"/>
  <c r="M74" i="7"/>
  <c r="O74" i="7" s="1"/>
  <c r="M73" i="7"/>
  <c r="M72" i="7"/>
  <c r="O72" i="7" s="1"/>
  <c r="M71" i="7"/>
  <c r="M70" i="7"/>
  <c r="O70" i="7" s="1"/>
  <c r="M69" i="7"/>
  <c r="M68" i="7"/>
  <c r="O68" i="7" s="1"/>
  <c r="M67" i="7"/>
  <c r="M66" i="7"/>
  <c r="O66" i="7" s="1"/>
  <c r="M65" i="7"/>
  <c r="M64" i="7"/>
  <c r="O64" i="7" s="1"/>
  <c r="M63" i="7"/>
  <c r="M62" i="7"/>
  <c r="O62" i="7" s="1"/>
  <c r="M61" i="7"/>
  <c r="M60" i="7"/>
  <c r="O60" i="7" s="1"/>
  <c r="M59" i="7"/>
  <c r="M58" i="7"/>
  <c r="O58" i="7" s="1"/>
  <c r="M57" i="7"/>
  <c r="M56" i="7"/>
  <c r="O56" i="7" s="1"/>
  <c r="M55" i="7"/>
  <c r="M54" i="7"/>
  <c r="O54" i="7" s="1"/>
  <c r="M53" i="7"/>
  <c r="M52" i="7"/>
  <c r="O52" i="7" s="1"/>
  <c r="M51" i="7"/>
  <c r="M50" i="7"/>
  <c r="O50" i="7" s="1"/>
  <c r="M49" i="7"/>
  <c r="M48" i="7"/>
  <c r="O48" i="7" s="1"/>
  <c r="M47" i="7"/>
  <c r="M46" i="7"/>
  <c r="O46" i="7" s="1"/>
  <c r="M45" i="7"/>
  <c r="M44" i="7"/>
  <c r="O44" i="7" s="1"/>
  <c r="M43" i="7"/>
  <c r="M42" i="7"/>
  <c r="O42" i="7" s="1"/>
  <c r="M41" i="7"/>
  <c r="M40" i="7"/>
  <c r="O40" i="7" s="1"/>
  <c r="M39" i="7"/>
  <c r="M38" i="7"/>
  <c r="O38" i="7" s="1"/>
  <c r="M37" i="7"/>
  <c r="M36" i="7"/>
  <c r="O36" i="7" s="1"/>
  <c r="M35" i="7"/>
  <c r="M34" i="7"/>
  <c r="O34" i="7" s="1"/>
  <c r="M33" i="7"/>
  <c r="M32" i="7"/>
  <c r="O32" i="7" s="1"/>
  <c r="M31" i="7"/>
  <c r="M30" i="7"/>
  <c r="O30" i="7" s="1"/>
  <c r="M29" i="7"/>
  <c r="M28" i="7"/>
  <c r="O28" i="7" s="1"/>
  <c r="M27" i="7"/>
  <c r="M26" i="7"/>
  <c r="O26" i="7" s="1"/>
  <c r="M25" i="7"/>
  <c r="M24" i="7"/>
  <c r="O24" i="7" s="1"/>
  <c r="M23" i="7"/>
  <c r="M22" i="7"/>
  <c r="O22" i="7" s="1"/>
  <c r="M21" i="7"/>
  <c r="M20" i="7"/>
  <c r="O20" i="7" s="1"/>
  <c r="M19" i="7"/>
  <c r="M18" i="7"/>
  <c r="O18" i="7" s="1"/>
  <c r="M17" i="7"/>
  <c r="O17" i="7" s="1"/>
  <c r="M16" i="7"/>
  <c r="O16" i="7" s="1"/>
  <c r="M15" i="7"/>
  <c r="O15" i="7" s="1"/>
  <c r="M14" i="7"/>
  <c r="O14" i="7" s="1"/>
  <c r="M13" i="7"/>
  <c r="O13" i="7" s="1"/>
  <c r="M12" i="7"/>
  <c r="O12" i="7" s="1"/>
  <c r="M11" i="7"/>
  <c r="O11" i="7" s="1"/>
  <c r="M10" i="7"/>
  <c r="O10" i="7" s="1"/>
  <c r="M9" i="7"/>
  <c r="O9" i="7" s="1"/>
  <c r="M8" i="7"/>
  <c r="O8" i="7" s="1"/>
  <c r="M7" i="7"/>
  <c r="O7" i="7" s="1"/>
  <c r="M6" i="7"/>
  <c r="O6" i="7" s="1"/>
  <c r="M5" i="7"/>
  <c r="O5" i="7" s="1"/>
  <c r="M4" i="7"/>
  <c r="O4" i="7" s="1"/>
  <c r="M3" i="7"/>
  <c r="O3" i="7" s="1"/>
  <c r="M2" i="7"/>
  <c r="L3" i="6"/>
  <c r="M3" i="6" s="1"/>
  <c r="L4" i="6"/>
  <c r="M4" i="6" s="1"/>
  <c r="L5" i="6"/>
  <c r="M5" i="6" s="1"/>
  <c r="L6" i="6"/>
  <c r="M6" i="6" s="1"/>
  <c r="L7" i="6"/>
  <c r="M7" i="6" s="1"/>
  <c r="L8" i="6"/>
  <c r="M8" i="6" s="1"/>
  <c r="L9" i="6"/>
  <c r="M9" i="6" s="1"/>
  <c r="L10" i="6"/>
  <c r="M10" i="6" s="1"/>
  <c r="L11" i="6"/>
  <c r="M11" i="6" s="1"/>
  <c r="L12" i="6"/>
  <c r="M12" i="6" s="1"/>
  <c r="L13" i="6"/>
  <c r="M13" i="6" s="1"/>
  <c r="L14" i="6"/>
  <c r="M14" i="6" s="1"/>
  <c r="L15" i="6"/>
  <c r="M15" i="6" s="1"/>
  <c r="L16" i="6"/>
  <c r="M16" i="6" s="1"/>
  <c r="L17" i="6"/>
  <c r="M17" i="6" s="1"/>
  <c r="L18" i="6"/>
  <c r="M18" i="6" s="1"/>
  <c r="L19" i="6"/>
  <c r="M19" i="6" s="1"/>
  <c r="L20" i="6"/>
  <c r="M20" i="6" s="1"/>
  <c r="L21" i="6"/>
  <c r="M21" i="6" s="1"/>
  <c r="L22" i="6"/>
  <c r="M22" i="6" s="1"/>
  <c r="L23" i="6"/>
  <c r="M23" i="6" s="1"/>
  <c r="L24" i="6"/>
  <c r="M24" i="6" s="1"/>
  <c r="L25" i="6"/>
  <c r="M25" i="6" s="1"/>
  <c r="L26" i="6"/>
  <c r="M26" i="6" s="1"/>
  <c r="L27" i="6"/>
  <c r="M27" i="6" s="1"/>
  <c r="L28" i="6"/>
  <c r="M28" i="6" s="1"/>
  <c r="L29" i="6"/>
  <c r="M29" i="6" s="1"/>
  <c r="L30" i="6"/>
  <c r="M30" i="6" s="1"/>
  <c r="L31" i="6"/>
  <c r="M31" i="6" s="1"/>
  <c r="L32" i="6"/>
  <c r="M32" i="6" s="1"/>
  <c r="L33" i="6"/>
  <c r="M33" i="6" s="1"/>
  <c r="L34" i="6"/>
  <c r="M34" i="6" s="1"/>
  <c r="L35" i="6"/>
  <c r="M35" i="6" s="1"/>
  <c r="L36" i="6"/>
  <c r="M36" i="6" s="1"/>
  <c r="L37" i="6"/>
  <c r="M37" i="6" s="1"/>
  <c r="L38" i="6"/>
  <c r="M38" i="6" s="1"/>
  <c r="L39" i="6"/>
  <c r="M39" i="6" s="1"/>
  <c r="L40" i="6"/>
  <c r="M40" i="6" s="1"/>
  <c r="L41" i="6"/>
  <c r="M41" i="6" s="1"/>
  <c r="L42" i="6"/>
  <c r="M42" i="6" s="1"/>
  <c r="L43" i="6"/>
  <c r="M43" i="6" s="1"/>
  <c r="L44" i="6"/>
  <c r="M44" i="6" s="1"/>
  <c r="L45" i="6"/>
  <c r="M45" i="6" s="1"/>
  <c r="L46" i="6"/>
  <c r="M46" i="6" s="1"/>
  <c r="L47" i="6"/>
  <c r="M47" i="6" s="1"/>
  <c r="L48" i="6"/>
  <c r="M48" i="6" s="1"/>
  <c r="L49" i="6"/>
  <c r="M49" i="6" s="1"/>
  <c r="L50" i="6"/>
  <c r="M50" i="6" s="1"/>
  <c r="L51" i="6"/>
  <c r="M51" i="6" s="1"/>
  <c r="L2" i="6"/>
  <c r="M2" i="6" s="1"/>
  <c r="H287" i="30" l="1"/>
  <c r="F290" i="30" s="1"/>
  <c r="N306" i="7"/>
  <c r="H600" i="11"/>
  <c r="H603" i="11"/>
  <c r="H602" i="11"/>
  <c r="N138" i="7"/>
  <c r="N290" i="7"/>
  <c r="N14" i="7"/>
  <c r="N258" i="7"/>
  <c r="N274" i="7"/>
  <c r="N58" i="7"/>
  <c r="N186" i="7"/>
  <c r="N270" i="7"/>
  <c r="N302" i="7"/>
  <c r="N6" i="7"/>
  <c r="N122" i="7"/>
  <c r="N250" i="7"/>
  <c r="N286" i="7"/>
  <c r="N433" i="7"/>
  <c r="H258" i="14"/>
  <c r="H325" i="14" s="1"/>
  <c r="H225" i="13"/>
  <c r="H288" i="16"/>
  <c r="N90" i="7"/>
  <c r="N154" i="7"/>
  <c r="N278" i="7"/>
  <c r="N310" i="7"/>
  <c r="N26" i="7"/>
  <c r="N218" i="7"/>
  <c r="N262" i="7"/>
  <c r="N294" i="7"/>
  <c r="N353" i="7"/>
  <c r="N469" i="7"/>
  <c r="N42" i="7"/>
  <c r="N106" i="7"/>
  <c r="N170" i="7"/>
  <c r="N234" i="7"/>
  <c r="N266" i="7"/>
  <c r="N282" i="7"/>
  <c r="N298" i="7"/>
  <c r="N369" i="7"/>
  <c r="N12" i="7"/>
  <c r="N20" i="7"/>
  <c r="N114" i="7"/>
  <c r="N130" i="7"/>
  <c r="N146" i="7"/>
  <c r="N162" i="7"/>
  <c r="N178" i="7"/>
  <c r="N194" i="7"/>
  <c r="N210" i="7"/>
  <c r="N226" i="7"/>
  <c r="N242" i="7"/>
  <c r="N325" i="7"/>
  <c r="N417" i="7"/>
  <c r="N453" i="7"/>
  <c r="N36" i="7"/>
  <c r="N10" i="7"/>
  <c r="N18" i="7"/>
  <c r="N34" i="7"/>
  <c r="N50" i="7"/>
  <c r="N66" i="7"/>
  <c r="N82" i="7"/>
  <c r="N98" i="7"/>
  <c r="N8" i="7"/>
  <c r="N16" i="7"/>
  <c r="N28" i="7"/>
  <c r="N44" i="7"/>
  <c r="N60" i="7"/>
  <c r="N76" i="7"/>
  <c r="N92" i="7"/>
  <c r="N108" i="7"/>
  <c r="N124" i="7"/>
  <c r="N140" i="7"/>
  <c r="N156" i="7"/>
  <c r="N172" i="7"/>
  <c r="N188" i="7"/>
  <c r="N204" i="7"/>
  <c r="N220" i="7"/>
  <c r="N236" i="7"/>
  <c r="N252" i="7"/>
  <c r="N264" i="7"/>
  <c r="N272" i="7"/>
  <c r="N280" i="7"/>
  <c r="N288" i="7"/>
  <c r="N296" i="7"/>
  <c r="N304" i="7"/>
  <c r="N312" i="7"/>
  <c r="N337" i="7"/>
  <c r="N385" i="7"/>
  <c r="N421" i="7"/>
  <c r="N461" i="7"/>
  <c r="H208" i="14"/>
  <c r="H323" i="14" s="1"/>
  <c r="N4" i="7"/>
  <c r="N52" i="7"/>
  <c r="N68" i="7"/>
  <c r="N84" i="7"/>
  <c r="N100" i="7"/>
  <c r="N116" i="7"/>
  <c r="N132" i="7"/>
  <c r="N148" i="7"/>
  <c r="N164" i="7"/>
  <c r="N180" i="7"/>
  <c r="N196" i="7"/>
  <c r="N212" i="7"/>
  <c r="N228" i="7"/>
  <c r="N244" i="7"/>
  <c r="N260" i="7"/>
  <c r="N268" i="7"/>
  <c r="N276" i="7"/>
  <c r="N284" i="7"/>
  <c r="N292" i="7"/>
  <c r="N300" i="7"/>
  <c r="N308" i="7"/>
  <c r="N321" i="7"/>
  <c r="N357" i="7"/>
  <c r="N401" i="7"/>
  <c r="N449" i="7"/>
  <c r="N477" i="7"/>
  <c r="H196" i="10"/>
  <c r="H305" i="15"/>
  <c r="F308" i="15" s="1"/>
  <c r="F310" i="15" s="1"/>
  <c r="F313" i="15" s="1"/>
  <c r="F315" i="15" s="1"/>
  <c r="H295" i="16"/>
  <c r="F298" i="16" s="1"/>
  <c r="F300" i="16" s="1"/>
  <c r="F303" i="16" s="1"/>
  <c r="F305" i="16" s="1"/>
  <c r="H326" i="14"/>
  <c r="M52" i="6"/>
  <c r="M53" i="6" s="1"/>
  <c r="N2" i="7"/>
  <c r="O2" i="7"/>
  <c r="O21" i="7"/>
  <c r="N21" i="7"/>
  <c r="O29" i="7"/>
  <c r="N29" i="7"/>
  <c r="O53" i="7"/>
  <c r="N53" i="7"/>
  <c r="O69" i="7"/>
  <c r="N69" i="7"/>
  <c r="O93" i="7"/>
  <c r="N93" i="7"/>
  <c r="O109" i="7"/>
  <c r="N109" i="7"/>
  <c r="O117" i="7"/>
  <c r="N117" i="7"/>
  <c r="O141" i="7"/>
  <c r="N141" i="7"/>
  <c r="O157" i="7"/>
  <c r="N157" i="7"/>
  <c r="O181" i="7"/>
  <c r="N181" i="7"/>
  <c r="O213" i="7"/>
  <c r="N213" i="7"/>
  <c r="O221" i="7"/>
  <c r="N221" i="7"/>
  <c r="O229" i="7"/>
  <c r="N229" i="7"/>
  <c r="O237" i="7"/>
  <c r="N237" i="7"/>
  <c r="O245" i="7"/>
  <c r="N245" i="7"/>
  <c r="O269" i="7"/>
  <c r="N269" i="7"/>
  <c r="O277" i="7"/>
  <c r="N277" i="7"/>
  <c r="O293" i="7"/>
  <c r="N293" i="7"/>
  <c r="N315" i="7"/>
  <c r="O315" i="7"/>
  <c r="N322" i="7"/>
  <c r="O322" i="7"/>
  <c r="O329" i="7"/>
  <c r="N329" i="7"/>
  <c r="N354" i="7"/>
  <c r="O354" i="7"/>
  <c r="N379" i="7"/>
  <c r="O379" i="7"/>
  <c r="N386" i="7"/>
  <c r="O386" i="7"/>
  <c r="O393" i="7"/>
  <c r="N393" i="7"/>
  <c r="N415" i="7"/>
  <c r="O415" i="7"/>
  <c r="N418" i="7"/>
  <c r="O418" i="7"/>
  <c r="O425" i="7"/>
  <c r="N425" i="7"/>
  <c r="N443" i="7"/>
  <c r="O443" i="7"/>
  <c r="N447" i="7"/>
  <c r="O447" i="7"/>
  <c r="N450" i="7"/>
  <c r="O450" i="7"/>
  <c r="O457" i="7"/>
  <c r="N457" i="7"/>
  <c r="O473" i="7"/>
  <c r="N473" i="7"/>
  <c r="O19" i="7"/>
  <c r="N19" i="7"/>
  <c r="N24" i="7"/>
  <c r="O35" i="7"/>
  <c r="N35" i="7"/>
  <c r="N80" i="7"/>
  <c r="O83" i="7"/>
  <c r="N83" i="7"/>
  <c r="N88" i="7"/>
  <c r="O91" i="7"/>
  <c r="N91" i="7"/>
  <c r="N96" i="7"/>
  <c r="O99" i="7"/>
  <c r="N99" i="7"/>
  <c r="N104" i="7"/>
  <c r="O107" i="7"/>
  <c r="N107" i="7"/>
  <c r="N112" i="7"/>
  <c r="O115" i="7"/>
  <c r="N115" i="7"/>
  <c r="N120" i="7"/>
  <c r="O123" i="7"/>
  <c r="N123" i="7"/>
  <c r="O139" i="7"/>
  <c r="N139" i="7"/>
  <c r="N144" i="7"/>
  <c r="O147" i="7"/>
  <c r="N147" i="7"/>
  <c r="N152" i="7"/>
  <c r="O155" i="7"/>
  <c r="N155" i="7"/>
  <c r="N160" i="7"/>
  <c r="O163" i="7"/>
  <c r="N163" i="7"/>
  <c r="N168" i="7"/>
  <c r="O171" i="7"/>
  <c r="N171" i="7"/>
  <c r="N176" i="7"/>
  <c r="O179" i="7"/>
  <c r="N179" i="7"/>
  <c r="N184" i="7"/>
  <c r="O187" i="7"/>
  <c r="N187" i="7"/>
  <c r="N192" i="7"/>
  <c r="O195" i="7"/>
  <c r="N195" i="7"/>
  <c r="N200" i="7"/>
  <c r="O203" i="7"/>
  <c r="N203" i="7"/>
  <c r="N208" i="7"/>
  <c r="O211" i="7"/>
  <c r="N211" i="7"/>
  <c r="N216" i="7"/>
  <c r="O219" i="7"/>
  <c r="N219" i="7"/>
  <c r="N224" i="7"/>
  <c r="O227" i="7"/>
  <c r="N227" i="7"/>
  <c r="N232" i="7"/>
  <c r="O243" i="7"/>
  <c r="N243" i="7"/>
  <c r="N248" i="7"/>
  <c r="O251" i="7"/>
  <c r="N251" i="7"/>
  <c r="N256" i="7"/>
  <c r="O267" i="7"/>
  <c r="N267" i="7"/>
  <c r="O283" i="7"/>
  <c r="N283" i="7"/>
  <c r="O291" i="7"/>
  <c r="N291" i="7"/>
  <c r="N316" i="7"/>
  <c r="O316" i="7"/>
  <c r="N348" i="7"/>
  <c r="O348" i="7"/>
  <c r="N380" i="7"/>
  <c r="O380" i="7"/>
  <c r="N408" i="7"/>
  <c r="O408" i="7"/>
  <c r="N3" i="7"/>
  <c r="N5" i="7"/>
  <c r="N7" i="7"/>
  <c r="N9" i="7"/>
  <c r="N11" i="7"/>
  <c r="N13" i="7"/>
  <c r="N15" i="7"/>
  <c r="N17" i="7"/>
  <c r="N22" i="7"/>
  <c r="O25" i="7"/>
  <c r="N25" i="7"/>
  <c r="N30" i="7"/>
  <c r="O33" i="7"/>
  <c r="N33" i="7"/>
  <c r="N38" i="7"/>
  <c r="O41" i="7"/>
  <c r="N41" i="7"/>
  <c r="N46" i="7"/>
  <c r="O49" i="7"/>
  <c r="N49" i="7"/>
  <c r="N54" i="7"/>
  <c r="O57" i="7"/>
  <c r="N57" i="7"/>
  <c r="N62" i="7"/>
  <c r="O65" i="7"/>
  <c r="N65" i="7"/>
  <c r="N70" i="7"/>
  <c r="O73" i="7"/>
  <c r="N73" i="7"/>
  <c r="N78" i="7"/>
  <c r="O81" i="7"/>
  <c r="N81" i="7"/>
  <c r="N86" i="7"/>
  <c r="O89" i="7"/>
  <c r="N89" i="7"/>
  <c r="N94" i="7"/>
  <c r="O97" i="7"/>
  <c r="N97" i="7"/>
  <c r="N102" i="7"/>
  <c r="O105" i="7"/>
  <c r="N105" i="7"/>
  <c r="N110" i="7"/>
  <c r="O113" i="7"/>
  <c r="N113" i="7"/>
  <c r="N118" i="7"/>
  <c r="O121" i="7"/>
  <c r="N121" i="7"/>
  <c r="N126" i="7"/>
  <c r="O129" i="7"/>
  <c r="N129" i="7"/>
  <c r="N134" i="7"/>
  <c r="O137" i="7"/>
  <c r="N137" i="7"/>
  <c r="N142" i="7"/>
  <c r="O145" i="7"/>
  <c r="N145" i="7"/>
  <c r="N150" i="7"/>
  <c r="O153" i="7"/>
  <c r="N153" i="7"/>
  <c r="N158" i="7"/>
  <c r="O161" i="7"/>
  <c r="N161" i="7"/>
  <c r="N166" i="7"/>
  <c r="O169" i="7"/>
  <c r="N169" i="7"/>
  <c r="N174" i="7"/>
  <c r="O177" i="7"/>
  <c r="N177" i="7"/>
  <c r="N182" i="7"/>
  <c r="O185" i="7"/>
  <c r="N185" i="7"/>
  <c r="N190" i="7"/>
  <c r="O193" i="7"/>
  <c r="N193" i="7"/>
  <c r="N198" i="7"/>
  <c r="O201" i="7"/>
  <c r="N201" i="7"/>
  <c r="N206" i="7"/>
  <c r="O209" i="7"/>
  <c r="N209" i="7"/>
  <c r="N214" i="7"/>
  <c r="O217" i="7"/>
  <c r="N217" i="7"/>
  <c r="N222" i="7"/>
  <c r="O225" i="7"/>
  <c r="N225" i="7"/>
  <c r="N230" i="7"/>
  <c r="O233" i="7"/>
  <c r="N233" i="7"/>
  <c r="N238" i="7"/>
  <c r="O241" i="7"/>
  <c r="N241" i="7"/>
  <c r="N246" i="7"/>
  <c r="O249" i="7"/>
  <c r="N249" i="7"/>
  <c r="N254" i="7"/>
  <c r="O257" i="7"/>
  <c r="N257" i="7"/>
  <c r="O265" i="7"/>
  <c r="N265" i="7"/>
  <c r="O273" i="7"/>
  <c r="N273" i="7"/>
  <c r="O281" i="7"/>
  <c r="N281" i="7"/>
  <c r="O289" i="7"/>
  <c r="N289" i="7"/>
  <c r="O297" i="7"/>
  <c r="N297" i="7"/>
  <c r="O305" i="7"/>
  <c r="N305" i="7"/>
  <c r="O313" i="7"/>
  <c r="N313" i="7"/>
  <c r="N331" i="7"/>
  <c r="O331" i="7"/>
  <c r="N335" i="7"/>
  <c r="O335" i="7"/>
  <c r="N338" i="7"/>
  <c r="O338" i="7"/>
  <c r="N341" i="7"/>
  <c r="O345" i="7"/>
  <c r="N345" i="7"/>
  <c r="N363" i="7"/>
  <c r="O363" i="7"/>
  <c r="N367" i="7"/>
  <c r="O367" i="7"/>
  <c r="N370" i="7"/>
  <c r="O370" i="7"/>
  <c r="N373" i="7"/>
  <c r="O377" i="7"/>
  <c r="N377" i="7"/>
  <c r="N395" i="7"/>
  <c r="O395" i="7"/>
  <c r="N399" i="7"/>
  <c r="O399" i="7"/>
  <c r="N402" i="7"/>
  <c r="O402" i="7"/>
  <c r="N405" i="7"/>
  <c r="O409" i="7"/>
  <c r="N409" i="7"/>
  <c r="N427" i="7"/>
  <c r="O427" i="7"/>
  <c r="N431" i="7"/>
  <c r="O431" i="7"/>
  <c r="N434" i="7"/>
  <c r="O434" i="7"/>
  <c r="N437" i="7"/>
  <c r="O441" i="7"/>
  <c r="N441" i="7"/>
  <c r="O465" i="7"/>
  <c r="N465" i="7"/>
  <c r="O481" i="7"/>
  <c r="N481" i="7"/>
  <c r="O37" i="7"/>
  <c r="N37" i="7"/>
  <c r="O45" i="7"/>
  <c r="N45" i="7"/>
  <c r="O61" i="7"/>
  <c r="N61" i="7"/>
  <c r="O77" i="7"/>
  <c r="N77" i="7"/>
  <c r="O85" i="7"/>
  <c r="N85" i="7"/>
  <c r="O101" i="7"/>
  <c r="N101" i="7"/>
  <c r="O125" i="7"/>
  <c r="N125" i="7"/>
  <c r="O133" i="7"/>
  <c r="N133" i="7"/>
  <c r="O149" i="7"/>
  <c r="N149" i="7"/>
  <c r="O165" i="7"/>
  <c r="N165" i="7"/>
  <c r="O173" i="7"/>
  <c r="N173" i="7"/>
  <c r="O189" i="7"/>
  <c r="N189" i="7"/>
  <c r="O197" i="7"/>
  <c r="N197" i="7"/>
  <c r="O205" i="7"/>
  <c r="N205" i="7"/>
  <c r="O253" i="7"/>
  <c r="N253" i="7"/>
  <c r="O261" i="7"/>
  <c r="N261" i="7"/>
  <c r="O285" i="7"/>
  <c r="N285" i="7"/>
  <c r="O301" i="7"/>
  <c r="N301" i="7"/>
  <c r="O309" i="7"/>
  <c r="N309" i="7"/>
  <c r="N319" i="7"/>
  <c r="O319" i="7"/>
  <c r="N347" i="7"/>
  <c r="O347" i="7"/>
  <c r="N351" i="7"/>
  <c r="O351" i="7"/>
  <c r="O361" i="7"/>
  <c r="N361" i="7"/>
  <c r="N383" i="7"/>
  <c r="O383" i="7"/>
  <c r="N411" i="7"/>
  <c r="O411" i="7"/>
  <c r="O27" i="7"/>
  <c r="N27" i="7"/>
  <c r="N32" i="7"/>
  <c r="N40" i="7"/>
  <c r="O43" i="7"/>
  <c r="N43" i="7"/>
  <c r="N48" i="7"/>
  <c r="O51" i="7"/>
  <c r="N51" i="7"/>
  <c r="N56" i="7"/>
  <c r="O59" i="7"/>
  <c r="N59" i="7"/>
  <c r="N64" i="7"/>
  <c r="O67" i="7"/>
  <c r="N67" i="7"/>
  <c r="N72" i="7"/>
  <c r="O75" i="7"/>
  <c r="N75" i="7"/>
  <c r="N128" i="7"/>
  <c r="O131" i="7"/>
  <c r="N131" i="7"/>
  <c r="N136" i="7"/>
  <c r="O235" i="7"/>
  <c r="N235" i="7"/>
  <c r="N240" i="7"/>
  <c r="O259" i="7"/>
  <c r="N259" i="7"/>
  <c r="O275" i="7"/>
  <c r="N275" i="7"/>
  <c r="O299" i="7"/>
  <c r="N299" i="7"/>
  <c r="O307" i="7"/>
  <c r="R8" i="7" s="1"/>
  <c r="N307" i="7"/>
  <c r="N334" i="7"/>
  <c r="O334" i="7"/>
  <c r="N344" i="7"/>
  <c r="O344" i="7"/>
  <c r="N366" i="7"/>
  <c r="O366" i="7"/>
  <c r="N376" i="7"/>
  <c r="O376" i="7"/>
  <c r="N398" i="7"/>
  <c r="O398" i="7"/>
  <c r="N412" i="7"/>
  <c r="O412" i="7"/>
  <c r="N430" i="7"/>
  <c r="O430" i="7"/>
  <c r="N440" i="7"/>
  <c r="O440" i="7"/>
  <c r="N444" i="7"/>
  <c r="O444" i="7"/>
  <c r="N464" i="7"/>
  <c r="O464" i="7"/>
  <c r="N467" i="7"/>
  <c r="N470" i="7"/>
  <c r="O470" i="7"/>
  <c r="N480" i="7"/>
  <c r="O480" i="7"/>
  <c r="O23" i="7"/>
  <c r="N23" i="7"/>
  <c r="O31" i="7"/>
  <c r="N31" i="7"/>
  <c r="O39" i="7"/>
  <c r="N39" i="7"/>
  <c r="O47" i="7"/>
  <c r="N47" i="7"/>
  <c r="O55" i="7"/>
  <c r="N55" i="7"/>
  <c r="O63" i="7"/>
  <c r="N63" i="7"/>
  <c r="O71" i="7"/>
  <c r="N71" i="7"/>
  <c r="O79" i="7"/>
  <c r="N79" i="7"/>
  <c r="O87" i="7"/>
  <c r="N87" i="7"/>
  <c r="O95" i="7"/>
  <c r="N95" i="7"/>
  <c r="O103" i="7"/>
  <c r="N103" i="7"/>
  <c r="O111" i="7"/>
  <c r="N111" i="7"/>
  <c r="O119" i="7"/>
  <c r="N119" i="7"/>
  <c r="O127" i="7"/>
  <c r="N127" i="7"/>
  <c r="O135" i="7"/>
  <c r="N135" i="7"/>
  <c r="O143" i="7"/>
  <c r="N143" i="7"/>
  <c r="O151" i="7"/>
  <c r="N151" i="7"/>
  <c r="O159" i="7"/>
  <c r="N159" i="7"/>
  <c r="O167" i="7"/>
  <c r="N167" i="7"/>
  <c r="O175" i="7"/>
  <c r="N175" i="7"/>
  <c r="O183" i="7"/>
  <c r="N183" i="7"/>
  <c r="O191" i="7"/>
  <c r="N191" i="7"/>
  <c r="O199" i="7"/>
  <c r="N199" i="7"/>
  <c r="O207" i="7"/>
  <c r="N207" i="7"/>
  <c r="O215" i="7"/>
  <c r="N215" i="7"/>
  <c r="O223" i="7"/>
  <c r="N223" i="7"/>
  <c r="O231" i="7"/>
  <c r="N231" i="7"/>
  <c r="O239" i="7"/>
  <c r="N239" i="7"/>
  <c r="O247" i="7"/>
  <c r="N247" i="7"/>
  <c r="O255" i="7"/>
  <c r="N255" i="7"/>
  <c r="O263" i="7"/>
  <c r="N263" i="7"/>
  <c r="Q6" i="7" s="1"/>
  <c r="O271" i="7"/>
  <c r="N271" i="7"/>
  <c r="O279" i="7"/>
  <c r="N279" i="7"/>
  <c r="O287" i="7"/>
  <c r="N287" i="7"/>
  <c r="O295" i="7"/>
  <c r="N295" i="7"/>
  <c r="O303" i="7"/>
  <c r="N303" i="7"/>
  <c r="O311" i="7"/>
  <c r="N311" i="7"/>
  <c r="N318" i="7"/>
  <c r="O318" i="7"/>
  <c r="N328" i="7"/>
  <c r="O328" i="7"/>
  <c r="N332" i="7"/>
  <c r="O332" i="7"/>
  <c r="N350" i="7"/>
  <c r="O350" i="7"/>
  <c r="N360" i="7"/>
  <c r="O360" i="7"/>
  <c r="N364" i="7"/>
  <c r="O364" i="7"/>
  <c r="N382" i="7"/>
  <c r="O382" i="7"/>
  <c r="N392" i="7"/>
  <c r="O392" i="7"/>
  <c r="N396" i="7"/>
  <c r="O396" i="7"/>
  <c r="N414" i="7"/>
  <c r="O414" i="7"/>
  <c r="N424" i="7"/>
  <c r="O424" i="7"/>
  <c r="N428" i="7"/>
  <c r="O428" i="7"/>
  <c r="N446" i="7"/>
  <c r="O446" i="7"/>
  <c r="N456" i="7"/>
  <c r="O456" i="7"/>
  <c r="N459" i="7"/>
  <c r="N462" i="7"/>
  <c r="O462" i="7"/>
  <c r="N472" i="7"/>
  <c r="O472" i="7"/>
  <c r="N475" i="7"/>
  <c r="N478" i="7"/>
  <c r="O478" i="7"/>
  <c r="N320" i="7"/>
  <c r="O320" i="7"/>
  <c r="N323" i="7"/>
  <c r="O323" i="7"/>
  <c r="N326" i="7"/>
  <c r="O326" i="7"/>
  <c r="N336" i="7"/>
  <c r="O336" i="7"/>
  <c r="N339" i="7"/>
  <c r="O339" i="7"/>
  <c r="N342" i="7"/>
  <c r="O342" i="7"/>
  <c r="N352" i="7"/>
  <c r="O352" i="7"/>
  <c r="N355" i="7"/>
  <c r="O355" i="7"/>
  <c r="N358" i="7"/>
  <c r="O358" i="7"/>
  <c r="N368" i="7"/>
  <c r="O368" i="7"/>
  <c r="N371" i="7"/>
  <c r="O371" i="7"/>
  <c r="N374" i="7"/>
  <c r="O374" i="7"/>
  <c r="N384" i="7"/>
  <c r="O384" i="7"/>
  <c r="N387" i="7"/>
  <c r="O387" i="7"/>
  <c r="N390" i="7"/>
  <c r="O390" i="7"/>
  <c r="N400" i="7"/>
  <c r="O400" i="7"/>
  <c r="N403" i="7"/>
  <c r="O403" i="7"/>
  <c r="N406" i="7"/>
  <c r="O406" i="7"/>
  <c r="N416" i="7"/>
  <c r="O416" i="7"/>
  <c r="N419" i="7"/>
  <c r="O419" i="7"/>
  <c r="N422" i="7"/>
  <c r="O422" i="7"/>
  <c r="N432" i="7"/>
  <c r="O432" i="7"/>
  <c r="N435" i="7"/>
  <c r="O435" i="7"/>
  <c r="N438" i="7"/>
  <c r="O438" i="7"/>
  <c r="N448" i="7"/>
  <c r="O448" i="7"/>
  <c r="N451" i="7"/>
  <c r="O451" i="7"/>
  <c r="N454" i="7"/>
  <c r="O454" i="7"/>
  <c r="N460" i="7"/>
  <c r="O460" i="7"/>
  <c r="N468" i="7"/>
  <c r="O468" i="7"/>
  <c r="N476" i="7"/>
  <c r="O476" i="7"/>
  <c r="N314" i="7"/>
  <c r="O314" i="7"/>
  <c r="N317" i="7"/>
  <c r="N324" i="7"/>
  <c r="O324" i="7"/>
  <c r="N327" i="7"/>
  <c r="O327" i="7"/>
  <c r="N330" i="7"/>
  <c r="O330" i="7"/>
  <c r="N333" i="7"/>
  <c r="N340" i="7"/>
  <c r="O340" i="7"/>
  <c r="N343" i="7"/>
  <c r="O343" i="7"/>
  <c r="N346" i="7"/>
  <c r="O346" i="7"/>
  <c r="N349" i="7"/>
  <c r="N356" i="7"/>
  <c r="O356" i="7"/>
  <c r="N359" i="7"/>
  <c r="O359" i="7"/>
  <c r="N362" i="7"/>
  <c r="O362" i="7"/>
  <c r="N365" i="7"/>
  <c r="N372" i="7"/>
  <c r="O372" i="7"/>
  <c r="N375" i="7"/>
  <c r="O375" i="7"/>
  <c r="N378" i="7"/>
  <c r="O378" i="7"/>
  <c r="N381" i="7"/>
  <c r="N388" i="7"/>
  <c r="O388" i="7"/>
  <c r="N391" i="7"/>
  <c r="O391" i="7"/>
  <c r="N394" i="7"/>
  <c r="O394" i="7"/>
  <c r="N397" i="7"/>
  <c r="N404" i="7"/>
  <c r="O404" i="7"/>
  <c r="N407" i="7"/>
  <c r="O407" i="7"/>
  <c r="N410" i="7"/>
  <c r="O410" i="7"/>
  <c r="N413" i="7"/>
  <c r="N420" i="7"/>
  <c r="O420" i="7"/>
  <c r="N423" i="7"/>
  <c r="O423" i="7"/>
  <c r="N426" i="7"/>
  <c r="O426" i="7"/>
  <c r="N429" i="7"/>
  <c r="N436" i="7"/>
  <c r="O436" i="7"/>
  <c r="N439" i="7"/>
  <c r="O439" i="7"/>
  <c r="N442" i="7"/>
  <c r="O442" i="7"/>
  <c r="N445" i="7"/>
  <c r="N452" i="7"/>
  <c r="O452" i="7"/>
  <c r="N455" i="7"/>
  <c r="O455" i="7"/>
  <c r="N458" i="7"/>
  <c r="O458" i="7"/>
  <c r="N463" i="7"/>
  <c r="N466" i="7"/>
  <c r="O466" i="7"/>
  <c r="N471" i="7"/>
  <c r="N474" i="7"/>
  <c r="O474" i="7"/>
  <c r="N479" i="7"/>
  <c r="N482" i="7"/>
  <c r="O482" i="7"/>
  <c r="U35" i="3"/>
  <c r="V35" i="3"/>
  <c r="W35" i="3"/>
  <c r="X35" i="3"/>
  <c r="Y35" i="3"/>
  <c r="U36" i="3"/>
  <c r="W36" i="3"/>
  <c r="X36" i="3"/>
  <c r="Z36" i="3"/>
  <c r="U37" i="3"/>
  <c r="W37" i="3"/>
  <c r="Y37" i="3"/>
  <c r="U38" i="3"/>
  <c r="W38" i="3"/>
  <c r="X38" i="3"/>
  <c r="Z38" i="3"/>
  <c r="U39" i="3"/>
  <c r="W39" i="3"/>
  <c r="X39" i="3"/>
  <c r="Z39" i="3"/>
  <c r="U40" i="3"/>
  <c r="W40" i="3"/>
  <c r="Y40" i="3"/>
  <c r="Z40" i="3"/>
  <c r="V41" i="3"/>
  <c r="X41" i="3"/>
  <c r="V42" i="3"/>
  <c r="W42" i="3"/>
  <c r="Y42" i="3"/>
  <c r="Z42" i="3"/>
  <c r="V43" i="3"/>
  <c r="W43" i="3"/>
  <c r="Y43" i="3"/>
  <c r="Z43" i="3"/>
  <c r="U44" i="3"/>
  <c r="V44" i="3"/>
  <c r="X44" i="3"/>
  <c r="Y44" i="3"/>
  <c r="U45" i="3"/>
  <c r="V45" i="3"/>
  <c r="X45" i="3"/>
  <c r="Y45" i="3"/>
  <c r="U46" i="3"/>
  <c r="V46" i="3"/>
  <c r="X46" i="3"/>
  <c r="Y46" i="3"/>
  <c r="Z46" i="3"/>
  <c r="U47" i="3"/>
  <c r="V47" i="3"/>
  <c r="X47" i="3"/>
  <c r="Y47" i="3"/>
  <c r="Z47" i="3"/>
  <c r="U48" i="3"/>
  <c r="V48" i="3"/>
  <c r="X48" i="3"/>
  <c r="Y48" i="3"/>
  <c r="Z48" i="3"/>
  <c r="W16" i="3"/>
  <c r="U16" i="3"/>
  <c r="H604" i="11" l="1"/>
  <c r="R4" i="7"/>
  <c r="H327" i="14"/>
  <c r="F330" i="14" s="1"/>
  <c r="F332" i="14" s="1"/>
  <c r="F335" i="14" s="1"/>
  <c r="F337" i="14" s="1"/>
  <c r="Q8" i="7"/>
  <c r="R6" i="7"/>
  <c r="Q7" i="7"/>
  <c r="Q5" i="7"/>
  <c r="N483" i="7"/>
  <c r="N484" i="7" s="1"/>
  <c r="Q3" i="7"/>
  <c r="Q4" i="7"/>
  <c r="R3" i="7"/>
  <c r="O483" i="7"/>
  <c r="R7" i="7"/>
  <c r="R5" i="7"/>
  <c r="H607" i="11" l="1"/>
  <c r="Q3" i="3"/>
  <c r="X3" i="3" s="1"/>
  <c r="Q4" i="3"/>
  <c r="X4" i="3" s="1"/>
  <c r="V4" i="3" s="1"/>
  <c r="Q5" i="3"/>
  <c r="X5" i="3" s="1"/>
  <c r="V5" i="3" s="1"/>
  <c r="Q6" i="3"/>
  <c r="X6" i="3" s="1"/>
  <c r="V6" i="3" s="1"/>
  <c r="Q7" i="3"/>
  <c r="X7" i="3" s="1"/>
  <c r="V7" i="3" s="1"/>
  <c r="Q8" i="3"/>
  <c r="X8" i="3" s="1"/>
  <c r="V8" i="3" s="1"/>
  <c r="Q9" i="3"/>
  <c r="X9" i="3" s="1"/>
  <c r="V9" i="3" s="1"/>
  <c r="Q10" i="3"/>
  <c r="X10" i="3" s="1"/>
  <c r="V10" i="3" s="1"/>
  <c r="Q11" i="3"/>
  <c r="X11" i="3" s="1"/>
  <c r="V11" i="3" s="1"/>
  <c r="Q12" i="3"/>
  <c r="X12" i="3" s="1"/>
  <c r="V12" i="3" s="1"/>
  <c r="Q13" i="3"/>
  <c r="X13" i="3" s="1"/>
  <c r="V13" i="3" s="1"/>
  <c r="Q14" i="3"/>
  <c r="X14" i="3" s="1"/>
  <c r="V14" i="3" s="1"/>
  <c r="Q15" i="3"/>
  <c r="X15" i="3" s="1"/>
  <c r="V15" i="3" s="1"/>
  <c r="Q2" i="3"/>
  <c r="X2" i="3" s="1"/>
  <c r="V2" i="3" s="1"/>
  <c r="Y10" i="3" l="1"/>
  <c r="U43" i="3"/>
  <c r="X43" i="3"/>
  <c r="W46" i="3"/>
  <c r="Y13" i="3"/>
  <c r="Y38" i="3"/>
  <c r="Y5" i="3"/>
  <c r="V38" i="3"/>
  <c r="Y2" i="3"/>
  <c r="Z35" i="3"/>
  <c r="Y12" i="3"/>
  <c r="W45" i="3"/>
  <c r="Z45" i="3"/>
  <c r="Y8" i="3"/>
  <c r="Z41" i="3"/>
  <c r="Y41" i="3"/>
  <c r="U41" i="3"/>
  <c r="W41" i="3"/>
  <c r="X37" i="3"/>
  <c r="V37" i="3"/>
  <c r="Z37" i="3"/>
  <c r="Y4" i="3"/>
  <c r="Y14" i="3"/>
  <c r="W47" i="3"/>
  <c r="Y6" i="3"/>
  <c r="Y39" i="3"/>
  <c r="V39" i="3"/>
  <c r="U42" i="3"/>
  <c r="Y9" i="3"/>
  <c r="X42" i="3"/>
  <c r="Y15" i="3"/>
  <c r="W48" i="3"/>
  <c r="Z44" i="3"/>
  <c r="W44" i="3"/>
  <c r="Y11" i="3"/>
  <c r="V40" i="3"/>
  <c r="X40" i="3"/>
  <c r="Y7" i="3"/>
  <c r="X16" i="3"/>
  <c r="V3" i="3"/>
  <c r="V16" i="3" s="1"/>
  <c r="T50" i="7"/>
  <c r="V50" i="7"/>
  <c r="X49" i="3" l="1"/>
  <c r="W49" i="3"/>
  <c r="U49" i="3"/>
  <c r="Z49" i="3"/>
  <c r="Y3" i="3"/>
  <c r="Y16" i="3" s="1"/>
  <c r="Y36" i="3"/>
  <c r="Y49" i="3" s="1"/>
  <c r="V36" i="3"/>
  <c r="V49" i="3" s="1"/>
  <c r="H292" i="27" l="1"/>
  <c r="P5" i="27" l="1"/>
  <c r="D17" i="27" s="1"/>
  <c r="H175" i="27" l="1"/>
  <c r="H176" i="27" s="1"/>
  <c r="G7" i="27"/>
  <c r="F333" i="27"/>
  <c r="G5" i="27"/>
  <c r="H50" i="27" l="1"/>
  <c r="W22" i="31" s="1"/>
  <c r="X22" i="31" s="1"/>
  <c r="AA5" i="31" s="1"/>
  <c r="D14" i="27"/>
  <c r="H57" i="27"/>
  <c r="T6" i="31" s="1"/>
  <c r="H304" i="27"/>
  <c r="H305" i="27" s="1"/>
  <c r="H278" i="27"/>
  <c r="H279" i="27" s="1"/>
  <c r="H55" i="27"/>
  <c r="T7" i="31" s="1"/>
  <c r="H242" i="27"/>
  <c r="H324" i="27" s="1"/>
  <c r="F266" i="27" l="1"/>
  <c r="H266" i="27" s="1"/>
  <c r="H308" i="27"/>
  <c r="H327" i="27" s="1"/>
  <c r="D21" i="27"/>
  <c r="H88" i="27"/>
  <c r="H89" i="27" s="1"/>
  <c r="H236" i="27" l="1"/>
  <c r="H323" i="27" s="1"/>
  <c r="H45" i="27"/>
  <c r="H40" i="27"/>
  <c r="H39" i="27"/>
  <c r="H44" i="27"/>
  <c r="H42" i="27"/>
  <c r="H41" i="27"/>
  <c r="H37" i="27"/>
  <c r="H43" i="27"/>
  <c r="H38" i="27"/>
  <c r="F260" i="27" l="1"/>
  <c r="H260" i="27" s="1"/>
  <c r="F257" i="27"/>
  <c r="H257" i="27" s="1"/>
  <c r="F258" i="27"/>
  <c r="H258" i="27" s="1"/>
  <c r="F259" i="27"/>
  <c r="H259" i="27" s="1"/>
  <c r="F252" i="27"/>
  <c r="H252" i="27" s="1"/>
  <c r="F254" i="27"/>
  <c r="H254" i="27" s="1"/>
  <c r="F253" i="27"/>
  <c r="H253" i="27" s="1"/>
  <c r="F256" i="27"/>
  <c r="H256" i="27" s="1"/>
  <c r="F255" i="27"/>
  <c r="H255" i="27" s="1"/>
  <c r="H262" i="27" l="1"/>
  <c r="H326" i="27" s="1"/>
  <c r="H329" i="27" s="1"/>
  <c r="F332" i="27" s="1"/>
  <c r="F334" i="27" l="1"/>
  <c r="H320" i="27"/>
  <c r="H178" i="17"/>
  <c r="H228" i="13"/>
  <c r="H198" i="10"/>
  <c r="H229" i="13" l="1"/>
  <c r="H182" i="17"/>
  <c r="F10" i="24"/>
  <c r="G10" i="24" s="1"/>
  <c r="H202" i="10"/>
  <c r="H608" i="11"/>
  <c r="O330" i="27"/>
  <c r="O332" i="27" s="1"/>
  <c r="H181" i="17"/>
  <c r="H201" i="10"/>
  <c r="F292" i="30" l="1"/>
  <c r="G6" i="37" s="1"/>
  <c r="H230" i="13"/>
  <c r="F234" i="13" s="1"/>
  <c r="F236" i="13" s="1"/>
  <c r="H183" i="17"/>
  <c r="F186" i="17" s="1"/>
  <c r="F188" i="17" s="1"/>
  <c r="F8" i="24" s="1"/>
  <c r="G8" i="24" s="1"/>
  <c r="F295" i="30" l="1"/>
  <c r="E17" i="33" s="1"/>
  <c r="H6" i="37"/>
  <c r="O331" i="27"/>
  <c r="H609" i="11"/>
  <c r="F612" i="11" s="1"/>
  <c r="F614" i="11" s="1"/>
  <c r="F617" i="11" s="1"/>
  <c r="F6" i="24" s="1"/>
  <c r="F191" i="17"/>
  <c r="F193" i="17" s="1"/>
  <c r="E8" i="24" s="1"/>
  <c r="H203" i="10"/>
  <c r="E206" i="10" s="1"/>
  <c r="E208" i="10" s="1"/>
  <c r="F239" i="13"/>
  <c r="F241" i="13" s="1"/>
  <c r="E7" i="24" s="1"/>
  <c r="F7" i="24"/>
  <c r="G7" i="24" s="1"/>
  <c r="F9" i="24" l="1"/>
  <c r="G9" i="24" s="1"/>
  <c r="I6" i="37"/>
  <c r="I9" i="37" s="1"/>
  <c r="H9" i="37"/>
  <c r="E21" i="33"/>
  <c r="E22" i="33" s="1"/>
  <c r="F619" i="11"/>
  <c r="E6" i="24" s="1"/>
  <c r="G6" i="24"/>
  <c r="E211" i="10"/>
  <c r="E213" i="10" s="1"/>
  <c r="E5" i="24" s="1"/>
  <c r="F5" i="24"/>
  <c r="E9" i="24" l="1"/>
  <c r="M22" i="33"/>
  <c r="W22" i="33"/>
  <c r="O22" i="33"/>
  <c r="AC22" i="33"/>
  <c r="U22" i="33"/>
  <c r="AE22" i="33"/>
  <c r="Q22" i="33"/>
  <c r="Y22" i="33"/>
  <c r="K22" i="33"/>
  <c r="I22" i="33"/>
  <c r="J22" i="33" s="1"/>
  <c r="S22" i="33"/>
  <c r="E24" i="33"/>
  <c r="W24" i="33" s="1"/>
  <c r="AA22" i="33"/>
  <c r="G5" i="24"/>
  <c r="G11" i="24" s="1"/>
  <c r="F11" i="24"/>
  <c r="L22" i="33" l="1"/>
  <c r="N22" i="33" s="1"/>
  <c r="P22" i="33" s="1"/>
  <c r="R22" i="33" s="1"/>
  <c r="T22" i="33" s="1"/>
  <c r="V22" i="33" s="1"/>
  <c r="X22" i="33" s="1"/>
  <c r="Z22" i="33" s="1"/>
  <c r="AB22" i="33" s="1"/>
  <c r="AD22" i="33" s="1"/>
  <c r="AF22" i="33" s="1"/>
  <c r="Y24" i="33"/>
  <c r="M24" i="33"/>
  <c r="AC24" i="33"/>
  <c r="S24" i="33"/>
  <c r="I24" i="33"/>
  <c r="J24" i="33" s="1"/>
  <c r="O24" i="33"/>
  <c r="F24" i="33"/>
  <c r="G24" i="33" s="1"/>
  <c r="Q24" i="33"/>
  <c r="AE24" i="33"/>
  <c r="K24" i="33"/>
  <c r="U24" i="33"/>
  <c r="AA24" i="33"/>
  <c r="L24" i="33" l="1"/>
  <c r="N24" i="33" s="1"/>
  <c r="P24" i="33" s="1"/>
  <c r="R24" i="33" s="1"/>
  <c r="T24" i="33" s="1"/>
  <c r="V24" i="33" s="1"/>
  <c r="X24" i="33" s="1"/>
  <c r="Z24" i="33" s="1"/>
  <c r="AB24" i="33" s="1"/>
  <c r="AD24" i="33" s="1"/>
  <c r="AF24" i="3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  <author>Gabriel Silva</author>
  </authors>
  <commentList>
    <comment ref="F88" authorId="0" shapeId="0" xr:uid="{00000000-0006-0000-0300-00000E000000}">
      <text>
        <r>
          <rPr>
            <sz val="7"/>
            <color indexed="81"/>
            <rFont val="Century Gothic"/>
            <family val="2"/>
          </rPr>
          <t xml:space="preserve">Informar o número de horas noturnas trabalhadas no intervalo das 22:00h as 5:00h.
Consideramos o turno noturno iniciando às 19hrs
</t>
        </r>
      </text>
    </comment>
    <comment ref="F91" authorId="0" shapeId="0" xr:uid="{00000000-0006-0000-0300-00000F000000}">
      <text>
        <r>
          <rPr>
            <sz val="7"/>
            <color indexed="81"/>
            <rFont val="Century Gothic"/>
            <family val="2"/>
          </rPr>
          <t xml:space="preserve">Informar o número de horas extras trabalhadas em horário noturno (das 22:00h as 5h) nos domingos e feriados
</t>
        </r>
      </text>
    </comment>
    <comment ref="F93" authorId="0" shapeId="0" xr:uid="{00000000-0006-0000-0300-000010000000}">
      <text>
        <r>
          <rPr>
            <sz val="7"/>
            <color indexed="81"/>
            <rFont val="Century Gothic"/>
            <family val="2"/>
          </rPr>
          <t>Informar o número de horas extras trabalhadas de segunda à sábado</t>
        </r>
      </text>
    </comment>
    <comment ref="F94" authorId="0" shapeId="0" xr:uid="{00000000-0006-0000-0300-000011000000}">
      <text>
        <r>
          <rPr>
            <sz val="7"/>
            <color indexed="81"/>
            <rFont val="Century Gothic"/>
            <family val="2"/>
          </rPr>
          <t>Informar o número de horas extras trabalhadas em horário noturno (das 22:00h as 5h) de segunda a sábado</t>
        </r>
      </text>
    </comment>
    <comment ref="B96" authorId="0" shapeId="0" xr:uid="{00000000-0006-0000-0300-000012000000}">
      <text>
        <r>
          <rPr>
            <sz val="7"/>
            <color indexed="81"/>
            <rFont val="Century Gothic"/>
            <family val="2"/>
          </rPr>
          <t>Cálculo do descanso semanal remunerado incidente sobre as horas extras habitualmente prestadas. 
DSR(HE) = (total de HE)/(dias úteis)*número de domingos e feriados*valor da he</t>
        </r>
      </text>
    </comment>
    <comment ref="F117" authorId="0" shapeId="0" xr:uid="{00000000-0006-0000-0300-000013000000}">
      <text>
        <r>
          <rPr>
            <sz val="7"/>
            <color indexed="81"/>
            <rFont val="Century Gothic"/>
            <family val="2"/>
          </rPr>
          <t xml:space="preserve">Informar o número de horas noturnas trabalhadas no intervalo das 22:00h as 5:00h.
Consideramos o turno noturno iniciando às 19hrs
</t>
        </r>
      </text>
    </comment>
    <comment ref="F120" authorId="0" shapeId="0" xr:uid="{00000000-0006-0000-0300-000014000000}">
      <text>
        <r>
          <rPr>
            <sz val="7"/>
            <color indexed="81"/>
            <rFont val="Century Gothic"/>
            <family val="2"/>
          </rPr>
          <t xml:space="preserve">Informar o número de horas extras trabalhadas em horário noturno (das 22:00h as 5h) nos domingos e feriados
</t>
        </r>
      </text>
    </comment>
    <comment ref="F122" authorId="0" shapeId="0" xr:uid="{00000000-0006-0000-0300-000015000000}">
      <text>
        <r>
          <rPr>
            <sz val="7"/>
            <color indexed="81"/>
            <rFont val="Century Gothic"/>
            <family val="2"/>
          </rPr>
          <t>Informar o número de horas extras trabalhadas de segunda à sábado</t>
        </r>
      </text>
    </comment>
    <comment ref="F123" authorId="0" shapeId="0" xr:uid="{00000000-0006-0000-0300-000016000000}">
      <text>
        <r>
          <rPr>
            <sz val="7"/>
            <color indexed="81"/>
            <rFont val="Century Gothic"/>
            <family val="2"/>
          </rPr>
          <t>Informar o número de horas extras trabalhadas em horário noturno (das 22:00h as 5h) de segunda a sábado</t>
        </r>
      </text>
    </comment>
    <comment ref="B125" authorId="0" shapeId="0" xr:uid="{00000000-0006-0000-0300-000017000000}">
      <text>
        <r>
          <rPr>
            <sz val="7"/>
            <color indexed="81"/>
            <rFont val="Century Gothic"/>
            <family val="2"/>
          </rPr>
          <t>Cálculo do descanso semanal remunerado incidente sobre as horas extras habitualmente prestadas. 
DSR(HE) = (total de HE)/(dias úteis)*número de domingos e feriados*valor da he</t>
        </r>
      </text>
    </comment>
    <comment ref="G173" authorId="1" shapeId="0" xr:uid="{00000000-0006-0000-0300-000020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cotação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  <author>Gabriel Silva</author>
  </authors>
  <commentList>
    <comment ref="F82" authorId="0" shapeId="0" xr:uid="{00000000-0006-0000-0400-000011000000}">
      <text>
        <r>
          <rPr>
            <sz val="7"/>
            <color indexed="81"/>
            <rFont val="Century Gothic"/>
            <family val="2"/>
          </rPr>
          <t xml:space="preserve">Informar o número de horas noturnas trabalhadas no intervalo das 22:00h as 5:00h.
Consideramos o turno noturno iniciando às 19hrs
</t>
        </r>
      </text>
    </comment>
    <comment ref="F85" authorId="0" shapeId="0" xr:uid="{00000000-0006-0000-0400-000012000000}">
      <text>
        <r>
          <rPr>
            <sz val="7"/>
            <color indexed="81"/>
            <rFont val="Century Gothic"/>
            <family val="2"/>
          </rPr>
          <t xml:space="preserve">Informar o número de horas extras trabalhadas em horário noturno (das 22:00h as 5h) nos domingos e feriados
</t>
        </r>
      </text>
    </comment>
    <comment ref="F87" authorId="0" shapeId="0" xr:uid="{00000000-0006-0000-0400-000013000000}">
      <text>
        <r>
          <rPr>
            <sz val="7"/>
            <color indexed="81"/>
            <rFont val="Century Gothic"/>
            <family val="2"/>
          </rPr>
          <t>Informar o número de horas extras trabalhadas de segunda à sábado</t>
        </r>
      </text>
    </comment>
    <comment ref="F88" authorId="0" shapeId="0" xr:uid="{00000000-0006-0000-0400-000014000000}">
      <text>
        <r>
          <rPr>
            <sz val="7"/>
            <color indexed="81"/>
            <rFont val="Century Gothic"/>
            <family val="2"/>
          </rPr>
          <t>Informar o número de horas extras trabalhadas em horário noturno (das 22:00h as 5h) de segunda a sábado</t>
        </r>
      </text>
    </comment>
    <comment ref="B90" authorId="0" shapeId="0" xr:uid="{00000000-0006-0000-0400-000015000000}">
      <text>
        <r>
          <rPr>
            <sz val="7"/>
            <color indexed="81"/>
            <rFont val="Century Gothic"/>
            <family val="2"/>
          </rPr>
          <t>Cálculo do descanso semanal remunerado incidente sobre as horas extras habitualmente prestadas. 
DSR(HE) = (total de HE)/(dias úteis)*número de domingos e feriados*valor da he</t>
        </r>
      </text>
    </comment>
    <comment ref="F111" authorId="0" shapeId="0" xr:uid="{00000000-0006-0000-0400-000016000000}">
      <text>
        <r>
          <rPr>
            <sz val="7"/>
            <color indexed="81"/>
            <rFont val="Century Gothic"/>
            <family val="2"/>
          </rPr>
          <t xml:space="preserve">Informar o número de horas noturnas trabalhadas no intervalo das 22:00h as 5:00h.
Consideramos o turno noturno iniciando às 19hrs
</t>
        </r>
      </text>
    </comment>
    <comment ref="F114" authorId="0" shapeId="0" xr:uid="{00000000-0006-0000-0400-000017000000}">
      <text>
        <r>
          <rPr>
            <sz val="7"/>
            <color indexed="81"/>
            <rFont val="Century Gothic"/>
            <family val="2"/>
          </rPr>
          <t xml:space="preserve">Informar o número de horas extras trabalhadas em horário noturno (das 22:00h as 5h) nos domingos e feriados
</t>
        </r>
      </text>
    </comment>
    <comment ref="F116" authorId="0" shapeId="0" xr:uid="{00000000-0006-0000-0400-000018000000}">
      <text>
        <r>
          <rPr>
            <sz val="7"/>
            <color indexed="81"/>
            <rFont val="Century Gothic"/>
            <family val="2"/>
          </rPr>
          <t>Informar o número de horas extras trabalhadas de segunda à sábado</t>
        </r>
      </text>
    </comment>
    <comment ref="F117" authorId="0" shapeId="0" xr:uid="{00000000-0006-0000-0400-000019000000}">
      <text>
        <r>
          <rPr>
            <sz val="7"/>
            <color indexed="81"/>
            <rFont val="Century Gothic"/>
            <family val="2"/>
          </rPr>
          <t>Informar o número de horas extras trabalhadas em horário noturno (das 22:00h as 5h) de segunda a sábado</t>
        </r>
      </text>
    </comment>
    <comment ref="B119" authorId="0" shapeId="0" xr:uid="{00000000-0006-0000-0400-00001A000000}">
      <text>
        <r>
          <rPr>
            <sz val="7"/>
            <color indexed="81"/>
            <rFont val="Century Gothic"/>
            <family val="2"/>
          </rPr>
          <t>Cálculo do descanso semanal remunerado incidente sobre as horas extras habitualmente prestadas. 
DSR(HE) = (total de HE)/(dias úteis)*número de domingos e feriados*valor da he</t>
        </r>
      </text>
    </comment>
    <comment ref="F278" authorId="0" shapeId="0" xr:uid="{00000000-0006-0000-0500-000005000000}">
      <text>
        <r>
          <rPr>
            <sz val="7"/>
            <color indexed="81"/>
            <rFont val="Century Gothic"/>
            <family val="2"/>
          </rPr>
          <t xml:space="preserve">Informar o número de horas noturnas trabalhadas no intervalo das 22:00h as 5:00h.
Consideramos o turno noturno iniciando às 19hrs
</t>
        </r>
      </text>
    </comment>
    <comment ref="F281" authorId="0" shapeId="0" xr:uid="{00000000-0006-0000-0500-000006000000}">
      <text>
        <r>
          <rPr>
            <sz val="7"/>
            <color indexed="81"/>
            <rFont val="Century Gothic"/>
            <family val="2"/>
          </rPr>
          <t xml:space="preserve">Informar o número de horas extras trabalhadas em horário noturno (das 22:00h as 5h) nos domingos e feriados
</t>
        </r>
      </text>
    </comment>
    <comment ref="F283" authorId="0" shapeId="0" xr:uid="{00000000-0006-0000-0500-000007000000}">
      <text>
        <r>
          <rPr>
            <sz val="7"/>
            <color indexed="81"/>
            <rFont val="Century Gothic"/>
            <family val="2"/>
          </rPr>
          <t>Informar o número de horas extras trabalhadas de segunda à sábado</t>
        </r>
      </text>
    </comment>
    <comment ref="F284" authorId="0" shapeId="0" xr:uid="{00000000-0006-0000-0500-000008000000}">
      <text>
        <r>
          <rPr>
            <sz val="7"/>
            <color indexed="81"/>
            <rFont val="Century Gothic"/>
            <family val="2"/>
          </rPr>
          <t>Informar o número de horas extras trabalhadas em horário noturno (das 22:00h as 5h) de segunda a sábado</t>
        </r>
      </text>
    </comment>
    <comment ref="B286" authorId="0" shapeId="0" xr:uid="{00000000-0006-0000-0500-000009000000}">
      <text>
        <r>
          <rPr>
            <sz val="7"/>
            <color indexed="81"/>
            <rFont val="Century Gothic"/>
            <family val="2"/>
          </rPr>
          <t>Cálculo do descanso semanal remunerado incidente sobre as horas extras habitualmente prestadas. 
DSR(HE) = (total de HE)/(dias úteis)*número de domingos e feriados*valor da he</t>
        </r>
      </text>
    </comment>
    <comment ref="F307" authorId="0" shapeId="0" xr:uid="{00000000-0006-0000-0500-00000A000000}">
      <text>
        <r>
          <rPr>
            <sz val="7"/>
            <color indexed="81"/>
            <rFont val="Century Gothic"/>
            <family val="2"/>
          </rPr>
          <t xml:space="preserve">Informar o número de horas noturnas trabalhadas no intervalo das 22:00h as 5:00h.
Consideramos o turno noturno iniciando às 19hrs
</t>
        </r>
      </text>
    </comment>
    <comment ref="F310" authorId="0" shapeId="0" xr:uid="{00000000-0006-0000-0500-00000B000000}">
      <text>
        <r>
          <rPr>
            <sz val="7"/>
            <color indexed="81"/>
            <rFont val="Century Gothic"/>
            <family val="2"/>
          </rPr>
          <t xml:space="preserve">Informar o número de horas extras trabalhadas em horário noturno (das 22:00h as 5h) nos domingos e feriados
</t>
        </r>
      </text>
    </comment>
    <comment ref="F312" authorId="0" shapeId="0" xr:uid="{00000000-0006-0000-0500-00000C000000}">
      <text>
        <r>
          <rPr>
            <sz val="7"/>
            <color indexed="81"/>
            <rFont val="Century Gothic"/>
            <family val="2"/>
          </rPr>
          <t>Informar o número de horas extras trabalhadas de segunda à sábado</t>
        </r>
      </text>
    </comment>
    <comment ref="F313" authorId="0" shapeId="0" xr:uid="{00000000-0006-0000-0500-00000D000000}">
      <text>
        <r>
          <rPr>
            <sz val="7"/>
            <color indexed="81"/>
            <rFont val="Century Gothic"/>
            <family val="2"/>
          </rPr>
          <t>Informar o número de horas extras trabalhadas em horário noturno (das 22:00h as 5h) de segunda a sábado</t>
        </r>
      </text>
    </comment>
    <comment ref="B315" authorId="0" shapeId="0" xr:uid="{00000000-0006-0000-0500-00000E000000}">
      <text>
        <r>
          <rPr>
            <sz val="7"/>
            <color indexed="81"/>
            <rFont val="Century Gothic"/>
            <family val="2"/>
          </rPr>
          <t>Cálculo do descanso semanal remunerado incidente sobre as horas extras habitualmente prestadas. 
DSR(HE) = (total de HE)/(dias úteis)*número de domingos e feriados*valor da he</t>
        </r>
      </text>
    </comment>
    <comment ref="F336" authorId="0" shapeId="0" xr:uid="{00000000-0006-0000-0500-00000F000000}">
      <text>
        <r>
          <rPr>
            <sz val="7"/>
            <color indexed="81"/>
            <rFont val="Century Gothic"/>
            <family val="2"/>
          </rPr>
          <t xml:space="preserve">Informar o número de horas noturnas trabalhadas no intervalo das 22:00h as 5:00h.
Consideramos o turno noturno iniciando às 19hrs
</t>
        </r>
      </text>
    </comment>
    <comment ref="F339" authorId="0" shapeId="0" xr:uid="{00000000-0006-0000-0500-000010000000}">
      <text>
        <r>
          <rPr>
            <sz val="7"/>
            <color indexed="81"/>
            <rFont val="Century Gothic"/>
            <family val="2"/>
          </rPr>
          <t xml:space="preserve">Informar o número de horas extras trabalhadas em horário noturno (das 22:00h as 5h) nos domingos e feriados
</t>
        </r>
      </text>
    </comment>
    <comment ref="F341" authorId="0" shapeId="0" xr:uid="{00000000-0006-0000-0500-000011000000}">
      <text>
        <r>
          <rPr>
            <sz val="7"/>
            <color indexed="81"/>
            <rFont val="Century Gothic"/>
            <family val="2"/>
          </rPr>
          <t>Informar o número de horas extras trabalhadas de segunda à sábado</t>
        </r>
      </text>
    </comment>
    <comment ref="F342" authorId="0" shapeId="0" xr:uid="{00000000-0006-0000-0500-000012000000}">
      <text>
        <r>
          <rPr>
            <sz val="7"/>
            <color indexed="81"/>
            <rFont val="Century Gothic"/>
            <family val="2"/>
          </rPr>
          <t>Informar o número de horas extras trabalhadas em horário noturno (das 22:00h as 5h) de segunda a sábado</t>
        </r>
      </text>
    </comment>
    <comment ref="B344" authorId="0" shapeId="0" xr:uid="{00000000-0006-0000-0500-000013000000}">
      <text>
        <r>
          <rPr>
            <sz val="7"/>
            <color indexed="81"/>
            <rFont val="Century Gothic"/>
            <family val="2"/>
          </rPr>
          <t>Cálculo do descanso semanal remunerado incidente sobre as horas extras habitualmente prestadas. 
DSR(HE) = (total de HE)/(dias úteis)*número de domingos e feriados*valor da he</t>
        </r>
      </text>
    </comment>
    <comment ref="G413" authorId="1" shapeId="0" xr:uid="{00000000-0006-0000-0500-000014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cotação
</t>
        </r>
      </text>
    </comment>
    <comment ref="F505" authorId="0" shapeId="0" xr:uid="{00000000-0006-0000-0600-000005000000}">
      <text>
        <r>
          <rPr>
            <sz val="7"/>
            <color indexed="81"/>
            <rFont val="Century Gothic"/>
            <family val="2"/>
          </rPr>
          <t xml:space="preserve">Informar o número de horas noturnas trabalhadas no intervalo das 22:00h as 5:00h.
Consideramos o turno noturno iniciando às 19hrs
</t>
        </r>
      </text>
    </comment>
    <comment ref="F508" authorId="0" shapeId="0" xr:uid="{00000000-0006-0000-0600-000006000000}">
      <text>
        <r>
          <rPr>
            <sz val="7"/>
            <color indexed="81"/>
            <rFont val="Century Gothic"/>
            <family val="2"/>
          </rPr>
          <t xml:space="preserve">Informar o número de horas extras trabalhadas em horário noturno (das 22:00h as 5h) nos domingos e feriados
</t>
        </r>
      </text>
    </comment>
    <comment ref="F510" authorId="0" shapeId="0" xr:uid="{00000000-0006-0000-0600-000007000000}">
      <text>
        <r>
          <rPr>
            <sz val="7"/>
            <color indexed="81"/>
            <rFont val="Century Gothic"/>
            <family val="2"/>
          </rPr>
          <t>Informar o número de horas extras trabalhadas de segunda à sábado</t>
        </r>
      </text>
    </comment>
    <comment ref="F511" authorId="0" shapeId="0" xr:uid="{00000000-0006-0000-0600-000008000000}">
      <text>
        <r>
          <rPr>
            <sz val="7"/>
            <color indexed="81"/>
            <rFont val="Century Gothic"/>
            <family val="2"/>
          </rPr>
          <t>Informar o número de horas extras trabalhadas em horário noturno (das 22:00h as 5h) de segunda a sábado</t>
        </r>
      </text>
    </comment>
    <comment ref="B513" authorId="0" shapeId="0" xr:uid="{00000000-0006-0000-0600-000009000000}">
      <text>
        <r>
          <rPr>
            <sz val="7"/>
            <color indexed="81"/>
            <rFont val="Century Gothic"/>
            <family val="2"/>
          </rPr>
          <t>Cálculo do descanso semanal remunerado incidente sobre as horas extras habitualmente prestadas. 
DSR(HE) = (total de HE)/(dias úteis)*número de domingos e feriados*valor da he</t>
        </r>
      </text>
    </comment>
    <comment ref="F534" authorId="0" shapeId="0" xr:uid="{00000000-0006-0000-0600-00000A000000}">
      <text>
        <r>
          <rPr>
            <sz val="7"/>
            <color indexed="81"/>
            <rFont val="Century Gothic"/>
            <family val="2"/>
          </rPr>
          <t xml:space="preserve">Informar o número de horas noturnas trabalhadas no intervalo das 22:00h as 5:00h.
Consideramos o turno noturno iniciando às 19hrs
</t>
        </r>
      </text>
    </comment>
    <comment ref="F537" authorId="0" shapeId="0" xr:uid="{00000000-0006-0000-0600-00000B000000}">
      <text>
        <r>
          <rPr>
            <sz val="7"/>
            <color indexed="81"/>
            <rFont val="Century Gothic"/>
            <family val="2"/>
          </rPr>
          <t xml:space="preserve">Informar o número de horas extras trabalhadas em horário noturno (das 22:00h as 5h) nos domingos e feriados
</t>
        </r>
      </text>
    </comment>
    <comment ref="F539" authorId="0" shapeId="0" xr:uid="{00000000-0006-0000-0600-00000C000000}">
      <text>
        <r>
          <rPr>
            <sz val="7"/>
            <color indexed="81"/>
            <rFont val="Century Gothic"/>
            <family val="2"/>
          </rPr>
          <t>Informar o número de horas extras trabalhadas de segunda à sábado</t>
        </r>
      </text>
    </comment>
    <comment ref="F540" authorId="0" shapeId="0" xr:uid="{00000000-0006-0000-0600-00000D000000}">
      <text>
        <r>
          <rPr>
            <sz val="7"/>
            <color indexed="81"/>
            <rFont val="Century Gothic"/>
            <family val="2"/>
          </rPr>
          <t>Informar o número de horas extras trabalhadas em horário noturno (das 22:00h as 5h) de segunda a sábado</t>
        </r>
      </text>
    </comment>
    <comment ref="B542" authorId="0" shapeId="0" xr:uid="{00000000-0006-0000-0600-00000E000000}">
      <text>
        <r>
          <rPr>
            <sz val="7"/>
            <color indexed="81"/>
            <rFont val="Century Gothic"/>
            <family val="2"/>
          </rPr>
          <t>Cálculo do descanso semanal remunerado incidente sobre as horas extras habitualmente prestadas. 
DSR(HE) = (total de HE)/(dias úteis)*número de domingos e feriados*valor da he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F67" authorId="0" shapeId="0" xr:uid="{00000000-0006-0000-0700-000006000000}">
      <text>
        <r>
          <rPr>
            <sz val="7"/>
            <color indexed="81"/>
            <rFont val="Century Gothic"/>
            <family val="2"/>
          </rPr>
          <t xml:space="preserve">Informar o número de horas noturnas trabalhadas no intervalo das 22:00h as 5:00h.
Consideramos o turno noturno iniciando às 19hrs
</t>
        </r>
      </text>
    </comment>
    <comment ref="F70" authorId="0" shapeId="0" xr:uid="{00000000-0006-0000-0700-000007000000}">
      <text>
        <r>
          <rPr>
            <sz val="7"/>
            <color indexed="81"/>
            <rFont val="Century Gothic"/>
            <family val="2"/>
          </rPr>
          <t xml:space="preserve">Informar o número de horas extras trabalhadas em horário noturno (das 22:00h as 5h) nos domingos e feriados
</t>
        </r>
      </text>
    </comment>
    <comment ref="F72" authorId="0" shapeId="0" xr:uid="{00000000-0006-0000-0700-000008000000}">
      <text>
        <r>
          <rPr>
            <sz val="7"/>
            <color indexed="81"/>
            <rFont val="Century Gothic"/>
            <family val="2"/>
          </rPr>
          <t>Informar o número de horas extras trabalhadas de segunda à sábado</t>
        </r>
      </text>
    </comment>
    <comment ref="F73" authorId="0" shapeId="0" xr:uid="{00000000-0006-0000-0700-000009000000}">
      <text>
        <r>
          <rPr>
            <sz val="7"/>
            <color indexed="81"/>
            <rFont val="Century Gothic"/>
            <family val="2"/>
          </rPr>
          <t>Informar o número de horas extras trabalhadas em horário noturno (das 22:00h as 5h) de segunda a sábado</t>
        </r>
      </text>
    </comment>
    <comment ref="B75" authorId="0" shapeId="0" xr:uid="{00000000-0006-0000-0700-00000A000000}">
      <text>
        <r>
          <rPr>
            <sz val="7"/>
            <color indexed="81"/>
            <rFont val="Century Gothic"/>
            <family val="2"/>
          </rPr>
          <t>Cálculo do descanso semanal remunerado incidente sobre as horas extras habitualmente prestadas. 
DSR(HE) = (total de HE)/(dias úteis)*número de domingos e feriados*valor da he</t>
        </r>
      </text>
    </comment>
    <comment ref="F96" authorId="0" shapeId="0" xr:uid="{00000000-0006-0000-0700-00000B000000}">
      <text>
        <r>
          <rPr>
            <sz val="7"/>
            <color indexed="81"/>
            <rFont val="Century Gothic"/>
            <family val="2"/>
          </rPr>
          <t xml:space="preserve">Informar o número de horas noturnas trabalhadas no intervalo das 22:00h as 5:00h.
Consideramos o turno noturno iniciando às 19hrs
</t>
        </r>
      </text>
    </comment>
    <comment ref="F99" authorId="0" shapeId="0" xr:uid="{00000000-0006-0000-0700-00000C000000}">
      <text>
        <r>
          <rPr>
            <sz val="7"/>
            <color indexed="81"/>
            <rFont val="Century Gothic"/>
            <family val="2"/>
          </rPr>
          <t xml:space="preserve">Informar o número de horas extras trabalhadas em horário noturno (das 22:00h as 5h) nos domingos e feriados
</t>
        </r>
      </text>
    </comment>
    <comment ref="F101" authorId="0" shapeId="0" xr:uid="{00000000-0006-0000-0700-00000D000000}">
      <text>
        <r>
          <rPr>
            <sz val="7"/>
            <color indexed="81"/>
            <rFont val="Century Gothic"/>
            <family val="2"/>
          </rPr>
          <t>Informar o número de horas extras trabalhadas de segunda à sábado</t>
        </r>
      </text>
    </comment>
    <comment ref="F102" authorId="0" shapeId="0" xr:uid="{00000000-0006-0000-0700-00000E000000}">
      <text>
        <r>
          <rPr>
            <sz val="7"/>
            <color indexed="81"/>
            <rFont val="Century Gothic"/>
            <family val="2"/>
          </rPr>
          <t>Informar o número de horas extras trabalhadas em horário noturno (das 22:00h as 5h) de segunda a sábado</t>
        </r>
      </text>
    </comment>
    <comment ref="B104" authorId="0" shapeId="0" xr:uid="{00000000-0006-0000-0700-00000F000000}">
      <text>
        <r>
          <rPr>
            <sz val="7"/>
            <color indexed="81"/>
            <rFont val="Century Gothic"/>
            <family val="2"/>
          </rPr>
          <t>Cálculo do descanso semanal remunerado incidente sobre as horas extras habitualmente prestadas. 
DSR(HE) = (total de HE)/(dias úteis)*número de domingos e feriados*valor da he</t>
        </r>
      </text>
    </comment>
    <comment ref="F125" authorId="0" shapeId="0" xr:uid="{00000000-0006-0000-0700-000010000000}">
      <text>
        <r>
          <rPr>
            <sz val="7"/>
            <color indexed="81"/>
            <rFont val="Century Gothic"/>
            <family val="2"/>
          </rPr>
          <t xml:space="preserve">Informar o número de horas noturnas trabalhadas no intervalo das 22:00h as 5:00h.
Consideramos o turno noturno iniciando às 19hrs
</t>
        </r>
      </text>
    </comment>
    <comment ref="F128" authorId="0" shapeId="0" xr:uid="{00000000-0006-0000-0700-000011000000}">
      <text>
        <r>
          <rPr>
            <sz val="7"/>
            <color indexed="81"/>
            <rFont val="Century Gothic"/>
            <family val="2"/>
          </rPr>
          <t xml:space="preserve">Informar o número de horas extras trabalhadas em horário noturno (das 22:00h as 5h) nos domingos e feriados
</t>
        </r>
      </text>
    </comment>
    <comment ref="F130" authorId="0" shapeId="0" xr:uid="{00000000-0006-0000-0700-000012000000}">
      <text>
        <r>
          <rPr>
            <sz val="7"/>
            <color indexed="81"/>
            <rFont val="Century Gothic"/>
            <family val="2"/>
          </rPr>
          <t>Informar o número de horas extras trabalhadas de segunda à sábado</t>
        </r>
      </text>
    </comment>
    <comment ref="F131" authorId="0" shapeId="0" xr:uid="{00000000-0006-0000-0700-000013000000}">
      <text>
        <r>
          <rPr>
            <sz val="7"/>
            <color indexed="81"/>
            <rFont val="Century Gothic"/>
            <family val="2"/>
          </rPr>
          <t>Informar o número de horas extras trabalhadas em horário noturno (das 22:00h as 5h) de segunda a sábado</t>
        </r>
      </text>
    </comment>
    <comment ref="B133" authorId="0" shapeId="0" xr:uid="{00000000-0006-0000-0700-000014000000}">
      <text>
        <r>
          <rPr>
            <sz val="7"/>
            <color indexed="81"/>
            <rFont val="Century Gothic"/>
            <family val="2"/>
          </rPr>
          <t>Cálculo do descanso semanal remunerado incidente sobre as horas extras habitualmente prestadas. 
DSR(HE) = (total de HE)/(dias úteis)*número de domingos e feriados*valor da he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  <author>Gabriel Silva</author>
  </authors>
  <commentList>
    <comment ref="F78" authorId="0" shapeId="0" xr:uid="{00000000-0006-0000-0800-000001000000}">
      <text>
        <r>
          <rPr>
            <sz val="7"/>
            <color indexed="81"/>
            <rFont val="Century Gothic"/>
            <family val="2"/>
          </rPr>
          <t xml:space="preserve">Informar o número de horas noturnas trabalhadas no intervalo das 22:00h as 5:00h.
Consideramos o turno noturno iniciando às 19hrs
</t>
        </r>
      </text>
    </comment>
    <comment ref="F81" authorId="0" shapeId="0" xr:uid="{00000000-0006-0000-0800-000002000000}">
      <text>
        <r>
          <rPr>
            <sz val="7"/>
            <color indexed="81"/>
            <rFont val="Century Gothic"/>
            <family val="2"/>
          </rPr>
          <t xml:space="preserve">Informar o número de horas extras trabalhadas em horário noturno (das 22:00h as 5h) nos domingos e feriados
</t>
        </r>
      </text>
    </comment>
    <comment ref="F83" authorId="0" shapeId="0" xr:uid="{00000000-0006-0000-0800-000003000000}">
      <text>
        <r>
          <rPr>
            <sz val="7"/>
            <color indexed="81"/>
            <rFont val="Century Gothic"/>
            <family val="2"/>
          </rPr>
          <t>Informar o número de horas extras trabalhadas de segunda à sábado</t>
        </r>
      </text>
    </comment>
    <comment ref="F84" authorId="0" shapeId="0" xr:uid="{00000000-0006-0000-0800-000004000000}">
      <text>
        <r>
          <rPr>
            <sz val="7"/>
            <color indexed="81"/>
            <rFont val="Century Gothic"/>
            <family val="2"/>
          </rPr>
          <t>Informar o número de horas extras trabalhadas em horário noturno (das 22:00h as 5h) de segunda a sábado</t>
        </r>
      </text>
    </comment>
    <comment ref="B86" authorId="0" shapeId="0" xr:uid="{00000000-0006-0000-0800-000005000000}">
      <text>
        <r>
          <rPr>
            <sz val="7"/>
            <color indexed="81"/>
            <rFont val="Century Gothic"/>
            <family val="2"/>
          </rPr>
          <t>Cálculo do descanso semanal remunerado incidente sobre as horas extras habitualmente prestadas. 
DSR(HE) = (total de HE)/(dias úteis)*número de domingos e feriados*valor da he</t>
        </r>
      </text>
    </comment>
    <comment ref="F107" authorId="0" shapeId="0" xr:uid="{00000000-0006-0000-0800-000006000000}">
      <text>
        <r>
          <rPr>
            <sz val="7"/>
            <color indexed="81"/>
            <rFont val="Century Gothic"/>
            <family val="2"/>
          </rPr>
          <t xml:space="preserve">Informar o número de horas noturnas trabalhadas no intervalo das 22:00h as 5:00h.
Consideramos o turno noturno iniciando às 19hrs
</t>
        </r>
      </text>
    </comment>
    <comment ref="F110" authorId="0" shapeId="0" xr:uid="{00000000-0006-0000-0800-000007000000}">
      <text>
        <r>
          <rPr>
            <sz val="7"/>
            <color indexed="81"/>
            <rFont val="Century Gothic"/>
            <family val="2"/>
          </rPr>
          <t xml:space="preserve">Informar o número de horas extras trabalhadas em horário noturno (das 22:00h as 5h) nos domingos e feriados
</t>
        </r>
      </text>
    </comment>
    <comment ref="F112" authorId="0" shapeId="0" xr:uid="{00000000-0006-0000-0800-000008000000}">
      <text>
        <r>
          <rPr>
            <sz val="7"/>
            <color indexed="81"/>
            <rFont val="Century Gothic"/>
            <family val="2"/>
          </rPr>
          <t>Informar o número de horas extras trabalhadas de segunda à sábado</t>
        </r>
      </text>
    </comment>
    <comment ref="F113" authorId="0" shapeId="0" xr:uid="{00000000-0006-0000-0800-000009000000}">
      <text>
        <r>
          <rPr>
            <sz val="7"/>
            <color indexed="81"/>
            <rFont val="Century Gothic"/>
            <family val="2"/>
          </rPr>
          <t>Informar o número de horas extras trabalhadas em horário noturno (das 22:00h as 5h) de segunda a sábado</t>
        </r>
      </text>
    </comment>
    <comment ref="B115" authorId="0" shapeId="0" xr:uid="{00000000-0006-0000-0800-00000A000000}">
      <text>
        <r>
          <rPr>
            <sz val="7"/>
            <color indexed="81"/>
            <rFont val="Century Gothic"/>
            <family val="2"/>
          </rPr>
          <t>Cálculo do descanso semanal remunerado incidente sobre as horas extras habitualmente prestadas. 
DSR(HE) = (total de HE)/(dias úteis)*número de domingos e feriados*valor da he</t>
        </r>
      </text>
    </comment>
    <comment ref="F136" authorId="0" shapeId="0" xr:uid="{00000000-0006-0000-0800-00000B000000}">
      <text>
        <r>
          <rPr>
            <sz val="7"/>
            <color indexed="81"/>
            <rFont val="Century Gothic"/>
            <family val="2"/>
          </rPr>
          <t xml:space="preserve">Informar o número de horas noturnas trabalhadas no intervalo das 22:00h as 5:00h.
Consideramos o turno noturno iniciando às 19hrs
</t>
        </r>
      </text>
    </comment>
    <comment ref="F139" authorId="0" shapeId="0" xr:uid="{00000000-0006-0000-0800-00000C000000}">
      <text>
        <r>
          <rPr>
            <sz val="7"/>
            <color indexed="81"/>
            <rFont val="Century Gothic"/>
            <family val="2"/>
          </rPr>
          <t xml:space="preserve">Informar o número de horas extras trabalhadas em horário noturno (das 22:00h as 5h) nos domingos e feriados
</t>
        </r>
      </text>
    </comment>
    <comment ref="F141" authorId="0" shapeId="0" xr:uid="{00000000-0006-0000-0800-00000D000000}">
      <text>
        <r>
          <rPr>
            <sz val="7"/>
            <color indexed="81"/>
            <rFont val="Century Gothic"/>
            <family val="2"/>
          </rPr>
          <t>Informar o número de horas extras trabalhadas de segunda à sábado</t>
        </r>
      </text>
    </comment>
    <comment ref="F142" authorId="0" shapeId="0" xr:uid="{00000000-0006-0000-0800-00000E000000}">
      <text>
        <r>
          <rPr>
            <sz val="7"/>
            <color indexed="81"/>
            <rFont val="Century Gothic"/>
            <family val="2"/>
          </rPr>
          <t>Informar o número de horas extras trabalhadas em horário noturno (das 22:00h as 5h) de segunda a sábado</t>
        </r>
      </text>
    </comment>
    <comment ref="B144" authorId="0" shapeId="0" xr:uid="{00000000-0006-0000-0800-00000F000000}">
      <text>
        <r>
          <rPr>
            <sz val="7"/>
            <color indexed="81"/>
            <rFont val="Century Gothic"/>
            <family val="2"/>
          </rPr>
          <t>Cálculo do descanso semanal remunerado incidente sobre as horas extras habitualmente prestadas. 
DSR(HE) = (total de HE)/(dias úteis)*número de domingos e feriados*valor da he</t>
        </r>
      </text>
    </comment>
    <comment ref="F165" authorId="0" shapeId="0" xr:uid="{00000000-0006-0000-0800-000010000000}">
      <text>
        <r>
          <rPr>
            <sz val="7"/>
            <color indexed="81"/>
            <rFont val="Century Gothic"/>
            <family val="2"/>
          </rPr>
          <t xml:space="preserve">Informar o número de horas noturnas trabalhadas no intervalo das 22:00h as 5:00h.
Consideramos o turno noturno iniciando às 19hrs
</t>
        </r>
      </text>
    </comment>
    <comment ref="F168" authorId="0" shapeId="0" xr:uid="{00000000-0006-0000-0800-000011000000}">
      <text>
        <r>
          <rPr>
            <sz val="7"/>
            <color indexed="81"/>
            <rFont val="Century Gothic"/>
            <family val="2"/>
          </rPr>
          <t xml:space="preserve">Informar o número de horas extras trabalhadas em horário noturno (das 22:00h as 5h) nos domingos e feriados
</t>
        </r>
      </text>
    </comment>
    <comment ref="F170" authorId="0" shapeId="0" xr:uid="{00000000-0006-0000-0800-000012000000}">
      <text>
        <r>
          <rPr>
            <sz val="7"/>
            <color indexed="81"/>
            <rFont val="Century Gothic"/>
            <family val="2"/>
          </rPr>
          <t>Informar o número de horas extras trabalhadas de segunda à sábado</t>
        </r>
      </text>
    </comment>
    <comment ref="F171" authorId="0" shapeId="0" xr:uid="{00000000-0006-0000-0800-000013000000}">
      <text>
        <r>
          <rPr>
            <sz val="7"/>
            <color indexed="81"/>
            <rFont val="Century Gothic"/>
            <family val="2"/>
          </rPr>
          <t>Informar o número de horas extras trabalhadas em horário noturno (das 22:00h as 5h) de segunda a sábado</t>
        </r>
      </text>
    </comment>
    <comment ref="B173" authorId="0" shapeId="0" xr:uid="{00000000-0006-0000-0800-000014000000}">
      <text>
        <r>
          <rPr>
            <sz val="7"/>
            <color indexed="81"/>
            <rFont val="Century Gothic"/>
            <family val="2"/>
          </rPr>
          <t>Cálculo do descanso semanal remunerado incidente sobre as horas extras habitualmente prestadas. 
DSR(HE) = (total de HE)/(dias úteis)*número de domingos e feriados*valor da he</t>
        </r>
      </text>
    </comment>
    <comment ref="H266" authorId="1" shapeId="0" xr:uid="{00000000-0006-0000-0800-000015000000}">
      <text>
        <r>
          <rPr>
            <sz val="9"/>
            <color indexed="81"/>
            <rFont val="Segoe UI"/>
            <family val="2"/>
          </rPr>
          <t>Fonte utilizada:
SICRO - DNIT</t>
        </r>
      </text>
    </comment>
    <comment ref="H268" authorId="1" shapeId="0" xr:uid="{00000000-0006-0000-0800-000016000000}">
      <text>
        <r>
          <rPr>
            <sz val="9"/>
            <color indexed="81"/>
            <rFont val="Segoe UI"/>
            <family val="2"/>
          </rPr>
          <t>Adotar entre 0,3 e 0,5 l/km
- trajeto p/ aterro - 0,2 l/km
- Rotas de coleta - 0,6 l/km
(PROC-IBR-RSU 005/2017 - IBRAOP)</t>
        </r>
      </text>
    </comment>
    <comment ref="H282" authorId="1" shapeId="0" xr:uid="{00000000-0006-0000-0800-000017000000}">
      <text>
        <r>
          <rPr>
            <sz val="9"/>
            <color indexed="81"/>
            <rFont val="Segoe UI"/>
            <family val="2"/>
          </rPr>
          <t xml:space="preserve">Tabela - SICRO </t>
        </r>
      </text>
    </comment>
    <comment ref="H291" authorId="1" shapeId="0" xr:uid="{00000000-0006-0000-0800-000018000000}">
      <text>
        <r>
          <rPr>
            <sz val="9"/>
            <color indexed="81"/>
            <rFont val="Segoe UI"/>
            <family val="2"/>
          </rPr>
          <t>Alíquota do estado</t>
        </r>
      </text>
    </comment>
    <comment ref="H292" authorId="1" shapeId="0" xr:uid="{00000000-0006-0000-0800-000019000000}">
      <text>
        <r>
          <rPr>
            <sz val="9"/>
            <color indexed="81"/>
            <rFont val="Segoe UI"/>
            <family val="2"/>
          </rPr>
          <t xml:space="preserve">Consultar Detran.
</t>
        </r>
        <r>
          <rPr>
            <b/>
            <sz val="9"/>
            <color indexed="81"/>
            <rFont val="Segoe UI"/>
            <family val="2"/>
          </rPr>
          <t>obs:</t>
        </r>
        <r>
          <rPr>
            <sz val="9"/>
            <color indexed="81"/>
            <rFont val="Segoe UI"/>
            <family val="2"/>
          </rPr>
          <t xml:space="preserve"> Gira em torno de 100 R$</t>
        </r>
      </text>
    </comment>
    <comment ref="H293" authorId="1" shapeId="0" xr:uid="{00000000-0006-0000-0800-00001A000000}">
      <text>
        <r>
          <rPr>
            <sz val="9"/>
            <color indexed="81"/>
            <rFont val="Segoe UI"/>
            <family val="2"/>
          </rPr>
          <t xml:space="preserve">Consultar DPVAT - tabelado por Categoria </t>
        </r>
      </text>
    </comment>
    <comment ref="G298" authorId="1" shapeId="0" xr:uid="{00000000-0006-0000-0800-00001B000000}">
      <text>
        <r>
          <rPr>
            <sz val="9"/>
            <color indexed="81"/>
            <rFont val="Segoe UI"/>
            <family val="2"/>
          </rPr>
          <t>Adotar entre 0,3 e 0,5 l/km
- trajeto p/ aterro - 0,2 l/km
- Rotas de coleta - 0,6 l/km
(PROC-IBR-RSU 005/2017 - IBRAOP)</t>
        </r>
      </text>
    </comment>
    <comment ref="G300" authorId="1" shapeId="0" xr:uid="{00000000-0006-0000-0800-00001C000000}">
      <text>
        <r>
          <rPr>
            <sz val="9"/>
            <color indexed="81"/>
            <rFont val="Segoe UI"/>
            <family val="2"/>
          </rPr>
          <t xml:space="preserve">Fator de incidência sobre o combustível
</t>
        </r>
        <r>
          <rPr>
            <b/>
            <sz val="9"/>
            <color indexed="81"/>
            <rFont val="Segoe UI"/>
            <family val="2"/>
          </rPr>
          <t>obs: fixo</t>
        </r>
      </text>
    </comment>
    <comment ref="H308" authorId="1" shapeId="0" xr:uid="{00000000-0006-0000-0800-00001D000000}">
      <text>
        <r>
          <rPr>
            <sz val="9"/>
            <color indexed="81"/>
            <rFont val="Segoe UI"/>
            <family val="2"/>
          </rPr>
          <t>Como parâmetro utiliza-se o ciclo de:
30.000 km</t>
        </r>
      </text>
    </comment>
    <comment ref="H309" authorId="1" shapeId="0" xr:uid="{00000000-0006-0000-0800-00001E000000}">
      <text>
        <r>
          <rPr>
            <sz val="9"/>
            <color indexed="81"/>
            <rFont val="Segoe UI"/>
            <family val="2"/>
          </rPr>
          <t>Como parâmetro utiliza-se o ciclo de:
50.000 km</t>
        </r>
      </text>
    </comment>
    <comment ref="H314" authorId="1" shapeId="0" xr:uid="{00000000-0006-0000-0800-00001F000000}">
      <text>
        <r>
          <rPr>
            <sz val="9"/>
            <color indexed="81"/>
            <rFont val="Segoe UI"/>
            <family val="2"/>
          </rPr>
          <t>Coef. De Manutenção - Tabelado DNIT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  <author>Gabriel Silva</author>
  </authors>
  <commentList>
    <comment ref="F65" authorId="0" shapeId="0" xr:uid="{00000000-0006-0000-0900-000001000000}">
      <text>
        <r>
          <rPr>
            <sz val="7"/>
            <color indexed="81"/>
            <rFont val="Century Gothic"/>
            <family val="2"/>
          </rPr>
          <t xml:space="preserve">Informar o número de horas noturnas trabalhadas no intervalo das 22:00h as 5:00h.
Consideramos o turno noturno iniciando às 19hrs
</t>
        </r>
      </text>
    </comment>
    <comment ref="F68" authorId="0" shapeId="0" xr:uid="{00000000-0006-0000-0900-000002000000}">
      <text>
        <r>
          <rPr>
            <sz val="7"/>
            <color indexed="81"/>
            <rFont val="Century Gothic"/>
            <family val="2"/>
          </rPr>
          <t xml:space="preserve">Informar o número de horas extras trabalhadas em horário noturno (das 22:00h as 5h) nos domingos e feriados
</t>
        </r>
      </text>
    </comment>
    <comment ref="F70" authorId="0" shapeId="0" xr:uid="{00000000-0006-0000-0900-000003000000}">
      <text>
        <r>
          <rPr>
            <sz val="7"/>
            <color indexed="81"/>
            <rFont val="Century Gothic"/>
            <family val="2"/>
          </rPr>
          <t>Informar o número de horas extras trabalhadas de segunda à sábado</t>
        </r>
      </text>
    </comment>
    <comment ref="F71" authorId="0" shapeId="0" xr:uid="{00000000-0006-0000-0900-000004000000}">
      <text>
        <r>
          <rPr>
            <sz val="7"/>
            <color indexed="81"/>
            <rFont val="Century Gothic"/>
            <family val="2"/>
          </rPr>
          <t>Informar o número de horas extras trabalhadas em horário noturno (das 22:00h as 5h) de segunda a sábado</t>
        </r>
      </text>
    </comment>
    <comment ref="B73" authorId="0" shapeId="0" xr:uid="{00000000-0006-0000-0900-000005000000}">
      <text>
        <r>
          <rPr>
            <sz val="7"/>
            <color indexed="81"/>
            <rFont val="Century Gothic"/>
            <family val="2"/>
          </rPr>
          <t>Cálculo do descanso semanal remunerado incidente sobre as horas extras habitualmente prestadas. 
DSR(HE) = (total de HE)/(dias úteis)*número de domingos e feriados*valor da he</t>
        </r>
      </text>
    </comment>
    <comment ref="F94" authorId="0" shapeId="0" xr:uid="{00000000-0006-0000-0900-000006000000}">
      <text>
        <r>
          <rPr>
            <sz val="7"/>
            <color indexed="81"/>
            <rFont val="Century Gothic"/>
            <family val="2"/>
          </rPr>
          <t xml:space="preserve">Informar o número de horas noturnas trabalhadas no intervalo das 22:00h as 5:00h.
Consideramos o turno noturno iniciando às 19hrs
</t>
        </r>
      </text>
    </comment>
    <comment ref="F97" authorId="0" shapeId="0" xr:uid="{00000000-0006-0000-0900-000007000000}">
      <text>
        <r>
          <rPr>
            <sz val="7"/>
            <color indexed="81"/>
            <rFont val="Century Gothic"/>
            <family val="2"/>
          </rPr>
          <t xml:space="preserve">Informar o número de horas extras trabalhadas em horário noturno (das 22:00h as 5h) nos domingos e feriados
</t>
        </r>
      </text>
    </comment>
    <comment ref="F99" authorId="0" shapeId="0" xr:uid="{00000000-0006-0000-0900-000008000000}">
      <text>
        <r>
          <rPr>
            <sz val="7"/>
            <color indexed="81"/>
            <rFont val="Century Gothic"/>
            <family val="2"/>
          </rPr>
          <t>Informar o número de horas extras trabalhadas de segunda à sábado</t>
        </r>
      </text>
    </comment>
    <comment ref="F100" authorId="0" shapeId="0" xr:uid="{00000000-0006-0000-0900-000009000000}">
      <text>
        <r>
          <rPr>
            <sz val="7"/>
            <color indexed="81"/>
            <rFont val="Century Gothic"/>
            <family val="2"/>
          </rPr>
          <t>Informar o número de horas extras trabalhadas em horário noturno (das 22:00h as 5h) de segunda a sábado</t>
        </r>
      </text>
    </comment>
    <comment ref="B102" authorId="0" shapeId="0" xr:uid="{00000000-0006-0000-0900-00000A000000}">
      <text>
        <r>
          <rPr>
            <sz val="7"/>
            <color indexed="81"/>
            <rFont val="Century Gothic"/>
            <family val="2"/>
          </rPr>
          <t>Cálculo do descanso semanal remunerado incidente sobre as horas extras habitualmente prestadas. 
DSR(HE) = (total de HE)/(dias úteis)*número de domingos e feriados*valor da he</t>
        </r>
      </text>
    </comment>
    <comment ref="F123" authorId="0" shapeId="0" xr:uid="{00000000-0006-0000-0900-00000B000000}">
      <text>
        <r>
          <rPr>
            <sz val="7"/>
            <color indexed="81"/>
            <rFont val="Century Gothic"/>
            <family val="2"/>
          </rPr>
          <t xml:space="preserve">Informar o número de horas noturnas trabalhadas no intervalo das 22:00h as 5:00h.
Consideramos o turno noturno iniciando às 19hrs
</t>
        </r>
      </text>
    </comment>
    <comment ref="F126" authorId="0" shapeId="0" xr:uid="{00000000-0006-0000-0900-00000C000000}">
      <text>
        <r>
          <rPr>
            <sz val="7"/>
            <color indexed="81"/>
            <rFont val="Century Gothic"/>
            <family val="2"/>
          </rPr>
          <t xml:space="preserve">Informar o número de horas extras trabalhadas em horário noturno (das 22:00h as 5h) nos domingos e feriados
</t>
        </r>
      </text>
    </comment>
    <comment ref="F128" authorId="0" shapeId="0" xr:uid="{00000000-0006-0000-0900-00000D000000}">
      <text>
        <r>
          <rPr>
            <sz val="7"/>
            <color indexed="81"/>
            <rFont val="Century Gothic"/>
            <family val="2"/>
          </rPr>
          <t>Informar o número de horas extras trabalhadas de segunda à sábado</t>
        </r>
      </text>
    </comment>
    <comment ref="F129" authorId="0" shapeId="0" xr:uid="{00000000-0006-0000-0900-00000E000000}">
      <text>
        <r>
          <rPr>
            <sz val="7"/>
            <color indexed="81"/>
            <rFont val="Century Gothic"/>
            <family val="2"/>
          </rPr>
          <t>Informar o número de horas extras trabalhadas em horário noturno (das 22:00h as 5h) de segunda a sábado</t>
        </r>
      </text>
    </comment>
    <comment ref="B131" authorId="0" shapeId="0" xr:uid="{00000000-0006-0000-0900-00000F000000}">
      <text>
        <r>
          <rPr>
            <sz val="7"/>
            <color indexed="81"/>
            <rFont val="Century Gothic"/>
            <family val="2"/>
          </rPr>
          <t>Cálculo do descanso semanal remunerado incidente sobre as horas extras habitualmente prestadas. 
DSR(HE) = (total de HE)/(dias úteis)*número de domingos e feriados*valor da he</t>
        </r>
      </text>
    </comment>
    <comment ref="F152" authorId="0" shapeId="0" xr:uid="{00000000-0006-0000-0900-000010000000}">
      <text>
        <r>
          <rPr>
            <sz val="7"/>
            <color indexed="81"/>
            <rFont val="Century Gothic"/>
            <family val="2"/>
          </rPr>
          <t xml:space="preserve">Informar o número de horas noturnas trabalhadas no intervalo das 22:00h as 5:00h.
Consideramos o turno noturno iniciando às 19hrs
</t>
        </r>
      </text>
    </comment>
    <comment ref="F155" authorId="0" shapeId="0" xr:uid="{00000000-0006-0000-0900-000011000000}">
      <text>
        <r>
          <rPr>
            <sz val="7"/>
            <color indexed="81"/>
            <rFont val="Century Gothic"/>
            <family val="2"/>
          </rPr>
          <t xml:space="preserve">Informar o número de horas extras trabalhadas em horário noturno (das 22:00h as 5h) nos domingos e feriados
</t>
        </r>
      </text>
    </comment>
    <comment ref="F157" authorId="0" shapeId="0" xr:uid="{00000000-0006-0000-0900-000012000000}">
      <text>
        <r>
          <rPr>
            <sz val="7"/>
            <color indexed="81"/>
            <rFont val="Century Gothic"/>
            <family val="2"/>
          </rPr>
          <t>Informar o número de horas extras trabalhadas de segunda à sábado</t>
        </r>
      </text>
    </comment>
    <comment ref="F158" authorId="0" shapeId="0" xr:uid="{00000000-0006-0000-0900-000013000000}">
      <text>
        <r>
          <rPr>
            <sz val="7"/>
            <color indexed="81"/>
            <rFont val="Century Gothic"/>
            <family val="2"/>
          </rPr>
          <t>Informar o número de horas extras trabalhadas em horário noturno (das 22:00h as 5h) de segunda a sábado</t>
        </r>
      </text>
    </comment>
    <comment ref="B160" authorId="0" shapeId="0" xr:uid="{00000000-0006-0000-0900-000014000000}">
      <text>
        <r>
          <rPr>
            <sz val="7"/>
            <color indexed="81"/>
            <rFont val="Century Gothic"/>
            <family val="2"/>
          </rPr>
          <t>Cálculo do descanso semanal remunerado incidente sobre as horas extras habitualmente prestadas. 
DSR(HE) = (total de HE)/(dias úteis)*número de domingos e feriados*valor da he</t>
        </r>
      </text>
    </comment>
    <comment ref="H244" authorId="1" shapeId="0" xr:uid="{00000000-0006-0000-0900-000015000000}">
      <text>
        <r>
          <rPr>
            <sz val="9"/>
            <color indexed="81"/>
            <rFont val="Segoe UI"/>
            <family val="2"/>
          </rPr>
          <t>Fonte utilizada:
SICRO - DNIT</t>
        </r>
      </text>
    </comment>
    <comment ref="H246" authorId="1" shapeId="0" xr:uid="{00000000-0006-0000-0900-000016000000}">
      <text>
        <r>
          <rPr>
            <sz val="9"/>
            <color indexed="81"/>
            <rFont val="Segoe UI"/>
            <family val="2"/>
          </rPr>
          <t>Adotar entre 0,3 e 0,5 l/km
- trajeto p/ aterro - 0,2 l/km
- Rotas de coleta - 0,6 l/km
(PROC-IBR-RSU 005/2017 - IBRAOP)</t>
        </r>
      </text>
    </comment>
    <comment ref="H260" authorId="1" shapeId="0" xr:uid="{00000000-0006-0000-0900-000017000000}">
      <text>
        <r>
          <rPr>
            <sz val="9"/>
            <color indexed="81"/>
            <rFont val="Segoe UI"/>
            <family val="2"/>
          </rPr>
          <t xml:space="preserve">Tabela - SICRO </t>
        </r>
      </text>
    </comment>
    <comment ref="H269" authorId="1" shapeId="0" xr:uid="{00000000-0006-0000-0900-000018000000}">
      <text>
        <r>
          <rPr>
            <sz val="9"/>
            <color indexed="81"/>
            <rFont val="Segoe UI"/>
            <family val="2"/>
          </rPr>
          <t>Alíquota do estado</t>
        </r>
      </text>
    </comment>
    <comment ref="H270" authorId="1" shapeId="0" xr:uid="{00000000-0006-0000-0900-000019000000}">
      <text>
        <r>
          <rPr>
            <sz val="9"/>
            <color indexed="81"/>
            <rFont val="Segoe UI"/>
            <family val="2"/>
          </rPr>
          <t xml:space="preserve">Consultar Detran.
</t>
        </r>
        <r>
          <rPr>
            <b/>
            <sz val="9"/>
            <color indexed="81"/>
            <rFont val="Segoe UI"/>
            <family val="2"/>
          </rPr>
          <t>obs:</t>
        </r>
        <r>
          <rPr>
            <sz val="9"/>
            <color indexed="81"/>
            <rFont val="Segoe UI"/>
            <family val="2"/>
          </rPr>
          <t xml:space="preserve"> Gira em torno de 100 R$</t>
        </r>
      </text>
    </comment>
    <comment ref="H271" authorId="1" shapeId="0" xr:uid="{00000000-0006-0000-0900-00001A000000}">
      <text>
        <r>
          <rPr>
            <sz val="9"/>
            <color indexed="81"/>
            <rFont val="Segoe UI"/>
            <family val="2"/>
          </rPr>
          <t xml:space="preserve">Consultar DPVAT - tabelado por Categoria </t>
        </r>
      </text>
    </comment>
    <comment ref="G276" authorId="1" shapeId="0" xr:uid="{00000000-0006-0000-0900-00001B000000}">
      <text>
        <r>
          <rPr>
            <sz val="9"/>
            <color indexed="81"/>
            <rFont val="Segoe UI"/>
            <family val="2"/>
          </rPr>
          <t>Adotar entre 0,3 e 0,5 l/km
- trajeto p/ aterro - 0,2 l/km
- Rotas de coleta - 0,6 l/km
(PROC-IBR-RSU 005/2017 - IBRAOP)</t>
        </r>
      </text>
    </comment>
    <comment ref="G278" authorId="1" shapeId="0" xr:uid="{00000000-0006-0000-0900-00001C000000}">
      <text>
        <r>
          <rPr>
            <sz val="9"/>
            <color indexed="81"/>
            <rFont val="Segoe UI"/>
            <family val="2"/>
          </rPr>
          <t xml:space="preserve">Fator de incidência sobre o combustível
</t>
        </r>
        <r>
          <rPr>
            <b/>
            <sz val="9"/>
            <color indexed="81"/>
            <rFont val="Segoe UI"/>
            <family val="2"/>
          </rPr>
          <t>obs: fixo</t>
        </r>
      </text>
    </comment>
    <comment ref="H286" authorId="1" shapeId="0" xr:uid="{00000000-0006-0000-0900-00001D000000}">
      <text>
        <r>
          <rPr>
            <sz val="9"/>
            <color indexed="81"/>
            <rFont val="Segoe UI"/>
            <family val="2"/>
          </rPr>
          <t>Como parâmetro utiliza-se o ciclo de:
30.000 km</t>
        </r>
      </text>
    </comment>
    <comment ref="H287" authorId="1" shapeId="0" xr:uid="{00000000-0006-0000-0900-00001E000000}">
      <text>
        <r>
          <rPr>
            <sz val="9"/>
            <color indexed="81"/>
            <rFont val="Segoe UI"/>
            <family val="2"/>
          </rPr>
          <t>Como parâmetro utiliza-se o ciclo de:
50.000 km</t>
        </r>
      </text>
    </comment>
    <comment ref="H292" authorId="1" shapeId="0" xr:uid="{00000000-0006-0000-0900-00001F000000}">
      <text>
        <r>
          <rPr>
            <sz val="9"/>
            <color indexed="81"/>
            <rFont val="Segoe UI"/>
            <family val="2"/>
          </rPr>
          <t>Coef. De Manutenção - Tabelado DNIT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Gabriel Silva</author>
    <author>Clauber Bridi</author>
  </authors>
  <commentList>
    <comment ref="F9" authorId="0" shapeId="0" xr:uid="{00000000-0006-0000-0A00-000001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valor adotado pela paramétrica</t>
        </r>
      </text>
    </comment>
    <comment ref="F70" authorId="1" shapeId="0" xr:uid="{00000000-0006-0000-0A00-000002000000}">
      <text>
        <r>
          <rPr>
            <sz val="7"/>
            <color indexed="81"/>
            <rFont val="Century Gothic"/>
            <family val="2"/>
          </rPr>
          <t xml:space="preserve">Informar o número de horas noturnas trabalhadas no intervalo das 22:00h as 5:00h.
Consideramos o turno noturno iniciando às 19hrs
</t>
        </r>
      </text>
    </comment>
    <comment ref="F73" authorId="1" shapeId="0" xr:uid="{00000000-0006-0000-0A00-000003000000}">
      <text>
        <r>
          <rPr>
            <sz val="7"/>
            <color indexed="81"/>
            <rFont val="Century Gothic"/>
            <family val="2"/>
          </rPr>
          <t xml:space="preserve">Informar o número de horas extras trabalhadas em horário noturno (das 22:00h as 5h) nos domingos e feriados
</t>
        </r>
      </text>
    </comment>
    <comment ref="F75" authorId="1" shapeId="0" xr:uid="{00000000-0006-0000-0A00-000004000000}">
      <text>
        <r>
          <rPr>
            <sz val="7"/>
            <color indexed="81"/>
            <rFont val="Century Gothic"/>
            <family val="2"/>
          </rPr>
          <t>Informar o número de horas extras trabalhadas de segunda à sábado</t>
        </r>
      </text>
    </comment>
    <comment ref="F76" authorId="1" shapeId="0" xr:uid="{00000000-0006-0000-0A00-000005000000}">
      <text>
        <r>
          <rPr>
            <sz val="7"/>
            <color indexed="81"/>
            <rFont val="Century Gothic"/>
            <family val="2"/>
          </rPr>
          <t>Informar o número de horas extras trabalhadas em horário noturno (das 22:00h as 5h) de segunda a sábado</t>
        </r>
      </text>
    </comment>
    <comment ref="B78" authorId="1" shapeId="0" xr:uid="{00000000-0006-0000-0A00-000006000000}">
      <text>
        <r>
          <rPr>
            <sz val="7"/>
            <color indexed="81"/>
            <rFont val="Century Gothic"/>
            <family val="2"/>
          </rPr>
          <t>Cálculo do descanso semanal remunerado incidente sobre as horas extras habitualmente prestadas. 
DSR(HE) = (total de HE)/(dias úteis)*número de domingos e feriados*valor da he</t>
        </r>
      </text>
    </comment>
    <comment ref="F99" authorId="1" shapeId="0" xr:uid="{00000000-0006-0000-0A00-000007000000}">
      <text>
        <r>
          <rPr>
            <sz val="7"/>
            <color indexed="81"/>
            <rFont val="Century Gothic"/>
            <family val="2"/>
          </rPr>
          <t xml:space="preserve">Informar o número de horas noturnas trabalhadas no intervalo das 22:00h as 5:00h.
Consideramos o turno noturno iniciando às 19hrs
</t>
        </r>
      </text>
    </comment>
    <comment ref="F102" authorId="1" shapeId="0" xr:uid="{00000000-0006-0000-0A00-000008000000}">
      <text>
        <r>
          <rPr>
            <sz val="7"/>
            <color indexed="81"/>
            <rFont val="Century Gothic"/>
            <family val="2"/>
          </rPr>
          <t xml:space="preserve">Informar o número de horas extras trabalhadas em horário noturno (das 22:00h as 5h) nos domingos e feriados
</t>
        </r>
      </text>
    </comment>
    <comment ref="F104" authorId="1" shapeId="0" xr:uid="{00000000-0006-0000-0A00-000009000000}">
      <text>
        <r>
          <rPr>
            <sz val="7"/>
            <color indexed="81"/>
            <rFont val="Century Gothic"/>
            <family val="2"/>
          </rPr>
          <t>Informar o número de horas extras trabalhadas de segunda à sábado</t>
        </r>
      </text>
    </comment>
    <comment ref="F105" authorId="1" shapeId="0" xr:uid="{00000000-0006-0000-0A00-00000A000000}">
      <text>
        <r>
          <rPr>
            <sz val="7"/>
            <color indexed="81"/>
            <rFont val="Century Gothic"/>
            <family val="2"/>
          </rPr>
          <t>Informar o número de horas extras trabalhadas em horário noturno (das 22:00h as 5h) de segunda a sábado</t>
        </r>
      </text>
    </comment>
    <comment ref="B107" authorId="1" shapeId="0" xr:uid="{00000000-0006-0000-0A00-00000B000000}">
      <text>
        <r>
          <rPr>
            <sz val="7"/>
            <color indexed="81"/>
            <rFont val="Century Gothic"/>
            <family val="2"/>
          </rPr>
          <t>Cálculo do descanso semanal remunerado incidente sobre as horas extras habitualmente prestadas. 
DSR(HE) = (total de HE)/(dias úteis)*número de domingos e feriados*valor da he</t>
        </r>
      </text>
    </comment>
    <comment ref="F128" authorId="1" shapeId="0" xr:uid="{00000000-0006-0000-0A00-00000C000000}">
      <text>
        <r>
          <rPr>
            <sz val="7"/>
            <color indexed="81"/>
            <rFont val="Century Gothic"/>
            <family val="2"/>
          </rPr>
          <t xml:space="preserve">Informar o número de horas noturnas trabalhadas no intervalo das 22:00h as 5:00h.
Consideramos o turno noturno iniciando às 19hrs
</t>
        </r>
      </text>
    </comment>
    <comment ref="F131" authorId="1" shapeId="0" xr:uid="{00000000-0006-0000-0A00-00000D000000}">
      <text>
        <r>
          <rPr>
            <sz val="7"/>
            <color indexed="81"/>
            <rFont val="Century Gothic"/>
            <family val="2"/>
          </rPr>
          <t xml:space="preserve">Informar o número de horas extras trabalhadas em horário noturno (das 22:00h as 5h) nos domingos e feriados
</t>
        </r>
      </text>
    </comment>
    <comment ref="F133" authorId="1" shapeId="0" xr:uid="{00000000-0006-0000-0A00-00000E000000}">
      <text>
        <r>
          <rPr>
            <sz val="7"/>
            <color indexed="81"/>
            <rFont val="Century Gothic"/>
            <family val="2"/>
          </rPr>
          <t>Informar o número de horas extras trabalhadas de segunda à sábado</t>
        </r>
      </text>
    </comment>
    <comment ref="F134" authorId="1" shapeId="0" xr:uid="{00000000-0006-0000-0A00-00000F000000}">
      <text>
        <r>
          <rPr>
            <sz val="7"/>
            <color indexed="81"/>
            <rFont val="Century Gothic"/>
            <family val="2"/>
          </rPr>
          <t>Informar o número de horas extras trabalhadas em horário noturno (das 22:00h as 5h) de segunda a sábado</t>
        </r>
      </text>
    </comment>
    <comment ref="B136" authorId="1" shapeId="0" xr:uid="{00000000-0006-0000-0A00-000010000000}">
      <text>
        <r>
          <rPr>
            <sz val="7"/>
            <color indexed="81"/>
            <rFont val="Century Gothic"/>
            <family val="2"/>
          </rPr>
          <t>Cálculo do descanso semanal remunerado incidente sobre as horas extras habitualmente prestadas. 
DSR(HE) = (total de HE)/(dias úteis)*número de domingos e feriados*valor da he</t>
        </r>
      </text>
    </comment>
    <comment ref="F157" authorId="1" shapeId="0" xr:uid="{00000000-0006-0000-0A00-000011000000}">
      <text>
        <r>
          <rPr>
            <sz val="7"/>
            <color indexed="81"/>
            <rFont val="Century Gothic"/>
            <family val="2"/>
          </rPr>
          <t xml:space="preserve">Informar o número de horas noturnas trabalhadas no intervalo das 22:00h as 5:00h.
Consideramos o turno noturno iniciando às 19hrs
</t>
        </r>
      </text>
    </comment>
    <comment ref="F160" authorId="1" shapeId="0" xr:uid="{00000000-0006-0000-0A00-000012000000}">
      <text>
        <r>
          <rPr>
            <sz val="7"/>
            <color indexed="81"/>
            <rFont val="Century Gothic"/>
            <family val="2"/>
          </rPr>
          <t xml:space="preserve">Informar o número de horas extras trabalhadas em horário noturno (das 22:00h as 5h) nos domingos e feriados
</t>
        </r>
      </text>
    </comment>
    <comment ref="F162" authorId="1" shapeId="0" xr:uid="{00000000-0006-0000-0A00-000013000000}">
      <text>
        <r>
          <rPr>
            <sz val="7"/>
            <color indexed="81"/>
            <rFont val="Century Gothic"/>
            <family val="2"/>
          </rPr>
          <t>Informar o número de horas extras trabalhadas de segunda à sábado</t>
        </r>
      </text>
    </comment>
    <comment ref="F163" authorId="1" shapeId="0" xr:uid="{00000000-0006-0000-0A00-000014000000}">
      <text>
        <r>
          <rPr>
            <sz val="7"/>
            <color indexed="81"/>
            <rFont val="Century Gothic"/>
            <family val="2"/>
          </rPr>
          <t>Informar o número de horas extras trabalhadas em horário noturno (das 22:00h as 5h) de segunda a sábado</t>
        </r>
      </text>
    </comment>
    <comment ref="B165" authorId="1" shapeId="0" xr:uid="{00000000-0006-0000-0A00-000015000000}">
      <text>
        <r>
          <rPr>
            <sz val="7"/>
            <color indexed="81"/>
            <rFont val="Century Gothic"/>
            <family val="2"/>
          </rPr>
          <t>Cálculo do descanso semanal remunerado incidente sobre as horas extras habitualmente prestadas. 
DSR(HE) = (total de HE)/(dias úteis)*número de domingos e feriados*valor da he</t>
        </r>
      </text>
    </comment>
    <comment ref="H232" authorId="0" shapeId="0" xr:uid="{00000000-0006-0000-0A00-000016000000}">
      <text>
        <r>
          <rPr>
            <sz val="9"/>
            <color indexed="81"/>
            <rFont val="Segoe UI"/>
            <family val="2"/>
          </rPr>
          <t>Fonte utilizada:
SICRO - DNIT</t>
        </r>
      </text>
    </comment>
    <comment ref="H234" authorId="0" shapeId="0" xr:uid="{00000000-0006-0000-0A00-000017000000}">
      <text>
        <r>
          <rPr>
            <sz val="9"/>
            <color indexed="81"/>
            <rFont val="Segoe UI"/>
            <family val="2"/>
          </rPr>
          <t>Adotar entre 0,3 e 0,5 l/km
- trajeto p/ aterro - 0,2 l/km
- Rotas de coleta - 0,6 l/km
(PROC-IBR-RSU 005/2017 - IBRAOP)</t>
        </r>
      </text>
    </comment>
    <comment ref="H248" authorId="0" shapeId="0" xr:uid="{00000000-0006-0000-0A00-000018000000}">
      <text>
        <r>
          <rPr>
            <sz val="9"/>
            <color indexed="81"/>
            <rFont val="Segoe UI"/>
            <family val="2"/>
          </rPr>
          <t xml:space="preserve">Tabela - SICRO </t>
        </r>
      </text>
    </comment>
    <comment ref="H257" authorId="0" shapeId="0" xr:uid="{00000000-0006-0000-0A00-000019000000}">
      <text>
        <r>
          <rPr>
            <sz val="9"/>
            <color indexed="81"/>
            <rFont val="Segoe UI"/>
            <family val="2"/>
          </rPr>
          <t>Alíquota do estado</t>
        </r>
      </text>
    </comment>
    <comment ref="H258" authorId="0" shapeId="0" xr:uid="{00000000-0006-0000-0A00-00001A000000}">
      <text>
        <r>
          <rPr>
            <sz val="9"/>
            <color indexed="81"/>
            <rFont val="Segoe UI"/>
            <family val="2"/>
          </rPr>
          <t xml:space="preserve">Consultar Detran.
</t>
        </r>
        <r>
          <rPr>
            <b/>
            <sz val="9"/>
            <color indexed="81"/>
            <rFont val="Segoe UI"/>
            <family val="2"/>
          </rPr>
          <t>obs:</t>
        </r>
        <r>
          <rPr>
            <sz val="9"/>
            <color indexed="81"/>
            <rFont val="Segoe UI"/>
            <family val="2"/>
          </rPr>
          <t xml:space="preserve"> Gira em torno de 100 R$</t>
        </r>
      </text>
    </comment>
    <comment ref="H259" authorId="0" shapeId="0" xr:uid="{00000000-0006-0000-0A00-00001B000000}">
      <text>
        <r>
          <rPr>
            <sz val="9"/>
            <color indexed="81"/>
            <rFont val="Segoe UI"/>
            <family val="2"/>
          </rPr>
          <t xml:space="preserve">Consultar DPVAT - tabelado por Categoria </t>
        </r>
      </text>
    </comment>
    <comment ref="G264" authorId="0" shapeId="0" xr:uid="{00000000-0006-0000-0A00-00001C000000}">
      <text>
        <r>
          <rPr>
            <sz val="9"/>
            <color indexed="81"/>
            <rFont val="Segoe UI"/>
            <family val="2"/>
          </rPr>
          <t>Adotar entre 0,3 e 0,5 l/km
- trajeto p/ aterro - 0,2 l/km
- Rotas de coleta - 0,6 l/km
(PROC-IBR-RSU 005/2017 - IBRAOP)</t>
        </r>
      </text>
    </comment>
    <comment ref="G266" authorId="0" shapeId="0" xr:uid="{00000000-0006-0000-0A00-00001D000000}">
      <text>
        <r>
          <rPr>
            <sz val="9"/>
            <color indexed="81"/>
            <rFont val="Segoe UI"/>
            <family val="2"/>
          </rPr>
          <t xml:space="preserve">Fator de incidência sobre o combustível
</t>
        </r>
        <r>
          <rPr>
            <b/>
            <sz val="9"/>
            <color indexed="81"/>
            <rFont val="Segoe UI"/>
            <family val="2"/>
          </rPr>
          <t>obs: fixo</t>
        </r>
      </text>
    </comment>
    <comment ref="H274" authorId="0" shapeId="0" xr:uid="{00000000-0006-0000-0A00-00001E000000}">
      <text>
        <r>
          <rPr>
            <sz val="9"/>
            <color indexed="81"/>
            <rFont val="Segoe UI"/>
            <family val="2"/>
          </rPr>
          <t>Como parâmetro utiliza-se o ciclo de:
30.000 km</t>
        </r>
      </text>
    </comment>
    <comment ref="H275" authorId="0" shapeId="0" xr:uid="{00000000-0006-0000-0A00-00001F000000}">
      <text>
        <r>
          <rPr>
            <sz val="9"/>
            <color indexed="81"/>
            <rFont val="Segoe UI"/>
            <family val="2"/>
          </rPr>
          <t>Como parâmetro utiliza-se o ciclo de:
50.000 km</t>
        </r>
      </text>
    </comment>
    <comment ref="H280" authorId="0" shapeId="0" xr:uid="{00000000-0006-0000-0A00-000020000000}">
      <text>
        <r>
          <rPr>
            <sz val="9"/>
            <color indexed="81"/>
            <rFont val="Segoe UI"/>
            <family val="2"/>
          </rPr>
          <t>Coef. De Manutenção - Tabelado DNIT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F68" authorId="0" shapeId="0" xr:uid="{00000000-0006-0000-0B00-000005000000}">
      <text>
        <r>
          <rPr>
            <sz val="7"/>
            <color indexed="81"/>
            <rFont val="Century Gothic"/>
            <family val="2"/>
          </rPr>
          <t xml:space="preserve">Informar o número de horas noturnas trabalhadas no intervalo das 22:00h as 5:00h.
Consideramos o turno noturno iniciando às 19hrs
</t>
        </r>
      </text>
    </comment>
    <comment ref="F71" authorId="0" shapeId="0" xr:uid="{00000000-0006-0000-0B00-000006000000}">
      <text>
        <r>
          <rPr>
            <sz val="7"/>
            <color indexed="81"/>
            <rFont val="Century Gothic"/>
            <family val="2"/>
          </rPr>
          <t xml:space="preserve">Informar o número de horas extras trabalhadas em horário noturno (das 22:00h as 5h) nos domingos e feriados
</t>
        </r>
      </text>
    </comment>
    <comment ref="F73" authorId="0" shapeId="0" xr:uid="{00000000-0006-0000-0B00-000007000000}">
      <text>
        <r>
          <rPr>
            <sz val="7"/>
            <color indexed="81"/>
            <rFont val="Century Gothic"/>
            <family val="2"/>
          </rPr>
          <t>Informar o número de horas extras trabalhadas de segunda à sábado</t>
        </r>
      </text>
    </comment>
    <comment ref="F74" authorId="0" shapeId="0" xr:uid="{00000000-0006-0000-0B00-000008000000}">
      <text>
        <r>
          <rPr>
            <sz val="7"/>
            <color indexed="81"/>
            <rFont val="Century Gothic"/>
            <family val="2"/>
          </rPr>
          <t>Informar o número de horas extras trabalhadas em horário noturno (das 22:00h as 5h) de segunda a sábado</t>
        </r>
      </text>
    </comment>
    <comment ref="B76" authorId="0" shapeId="0" xr:uid="{00000000-0006-0000-0B00-000009000000}">
      <text>
        <r>
          <rPr>
            <sz val="7"/>
            <color indexed="81"/>
            <rFont val="Century Gothic"/>
            <family val="2"/>
          </rPr>
          <t>Cálculo do descanso semanal remunerado incidente sobre as horas extras habitualmente prestadas. 
DSR(HE) = (total de HE)/(dias úteis)*número de domingos e feriados*valor da he</t>
        </r>
      </text>
    </comment>
    <comment ref="F97" authorId="0" shapeId="0" xr:uid="{00000000-0006-0000-0B00-00000A000000}">
      <text>
        <r>
          <rPr>
            <sz val="7"/>
            <color indexed="81"/>
            <rFont val="Century Gothic"/>
            <family val="2"/>
          </rPr>
          <t xml:space="preserve">Informar o número de horas noturnas trabalhadas no intervalo das 22:00h as 5:00h.
Consideramos o turno noturno iniciando às 19hrs
</t>
        </r>
      </text>
    </comment>
    <comment ref="F100" authorId="0" shapeId="0" xr:uid="{00000000-0006-0000-0B00-00000B000000}">
      <text>
        <r>
          <rPr>
            <sz val="7"/>
            <color indexed="81"/>
            <rFont val="Century Gothic"/>
            <family val="2"/>
          </rPr>
          <t xml:space="preserve">Informar o número de horas extras trabalhadas em horário noturno (das 22:00h as 5h) nos domingos e feriados
</t>
        </r>
      </text>
    </comment>
    <comment ref="F102" authorId="0" shapeId="0" xr:uid="{00000000-0006-0000-0B00-00000C000000}">
      <text>
        <r>
          <rPr>
            <sz val="7"/>
            <color indexed="81"/>
            <rFont val="Century Gothic"/>
            <family val="2"/>
          </rPr>
          <t>Informar o número de horas extras trabalhadas de segunda à sábado</t>
        </r>
      </text>
    </comment>
    <comment ref="F103" authorId="0" shapeId="0" xr:uid="{00000000-0006-0000-0B00-00000D000000}">
      <text>
        <r>
          <rPr>
            <sz val="7"/>
            <color indexed="81"/>
            <rFont val="Century Gothic"/>
            <family val="2"/>
          </rPr>
          <t>Informar o número de horas extras trabalhadas em horário noturno (das 22:00h as 5h) de segunda a sábado</t>
        </r>
      </text>
    </comment>
    <comment ref="B105" authorId="0" shapeId="0" xr:uid="{00000000-0006-0000-0B00-00000E000000}">
      <text>
        <r>
          <rPr>
            <sz val="7"/>
            <color indexed="81"/>
            <rFont val="Century Gothic"/>
            <family val="2"/>
          </rPr>
          <t>Cálculo do descanso semanal remunerado incidente sobre as horas extras habitualmente prestadas. 
DSR(HE) = (total de HE)/(dias úteis)*número de domingos e feriados*valor da he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Um usuário do Microsoft Office satisfeito</author>
  </authors>
  <commentList>
    <comment ref="C30" authorId="0" shapeId="0" xr:uid="{E233AB19-6FEB-4EA2-B6E2-1D4F127217D7}">
      <text>
        <r>
          <rPr>
            <sz val="8"/>
            <color indexed="81"/>
            <rFont val="Tahoma"/>
            <family val="2"/>
          </rPr>
          <t>Entre com a Data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  <author>Guilherme Keio De Sousa Nascimento</author>
    <author>Gabriel Silva</author>
  </authors>
  <commentList>
    <comment ref="F63" authorId="0" shapeId="0" xr:uid="{00000000-0006-0000-0C00-000004000000}">
      <text>
        <r>
          <rPr>
            <sz val="7"/>
            <color indexed="81"/>
            <rFont val="Century Gothic"/>
            <family val="2"/>
          </rPr>
          <t xml:space="preserve">Informar o número de horas noturnas trabalhadas no intervalo das 22:00h as 5:00h.
Consideramos o turno noturno iniciando às 19hrs
</t>
        </r>
      </text>
    </comment>
    <comment ref="F66" authorId="0" shapeId="0" xr:uid="{00000000-0006-0000-0C00-000005000000}">
      <text>
        <r>
          <rPr>
            <sz val="7"/>
            <color indexed="81"/>
            <rFont val="Century Gothic"/>
            <family val="2"/>
          </rPr>
          <t xml:space="preserve">Informar o número de horas extras trabalhadas em horário noturno (das 22:00h as 5h) nos domingos e feriados
</t>
        </r>
      </text>
    </comment>
    <comment ref="F68" authorId="0" shapeId="0" xr:uid="{00000000-0006-0000-0C00-000006000000}">
      <text>
        <r>
          <rPr>
            <sz val="7"/>
            <color indexed="81"/>
            <rFont val="Century Gothic"/>
            <family val="2"/>
          </rPr>
          <t>Informar o número de horas extras trabalhadas de segunda à sábado</t>
        </r>
      </text>
    </comment>
    <comment ref="F69" authorId="0" shapeId="0" xr:uid="{00000000-0006-0000-0C00-000007000000}">
      <text>
        <r>
          <rPr>
            <sz val="7"/>
            <color indexed="81"/>
            <rFont val="Century Gothic"/>
            <family val="2"/>
          </rPr>
          <t>Informar o número de horas extras trabalhadas em horário noturno (das 22:00h as 5h) de segunda a sábado</t>
        </r>
      </text>
    </comment>
    <comment ref="B71" authorId="0" shapeId="0" xr:uid="{00000000-0006-0000-0C00-000008000000}">
      <text>
        <r>
          <rPr>
            <sz val="7"/>
            <color indexed="81"/>
            <rFont val="Century Gothic"/>
            <family val="2"/>
          </rPr>
          <t>Cálculo do descanso semanal remunerado incidente sobre as horas extras habitualmente prestadas. 
DSR(HE) = (total de HE)/(dias úteis)*número de domingos e feriados*valor da he</t>
        </r>
      </text>
    </comment>
    <comment ref="F113" authorId="0" shapeId="0" xr:uid="{A501DF2F-9720-4F8F-8795-0A840D6D0032}">
      <text>
        <r>
          <rPr>
            <sz val="7"/>
            <color indexed="81"/>
            <rFont val="Century Gothic"/>
            <family val="2"/>
          </rPr>
          <t xml:space="preserve">Informar o número de horas noturnas trabalhadas no intervalo das 22:00h as 5:00h.
Consideramos o turno noturno iniciando às 19hrs
</t>
        </r>
      </text>
    </comment>
    <comment ref="F116" authorId="0" shapeId="0" xr:uid="{FE3CD725-47A4-4E9B-839C-8490CCE0D702}">
      <text>
        <r>
          <rPr>
            <sz val="7"/>
            <color indexed="81"/>
            <rFont val="Century Gothic"/>
            <family val="2"/>
          </rPr>
          <t xml:space="preserve">Informar o número de horas extras trabalhadas em horário noturno (das 22:00h as 5h) nos domingos e feriados
</t>
        </r>
      </text>
    </comment>
    <comment ref="F118" authorId="0" shapeId="0" xr:uid="{C2494FB8-032C-4626-9519-DC5E67502675}">
      <text>
        <r>
          <rPr>
            <sz val="7"/>
            <color indexed="81"/>
            <rFont val="Century Gothic"/>
            <family val="2"/>
          </rPr>
          <t>Informar o número de horas extras trabalhadas de segunda à sábado</t>
        </r>
      </text>
    </comment>
    <comment ref="F119" authorId="0" shapeId="0" xr:uid="{7A4B191C-CC66-42F9-8CBE-EF8F65297C9B}">
      <text>
        <r>
          <rPr>
            <sz val="7"/>
            <color indexed="81"/>
            <rFont val="Century Gothic"/>
            <family val="2"/>
          </rPr>
          <t>Informar o número de horas extras trabalhadas em horário noturno (das 22:00h as 5h) de segunda a sábado</t>
        </r>
      </text>
    </comment>
    <comment ref="B121" authorId="0" shapeId="0" xr:uid="{67AED3F5-104B-4188-9CF3-520B645DCDB8}">
      <text>
        <r>
          <rPr>
            <sz val="7"/>
            <color indexed="81"/>
            <rFont val="Century Gothic"/>
            <family val="2"/>
          </rPr>
          <t>Cálculo do descanso semanal remunerado incidente sobre as horas extras habitualmente prestadas. 
DSR(HE) = (total de HE)/(dias úteis)*número de domingos e feriados*valor da he</t>
        </r>
      </text>
    </comment>
    <comment ref="G161" authorId="1" shapeId="0" xr:uid="{BF533334-9FB0-4AD7-9324-AD95040E3A99}">
      <text>
        <r>
          <rPr>
            <b/>
            <sz val="9"/>
            <color indexed="81"/>
            <rFont val="Segoe UI"/>
            <charset val="1"/>
          </rPr>
          <t>CARGO DE CONFIANÇA</t>
        </r>
      </text>
    </comment>
    <comment ref="F163" authorId="0" shapeId="0" xr:uid="{A903DDDD-48D2-4B7D-8E32-2080D297AC23}">
      <text>
        <r>
          <rPr>
            <sz val="7"/>
            <color indexed="81"/>
            <rFont val="Century Gothic"/>
            <family val="2"/>
          </rPr>
          <t xml:space="preserve">Informar o número de horas noturnas trabalhadas no intervalo das 22:00h as 5:00h.
Consideramos o turno noturno iniciando às 19hrs
</t>
        </r>
      </text>
    </comment>
    <comment ref="F166" authorId="0" shapeId="0" xr:uid="{0080C9E6-2826-40E9-94EB-C2D88F4CC170}">
      <text>
        <r>
          <rPr>
            <sz val="7"/>
            <color indexed="81"/>
            <rFont val="Century Gothic"/>
            <family val="2"/>
          </rPr>
          <t xml:space="preserve">Informar o número de horas extras trabalhadas em horário noturno (das 22:00h as 5h) nos domingos e feriados
</t>
        </r>
      </text>
    </comment>
    <comment ref="F168" authorId="0" shapeId="0" xr:uid="{228DAE09-C7B5-4013-8AE4-4855C1E9CA14}">
      <text>
        <r>
          <rPr>
            <sz val="7"/>
            <color indexed="81"/>
            <rFont val="Century Gothic"/>
            <family val="2"/>
          </rPr>
          <t>Informar o número de horas extras trabalhadas de segunda à sábado</t>
        </r>
      </text>
    </comment>
    <comment ref="F169" authorId="0" shapeId="0" xr:uid="{D2B35771-3059-441F-880A-213E9D9FF5B5}">
      <text>
        <r>
          <rPr>
            <sz val="7"/>
            <color indexed="81"/>
            <rFont val="Century Gothic"/>
            <family val="2"/>
          </rPr>
          <t>Informar o número de horas extras trabalhadas em horário noturno (das 22:00h as 5h) de segunda a sábado</t>
        </r>
      </text>
    </comment>
    <comment ref="B171" authorId="0" shapeId="0" xr:uid="{BD778667-DF34-41DF-994C-8D4839EF600E}">
      <text>
        <r>
          <rPr>
            <sz val="7"/>
            <color indexed="81"/>
            <rFont val="Century Gothic"/>
            <family val="2"/>
          </rPr>
          <t>Cálculo do descanso semanal remunerado incidente sobre as horas extras habitualmente prestadas. 
DSR(HE) = (total de HE)/(dias úteis)*número de domingos e feriados*valor da he</t>
        </r>
      </text>
    </comment>
    <comment ref="B201" authorId="1" shapeId="0" xr:uid="{E9A784EF-C4BB-4C5F-A43F-966E49285F94}">
      <text>
        <r>
          <rPr>
            <b/>
            <sz val="9"/>
            <color indexed="81"/>
            <rFont val="Segoe UI"/>
            <charset val="1"/>
          </rPr>
          <t>Estimativa de 42.00km rodados no ano.
Com rendimento de 5 km por litro (vai ser utilizado dentro da cidade)</t>
        </r>
      </text>
    </comment>
    <comment ref="H242" authorId="2" shapeId="0" xr:uid="{00000000-0006-0000-0C00-000010000000}">
      <text>
        <r>
          <rPr>
            <sz val="9"/>
            <color indexed="81"/>
            <rFont val="Segoe UI"/>
            <family val="2"/>
          </rPr>
          <t xml:space="preserve">Tabela - SICRO </t>
        </r>
      </text>
    </comment>
    <comment ref="H251" authorId="2" shapeId="0" xr:uid="{00000000-0006-0000-0C00-000011000000}">
      <text>
        <r>
          <rPr>
            <sz val="9"/>
            <color indexed="81"/>
            <rFont val="Segoe UI"/>
            <family val="2"/>
          </rPr>
          <t>Alíquota do estado</t>
        </r>
      </text>
    </comment>
    <comment ref="H252" authorId="2" shapeId="0" xr:uid="{00000000-0006-0000-0C00-000012000000}">
      <text>
        <r>
          <rPr>
            <sz val="9"/>
            <color indexed="81"/>
            <rFont val="Segoe UI"/>
            <family val="2"/>
          </rPr>
          <t xml:space="preserve">Consultar Detran.
</t>
        </r>
        <r>
          <rPr>
            <b/>
            <sz val="9"/>
            <color indexed="81"/>
            <rFont val="Segoe UI"/>
            <family val="2"/>
          </rPr>
          <t>obs:</t>
        </r>
        <r>
          <rPr>
            <sz val="9"/>
            <color indexed="81"/>
            <rFont val="Segoe UI"/>
            <family val="2"/>
          </rPr>
          <t xml:space="preserve"> Gira em torno de 100 R$</t>
        </r>
      </text>
    </comment>
    <comment ref="H253" authorId="2" shapeId="0" xr:uid="{00000000-0006-0000-0C00-000013000000}">
      <text>
        <r>
          <rPr>
            <sz val="9"/>
            <color indexed="81"/>
            <rFont val="Segoe UI"/>
            <family val="2"/>
          </rPr>
          <t xml:space="preserve">Consultar DPVAT - tabelado por Categoria </t>
        </r>
      </text>
    </comment>
    <comment ref="G258" authorId="2" shapeId="0" xr:uid="{00000000-0006-0000-0C00-000014000000}">
      <text>
        <r>
          <rPr>
            <sz val="9"/>
            <color indexed="81"/>
            <rFont val="Segoe UI"/>
            <family val="2"/>
          </rPr>
          <t>Adotar entre 0,3 e 0,5 l/km
- trajeto p/ aterro - 0,2 l/km
- Rotas de coleta - 0,6 l/km
(PROC-IBR-RSU 005/2017 - IBRAOP)</t>
        </r>
      </text>
    </comment>
    <comment ref="G260" authorId="2" shapeId="0" xr:uid="{00000000-0006-0000-0C00-000015000000}">
      <text>
        <r>
          <rPr>
            <sz val="9"/>
            <color indexed="81"/>
            <rFont val="Segoe UI"/>
            <family val="2"/>
          </rPr>
          <t xml:space="preserve">Fator de incidência sobre o combustível
</t>
        </r>
        <r>
          <rPr>
            <b/>
            <sz val="9"/>
            <color indexed="81"/>
            <rFont val="Segoe UI"/>
            <family val="2"/>
          </rPr>
          <t>obs: fixo</t>
        </r>
      </text>
    </comment>
    <comment ref="H268" authorId="2" shapeId="0" xr:uid="{00000000-0006-0000-0C00-000016000000}">
      <text>
        <r>
          <rPr>
            <sz val="9"/>
            <color indexed="81"/>
            <rFont val="Segoe UI"/>
            <family val="2"/>
          </rPr>
          <t>Como parâmetro utiliza-se o ciclo de:
30.000 km</t>
        </r>
      </text>
    </comment>
    <comment ref="H269" authorId="2" shapeId="0" xr:uid="{00000000-0006-0000-0C00-000017000000}">
      <text>
        <r>
          <rPr>
            <sz val="9"/>
            <color indexed="81"/>
            <rFont val="Segoe UI"/>
            <family val="2"/>
          </rPr>
          <t>Como parâmetro utiliza-se o ciclo de:
30.000 km</t>
        </r>
      </text>
    </comment>
    <comment ref="H274" authorId="2" shapeId="0" xr:uid="{00000000-0006-0000-0C00-000018000000}">
      <text>
        <r>
          <rPr>
            <sz val="9"/>
            <color indexed="81"/>
            <rFont val="Segoe UI"/>
            <family val="2"/>
          </rPr>
          <t>Coef. De Manutenção - Tabelado DNIT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Gabriel Silva</author>
  </authors>
  <commentList>
    <comment ref="H64" authorId="0" shapeId="0" xr:uid="{7F5C0221-ED38-47D8-BFC3-3DCC37A7D2AA}">
      <text>
        <r>
          <rPr>
            <sz val="9"/>
            <color indexed="81"/>
            <rFont val="Segoe UI"/>
            <family val="2"/>
          </rPr>
          <t>Coef. De Manutenção - Tabelado DNIT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Gabriel Silva</author>
  </authors>
  <commentList>
    <comment ref="G70" authorId="0" shapeId="0" xr:uid="{AFD16951-AB56-43A4-888F-D1C2A78DED61}">
      <text>
        <r>
          <rPr>
            <sz val="9"/>
            <color indexed="81"/>
            <rFont val="Segoe UI"/>
            <family val="2"/>
          </rPr>
          <t>Adotar entre 0,3 e 0,5 l/km
- trajeto p/ aterro - 0,2 l/km
- Rotas de coleta - 0,6 l/km
(PROC-IBR-RSU 005/2017 - IBRAOP)</t>
        </r>
      </text>
    </comment>
    <comment ref="G72" authorId="0" shapeId="0" xr:uid="{3BCB1C65-D62C-41B8-A326-C03A0C2F83F8}">
      <text>
        <r>
          <rPr>
            <sz val="9"/>
            <color indexed="81"/>
            <rFont val="Segoe UI"/>
            <family val="2"/>
          </rPr>
          <t xml:space="preserve">Fator de incidência sobre o combustível
</t>
        </r>
        <r>
          <rPr>
            <b/>
            <sz val="9"/>
            <color indexed="81"/>
            <rFont val="Segoe UI"/>
            <family val="2"/>
          </rPr>
          <t>obs: fixo</t>
        </r>
      </text>
    </comment>
    <comment ref="H80" authorId="0" shapeId="0" xr:uid="{610A5804-A9B6-43DC-8A01-E004DA2E81A1}">
      <text>
        <r>
          <rPr>
            <sz val="9"/>
            <color indexed="81"/>
            <rFont val="Segoe UI"/>
            <family val="2"/>
          </rPr>
          <t>Como parâmetro utiliza-se o ciclo de:
30.000 km</t>
        </r>
      </text>
    </comment>
    <comment ref="H81" authorId="0" shapeId="0" xr:uid="{6676C573-B421-4115-81F7-3F93FE6A0DA1}">
      <text>
        <r>
          <rPr>
            <sz val="9"/>
            <color indexed="81"/>
            <rFont val="Segoe UI"/>
            <family val="2"/>
          </rPr>
          <t>Como parâmetro utiliza-se o ciclo de:
30.000 km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D8" authorId="0" shapeId="0" xr:uid="{00000000-0006-0000-1700-000001000000}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 xr:uid="{00000000-0006-0000-1700-000002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0" authorId="0" shapeId="0" xr:uid="{00000000-0006-0000-1700-000003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1700-000004000000}">
      <text>
        <r>
          <rPr>
            <b/>
            <sz val="9"/>
            <color indexed="81"/>
            <rFont val="Tahoma"/>
            <family val="2"/>
          </rPr>
          <t>Informar o valor anual da taxa financeira, em percentual. Admite-se utilizar a SELIC</t>
        </r>
      </text>
    </comment>
    <comment ref="D12" authorId="0" shapeId="0" xr:uid="{00000000-0006-0000-1700-000005000000}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2" authorId="0" shapeId="0" xr:uid="{00000000-0006-0000-1700-000006000000}">
      <text>
        <r>
          <rPr>
            <b/>
            <sz val="9"/>
            <color indexed="81"/>
            <rFont val="Tahoma"/>
            <family val="2"/>
          </rPr>
          <t>Informar a média de dias úteis entre data de pagamento prevista no contrato e a data final do período de adimplemento da parcela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" authorId="0" shapeId="0" xr:uid="{00000000-0006-0000-1700-000007000000}">
      <text>
        <r>
          <rPr>
            <b/>
            <sz val="9"/>
            <color indexed="81"/>
            <rFont val="Tahoma"/>
            <family val="2"/>
          </rPr>
          <t xml:space="preserve">Informar o valor estimado de PIS/COFINS. </t>
        </r>
        <r>
          <rPr>
            <sz val="9"/>
            <color indexed="81"/>
            <rFont val="Tahoma"/>
            <family val="2"/>
          </rPr>
          <t xml:space="preserve">
1.PIS(0,65%)+COFINS(3%)+CSLL(2,88%)+IRPJ(4,8%)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  <author>matheus</author>
    <author>Gabriel Silva</author>
  </authors>
  <commentList>
    <comment ref="F66" authorId="0" shapeId="0" xr:uid="{00000000-0006-0000-0D00-000006000000}">
      <text>
        <r>
          <rPr>
            <sz val="7"/>
            <color indexed="81"/>
            <rFont val="Century Gothic"/>
            <family val="2"/>
          </rPr>
          <t xml:space="preserve">Informar o número de horas noturnas trabalhadas no intervalo das 22:00h as 5:00h.
Consideramos o turno noturno iniciando às 19hrs
</t>
        </r>
      </text>
    </comment>
    <comment ref="F69" authorId="0" shapeId="0" xr:uid="{00000000-0006-0000-0D00-000007000000}">
      <text>
        <r>
          <rPr>
            <sz val="7"/>
            <color indexed="81"/>
            <rFont val="Century Gothic"/>
            <family val="2"/>
          </rPr>
          <t xml:space="preserve">Informar o número de horas extras trabalhadas em horário noturno (das 22:00h as 5h) nos domingos e feriados
</t>
        </r>
      </text>
    </comment>
    <comment ref="F71" authorId="0" shapeId="0" xr:uid="{00000000-0006-0000-0D00-000008000000}">
      <text>
        <r>
          <rPr>
            <sz val="7"/>
            <color indexed="81"/>
            <rFont val="Century Gothic"/>
            <family val="2"/>
          </rPr>
          <t>Informar o número de horas extras trabalhadas de segunda à sábado</t>
        </r>
      </text>
    </comment>
    <comment ref="F72" authorId="0" shapeId="0" xr:uid="{00000000-0006-0000-0D00-000009000000}">
      <text>
        <r>
          <rPr>
            <sz val="7"/>
            <color indexed="81"/>
            <rFont val="Century Gothic"/>
            <family val="2"/>
          </rPr>
          <t>Informar o número de horas extras trabalhadas em horário noturno (das 22:00h as 5h) de segunda a sábado</t>
        </r>
      </text>
    </comment>
    <comment ref="B74" authorId="0" shapeId="0" xr:uid="{00000000-0006-0000-0D00-00000A000000}">
      <text>
        <r>
          <rPr>
            <sz val="7"/>
            <color indexed="81"/>
            <rFont val="Century Gothic"/>
            <family val="2"/>
          </rPr>
          <t>Cálculo do descanso semanal remunerado incidente sobre as horas extras habitualmente prestadas. 
DSR(HE) = (total de HE)/(dias úteis)*número de domingos e feriados*valor da he</t>
        </r>
      </text>
    </comment>
    <comment ref="F95" authorId="0" shapeId="0" xr:uid="{00000000-0006-0000-0D00-00000B000000}">
      <text>
        <r>
          <rPr>
            <sz val="7"/>
            <color indexed="81"/>
            <rFont val="Century Gothic"/>
            <family val="2"/>
          </rPr>
          <t xml:space="preserve">Informar o número de horas noturnas trabalhadas no intervalo das 22:00h as 5:00h.
Consideramos o turno noturno iniciando às 19hrs
</t>
        </r>
      </text>
    </comment>
    <comment ref="F98" authorId="0" shapeId="0" xr:uid="{00000000-0006-0000-0D00-00000C000000}">
      <text>
        <r>
          <rPr>
            <sz val="7"/>
            <color indexed="81"/>
            <rFont val="Century Gothic"/>
            <family val="2"/>
          </rPr>
          <t xml:space="preserve">Informar o número de horas extras trabalhadas em horário noturno (das 22:00h as 5h) nos domingos e feriados
</t>
        </r>
      </text>
    </comment>
    <comment ref="F100" authorId="0" shapeId="0" xr:uid="{00000000-0006-0000-0D00-00000D000000}">
      <text>
        <r>
          <rPr>
            <sz val="7"/>
            <color indexed="81"/>
            <rFont val="Century Gothic"/>
            <family val="2"/>
          </rPr>
          <t>Informar o número de horas extras trabalhadas de segunda à sábado</t>
        </r>
      </text>
    </comment>
    <comment ref="F101" authorId="0" shapeId="0" xr:uid="{00000000-0006-0000-0D00-00000E000000}">
      <text>
        <r>
          <rPr>
            <sz val="7"/>
            <color indexed="81"/>
            <rFont val="Century Gothic"/>
            <family val="2"/>
          </rPr>
          <t>Informar o número de horas extras trabalhadas em horário noturno (das 22:00h as 5h) de segunda a sábado</t>
        </r>
      </text>
    </comment>
    <comment ref="B103" authorId="0" shapeId="0" xr:uid="{00000000-0006-0000-0D00-00000F000000}">
      <text>
        <r>
          <rPr>
            <sz val="7"/>
            <color indexed="81"/>
            <rFont val="Century Gothic"/>
            <family val="2"/>
          </rPr>
          <t>Cálculo do descanso semanal remunerado incidente sobre as horas extras habitualmente prestadas. 
DSR(HE) = (total de HE)/(dias úteis)*número de domingos e feriados*valor da he</t>
        </r>
      </text>
    </comment>
    <comment ref="F124" authorId="0" shapeId="0" xr:uid="{00000000-0006-0000-0D00-000010000000}">
      <text>
        <r>
          <rPr>
            <sz val="7"/>
            <color indexed="81"/>
            <rFont val="Century Gothic"/>
            <family val="2"/>
          </rPr>
          <t xml:space="preserve">Informar o número de horas noturnas trabalhadas no intervalo das 22:00h as 5:00h.
Consideramos o turno noturno iniciando às 19hrs
</t>
        </r>
      </text>
    </comment>
    <comment ref="F127" authorId="0" shapeId="0" xr:uid="{00000000-0006-0000-0D00-000011000000}">
      <text>
        <r>
          <rPr>
            <sz val="7"/>
            <color indexed="81"/>
            <rFont val="Century Gothic"/>
            <family val="2"/>
          </rPr>
          <t xml:space="preserve">Informar o número de horas extras trabalhadas em horário noturno (das 22:00h as 5h) nos domingos e feriados
</t>
        </r>
      </text>
    </comment>
    <comment ref="F129" authorId="0" shapeId="0" xr:uid="{00000000-0006-0000-0D00-000012000000}">
      <text>
        <r>
          <rPr>
            <sz val="7"/>
            <color indexed="81"/>
            <rFont val="Century Gothic"/>
            <family val="2"/>
          </rPr>
          <t>Informar o número de horas extras trabalhadas de segunda à sábado</t>
        </r>
      </text>
    </comment>
    <comment ref="F130" authorId="0" shapeId="0" xr:uid="{00000000-0006-0000-0D00-000013000000}">
      <text>
        <r>
          <rPr>
            <sz val="7"/>
            <color indexed="81"/>
            <rFont val="Century Gothic"/>
            <family val="2"/>
          </rPr>
          <t>Informar o número de horas extras trabalhadas em horário noturno (das 22:00h as 5h) de segunda a sábado</t>
        </r>
      </text>
    </comment>
    <comment ref="B132" authorId="0" shapeId="0" xr:uid="{00000000-0006-0000-0D00-000014000000}">
      <text>
        <r>
          <rPr>
            <sz val="7"/>
            <color indexed="81"/>
            <rFont val="Century Gothic"/>
            <family val="2"/>
          </rPr>
          <t>Cálculo do descanso semanal remunerado incidente sobre as horas extras habitualmente prestadas. 
DSR(HE) = (total de HE)/(dias úteis)*número de domingos e feriados*valor da he</t>
        </r>
      </text>
    </comment>
    <comment ref="F153" authorId="0" shapeId="0" xr:uid="{00000000-0006-0000-0D00-000015000000}">
      <text>
        <r>
          <rPr>
            <sz val="7"/>
            <color indexed="81"/>
            <rFont val="Century Gothic"/>
            <family val="2"/>
          </rPr>
          <t xml:space="preserve">Informar o número de horas noturnas trabalhadas no intervalo das 22:00h as 5:00h.
Consideramos o turno noturno iniciando às 19hrs
</t>
        </r>
      </text>
    </comment>
    <comment ref="F156" authorId="0" shapeId="0" xr:uid="{00000000-0006-0000-0D00-000016000000}">
      <text>
        <r>
          <rPr>
            <sz val="7"/>
            <color indexed="81"/>
            <rFont val="Century Gothic"/>
            <family val="2"/>
          </rPr>
          <t xml:space="preserve">Informar o número de horas extras trabalhadas em horário noturno (das 22:00h as 5h) nos domingos e feriados
</t>
        </r>
      </text>
    </comment>
    <comment ref="F158" authorId="0" shapeId="0" xr:uid="{00000000-0006-0000-0D00-000017000000}">
      <text>
        <r>
          <rPr>
            <sz val="7"/>
            <color indexed="81"/>
            <rFont val="Century Gothic"/>
            <family val="2"/>
          </rPr>
          <t>Informar o número de horas extras trabalhadas de segunda à sábado</t>
        </r>
      </text>
    </comment>
    <comment ref="F159" authorId="0" shapeId="0" xr:uid="{00000000-0006-0000-0D00-000018000000}">
      <text>
        <r>
          <rPr>
            <sz val="7"/>
            <color indexed="81"/>
            <rFont val="Century Gothic"/>
            <family val="2"/>
          </rPr>
          <t>Informar o número de horas extras trabalhadas em horário noturno (das 22:00h as 5h) de segunda a sábado</t>
        </r>
      </text>
    </comment>
    <comment ref="B161" authorId="0" shapeId="0" xr:uid="{00000000-0006-0000-0D00-000019000000}">
      <text>
        <r>
          <rPr>
            <sz val="7"/>
            <color indexed="81"/>
            <rFont val="Century Gothic"/>
            <family val="2"/>
          </rPr>
          <t>Cálculo do descanso semanal remunerado incidente sobre as horas extras habitualmente prestadas. 
DSR(HE) = (total de HE)/(dias úteis)*número de domingos e feriados*valor da he</t>
        </r>
      </text>
    </comment>
    <comment ref="F182" authorId="0" shapeId="0" xr:uid="{00000000-0006-0000-0D00-00001A000000}">
      <text>
        <r>
          <rPr>
            <sz val="7"/>
            <color indexed="81"/>
            <rFont val="Century Gothic"/>
            <family val="2"/>
          </rPr>
          <t xml:space="preserve">Informar o número de horas noturnas trabalhadas no intervalo das 22:00h as 5:00h.
Consideramos o turno noturno iniciando às 19hrs
</t>
        </r>
      </text>
    </comment>
    <comment ref="F185" authorId="0" shapeId="0" xr:uid="{00000000-0006-0000-0D00-00001B000000}">
      <text>
        <r>
          <rPr>
            <sz val="7"/>
            <color indexed="81"/>
            <rFont val="Century Gothic"/>
            <family val="2"/>
          </rPr>
          <t xml:space="preserve">Informar o número de horas extras trabalhadas em horário noturno (das 22:00h as 5h) nos domingos e feriados
</t>
        </r>
      </text>
    </comment>
    <comment ref="F187" authorId="0" shapeId="0" xr:uid="{00000000-0006-0000-0D00-00001C000000}">
      <text>
        <r>
          <rPr>
            <sz val="7"/>
            <color indexed="81"/>
            <rFont val="Century Gothic"/>
            <family val="2"/>
          </rPr>
          <t>Informar o número de horas extras trabalhadas de segunda à sábado</t>
        </r>
      </text>
    </comment>
    <comment ref="F188" authorId="0" shapeId="0" xr:uid="{00000000-0006-0000-0D00-00001D000000}">
      <text>
        <r>
          <rPr>
            <sz val="7"/>
            <color indexed="81"/>
            <rFont val="Century Gothic"/>
            <family val="2"/>
          </rPr>
          <t>Informar o número de horas extras trabalhadas em horário noturno (das 22:00h as 5h) de segunda a sábado</t>
        </r>
      </text>
    </comment>
    <comment ref="B190" authorId="0" shapeId="0" xr:uid="{00000000-0006-0000-0D00-00001E000000}">
      <text>
        <r>
          <rPr>
            <sz val="7"/>
            <color indexed="81"/>
            <rFont val="Century Gothic"/>
            <family val="2"/>
          </rPr>
          <t>Cálculo do descanso semanal remunerado incidente sobre as horas extras habitualmente prestadas. 
DSR(HE) = (total de HE)/(dias úteis)*número de domingos e feriados*valor da he</t>
        </r>
      </text>
    </comment>
    <comment ref="F199" authorId="1" shapeId="0" xr:uid="{00000000-0006-0000-0D00-00001F000000}">
      <text>
        <r>
          <rPr>
            <b/>
            <sz val="9"/>
            <color indexed="81"/>
            <rFont val="Segoe UI"/>
            <family val="2"/>
          </rPr>
          <t>matheus:</t>
        </r>
        <r>
          <rPr>
            <sz val="9"/>
            <color indexed="81"/>
            <rFont val="Segoe UI"/>
            <family val="2"/>
          </rPr>
          <t xml:space="preserve">
Se atentar que esse quantitativo tem que ser igual ao quantitativo de dias úteis dos serviços</t>
        </r>
      </text>
    </comment>
    <comment ref="F211" authorId="0" shapeId="0" xr:uid="{E543F64A-14E9-4730-A896-38638FA2980C}">
      <text>
        <r>
          <rPr>
            <sz val="7"/>
            <color indexed="81"/>
            <rFont val="Century Gothic"/>
            <family val="2"/>
          </rPr>
          <t xml:space="preserve">Informar o número de horas noturnas trabalhadas no intervalo das 22:00h as 5:00h.
Consideramos o turno noturno iniciando às 19hrs
</t>
        </r>
      </text>
    </comment>
    <comment ref="F214" authorId="0" shapeId="0" xr:uid="{2923E961-F86D-4593-97B4-99D65C596FE7}">
      <text>
        <r>
          <rPr>
            <sz val="7"/>
            <color indexed="81"/>
            <rFont val="Century Gothic"/>
            <family val="2"/>
          </rPr>
          <t xml:space="preserve">Informar o número de horas extras trabalhadas em horário noturno (das 22:00h as 5h) nos domingos e feriados
</t>
        </r>
      </text>
    </comment>
    <comment ref="F216" authorId="0" shapeId="0" xr:uid="{6B6A4C3F-B6AF-40D8-87AC-02C221D52035}">
      <text>
        <r>
          <rPr>
            <sz val="7"/>
            <color indexed="81"/>
            <rFont val="Century Gothic"/>
            <family val="2"/>
          </rPr>
          <t>Informar o número de horas extras trabalhadas de segunda à sábado</t>
        </r>
      </text>
    </comment>
    <comment ref="F217" authorId="0" shapeId="0" xr:uid="{E1F97042-7992-49D8-9E67-5C97F953A6FE}">
      <text>
        <r>
          <rPr>
            <sz val="7"/>
            <color indexed="81"/>
            <rFont val="Century Gothic"/>
            <family val="2"/>
          </rPr>
          <t>Informar o número de horas extras trabalhadas em horário noturno (das 22:00h as 5h) de segunda a sábado</t>
        </r>
      </text>
    </comment>
    <comment ref="B219" authorId="0" shapeId="0" xr:uid="{AF6C9E8F-27BB-4000-9071-27F63C88A463}">
      <text>
        <r>
          <rPr>
            <sz val="7"/>
            <color indexed="81"/>
            <rFont val="Century Gothic"/>
            <family val="2"/>
          </rPr>
          <t>Cálculo do descanso semanal remunerado incidente sobre as horas extras habitualmente prestadas. 
DSR(HE) = (total de HE)/(dias úteis)*número de domingos e feriados*valor da he</t>
        </r>
      </text>
    </comment>
    <comment ref="F228" authorId="1" shapeId="0" xr:uid="{6A3A712A-7B0F-4A07-98A0-14DEA80ADBA6}">
      <text>
        <r>
          <rPr>
            <b/>
            <sz val="9"/>
            <color indexed="81"/>
            <rFont val="Segoe UI"/>
            <family val="2"/>
          </rPr>
          <t>matheus:</t>
        </r>
        <r>
          <rPr>
            <sz val="9"/>
            <color indexed="81"/>
            <rFont val="Segoe UI"/>
            <family val="2"/>
          </rPr>
          <t xml:space="preserve">
Se atentar que esse quantitativo tem que ser igual ao quantitativo de dias úteis dos serviços</t>
        </r>
      </text>
    </comment>
    <comment ref="P271" authorId="2" shapeId="0" xr:uid="{00000000-0006-0000-0D00-000021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Tabela Fipe
modelo: honda cg 160 titan
</t>
        </r>
      </text>
    </comment>
    <comment ref="H275" authorId="2" shapeId="0" xr:uid="{00000000-0006-0000-0D00-000022000000}">
      <text>
        <r>
          <rPr>
            <sz val="9"/>
            <color indexed="81"/>
            <rFont val="Segoe UI"/>
            <family val="2"/>
          </rPr>
          <t>Fonte utilizada:
SICRO - DNIT</t>
        </r>
      </text>
    </comment>
    <comment ref="H288" authorId="2" shapeId="0" xr:uid="{00000000-0006-0000-0D00-000023000000}">
      <text>
        <r>
          <rPr>
            <sz val="9"/>
            <color indexed="81"/>
            <rFont val="Segoe UI"/>
            <family val="2"/>
          </rPr>
          <t>Fonte utilizada:
SICRO - DNIT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F10" authorId="0" shapeId="0" xr:uid="{00000000-0006-0000-1200-000001000000}">
      <text>
        <r>
          <rPr>
            <sz val="7"/>
            <color indexed="81"/>
            <rFont val="Century Gothic"/>
            <family val="2"/>
          </rPr>
          <t xml:space="preserve">Informar o número de horas noturnas trabalhadas no intervalo das 22:00h as 5:00h.
Consideramos o turno noturno iniciando às 19hrs
</t>
        </r>
      </text>
    </comment>
    <comment ref="F13" authorId="0" shapeId="0" xr:uid="{00000000-0006-0000-1200-000002000000}">
      <text>
        <r>
          <rPr>
            <sz val="7"/>
            <color indexed="81"/>
            <rFont val="Century Gothic"/>
            <family val="2"/>
          </rPr>
          <t xml:space="preserve">Informar o número de horas extras trabalhadas em horário noturno (das 22:00h as 5h) nos domingos e feriados
</t>
        </r>
      </text>
    </comment>
    <comment ref="F15" authorId="0" shapeId="0" xr:uid="{00000000-0006-0000-1200-000003000000}">
      <text>
        <r>
          <rPr>
            <sz val="7"/>
            <color indexed="81"/>
            <rFont val="Century Gothic"/>
            <family val="2"/>
          </rPr>
          <t>Informar o número de horas extras trabalhadas de segunda à sábado</t>
        </r>
      </text>
    </comment>
    <comment ref="F16" authorId="0" shapeId="0" xr:uid="{00000000-0006-0000-1200-000004000000}">
      <text>
        <r>
          <rPr>
            <sz val="7"/>
            <color indexed="81"/>
            <rFont val="Century Gothic"/>
            <family val="2"/>
          </rPr>
          <t>Informar o número de horas extras trabalhadas em horário noturno (das 22:00h as 5h) de segunda a sábado</t>
        </r>
      </text>
    </comment>
    <comment ref="B18" authorId="0" shapeId="0" xr:uid="{00000000-0006-0000-1200-000005000000}">
      <text>
        <r>
          <rPr>
            <sz val="7"/>
            <color indexed="81"/>
            <rFont val="Century Gothic"/>
            <family val="2"/>
          </rPr>
          <t>Cálculo do descanso semanal remunerado incidente sobre as horas extras habitualmente prestadas. 
DSR(HE) = (total de HE)/(dias úteis)*número de domingos e feriados*valor da he</t>
        </r>
      </text>
    </comment>
    <comment ref="B46" authorId="0" shapeId="0" xr:uid="{00000000-0006-0000-1200-000006000000}">
      <text>
        <r>
          <rPr>
            <sz val="7"/>
            <color indexed="81"/>
            <rFont val="Century Gothic"/>
            <family val="2"/>
          </rPr>
          <t>Cálculo do descanso semanal remunerado incidente sobre as horas extras habitualmente prestadas. 
DSR(HE) = (total de HE)/(dias úteis)*número de domingos e feriados*valor da he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Gabriel Silva</author>
  </authors>
  <commentList>
    <comment ref="H4" authorId="0" shapeId="0" xr:uid="{00000000-0006-0000-1300-000001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cotação</t>
        </r>
      </text>
    </comment>
    <comment ref="H5" authorId="0" shapeId="0" xr:uid="{00000000-0006-0000-1300-000002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parametrica</t>
        </r>
      </text>
    </comment>
    <comment ref="H7" authorId="0" shapeId="0" xr:uid="{00000000-0006-0000-1300-000003000000}">
      <text>
        <r>
          <rPr>
            <sz val="9"/>
            <color indexed="81"/>
            <rFont val="Segoe UI"/>
            <family val="2"/>
          </rPr>
          <t>Fonte utilizada:
SICRO - DNIT</t>
        </r>
      </text>
    </comment>
    <comment ref="H9" authorId="0" shapeId="0" xr:uid="{00000000-0006-0000-1300-000004000000}">
      <text>
        <r>
          <rPr>
            <sz val="9"/>
            <color indexed="81"/>
            <rFont val="Segoe UI"/>
            <family val="2"/>
          </rPr>
          <t>Adotar entre 0,3 e 0,5 l/km
- trajeto p/ aterro - 0,2 l/km
- Rotas de coleta - 0,6 l/km
(PROC-IBR-RSU 005/2017 - IBRAOP)</t>
        </r>
      </text>
    </comment>
    <comment ref="H23" authorId="0" shapeId="0" xr:uid="{00000000-0006-0000-1300-000005000000}">
      <text>
        <r>
          <rPr>
            <sz val="9"/>
            <color indexed="81"/>
            <rFont val="Segoe UI"/>
            <family val="2"/>
          </rPr>
          <t xml:space="preserve">Tabela - SICRO </t>
        </r>
      </text>
    </comment>
    <comment ref="H25" authorId="0" shapeId="0" xr:uid="{00000000-0006-0000-1300-000006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proc-ibr-rsu-001/2017
</t>
        </r>
      </text>
    </comment>
    <comment ref="H27" authorId="0" shapeId="0" xr:uid="{00000000-0006-0000-1300-000007000000}">
      <text>
        <r>
          <rPr>
            <sz val="9"/>
            <color indexed="81"/>
            <rFont val="Segoe UI"/>
            <family val="2"/>
          </rPr>
          <t>Atribuir Valor da Taxa de Juros (Ex: SELIC)</t>
        </r>
      </text>
    </comment>
    <comment ref="H28" authorId="0" shapeId="0" xr:uid="{00000000-0006-0000-1300-000008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proc-ibr-rsu-001/2017
</t>
        </r>
      </text>
    </comment>
    <comment ref="H32" authorId="0" shapeId="0" xr:uid="{00000000-0006-0000-1300-000009000000}">
      <text>
        <r>
          <rPr>
            <sz val="9"/>
            <color indexed="81"/>
            <rFont val="Segoe UI"/>
            <family val="2"/>
          </rPr>
          <t>Alíquota do estado</t>
        </r>
      </text>
    </comment>
    <comment ref="H33" authorId="0" shapeId="0" xr:uid="{00000000-0006-0000-1300-00000A000000}">
      <text>
        <r>
          <rPr>
            <sz val="9"/>
            <color indexed="81"/>
            <rFont val="Segoe UI"/>
            <family val="2"/>
          </rPr>
          <t xml:space="preserve">Consultar Detran.
</t>
        </r>
        <r>
          <rPr>
            <b/>
            <sz val="9"/>
            <color indexed="81"/>
            <rFont val="Segoe UI"/>
            <family val="2"/>
          </rPr>
          <t>obs:</t>
        </r>
        <r>
          <rPr>
            <sz val="9"/>
            <color indexed="81"/>
            <rFont val="Segoe UI"/>
            <family val="2"/>
          </rPr>
          <t xml:space="preserve"> Gira em torno de 100 R$</t>
        </r>
      </text>
    </comment>
    <comment ref="H34" authorId="0" shapeId="0" xr:uid="{00000000-0006-0000-1300-00000B000000}">
      <text>
        <r>
          <rPr>
            <sz val="9"/>
            <color indexed="81"/>
            <rFont val="Segoe UI"/>
            <family val="2"/>
          </rPr>
          <t xml:space="preserve">Consultar DPVAT - tabelado por Categoria </t>
        </r>
      </text>
    </comment>
    <comment ref="H35" authorId="0" shapeId="0" xr:uid="{00000000-0006-0000-1300-00000C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cotação</t>
        </r>
      </text>
    </comment>
    <comment ref="G39" authorId="0" shapeId="0" xr:uid="{00000000-0006-0000-1300-00000D000000}">
      <text>
        <r>
          <rPr>
            <sz val="9"/>
            <color indexed="81"/>
            <rFont val="Segoe UI"/>
            <family val="2"/>
          </rPr>
          <t>Adotar entre 0,3 e 0,5 l/km
- trajeto p/ aterro - 0,2 l/km
- Rotas de coleta - 0,6 l/km
(PROC-IBR-RSU 005/2017 - IBRAOP)</t>
        </r>
      </text>
    </comment>
    <comment ref="H39" authorId="0" shapeId="0" xr:uid="{00000000-0006-0000-1300-00000E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proc-ibr-rsu-001/2017</t>
        </r>
      </text>
    </comment>
    <comment ref="H40" authorId="0" shapeId="0" xr:uid="{00000000-0006-0000-1300-00000F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proc-ibr-rsu-001/2017</t>
        </r>
      </text>
    </comment>
    <comment ref="G41" authorId="0" shapeId="0" xr:uid="{00000000-0006-0000-1300-000010000000}">
      <text>
        <r>
          <rPr>
            <sz val="9"/>
            <color indexed="81"/>
            <rFont val="Segoe UI"/>
            <family val="2"/>
          </rPr>
          <t xml:space="preserve">Fator de incidência sobre o combustível
</t>
        </r>
        <r>
          <rPr>
            <b/>
            <sz val="9"/>
            <color indexed="81"/>
            <rFont val="Segoe UI"/>
            <family val="2"/>
          </rPr>
          <t>obs: fixo</t>
        </r>
      </text>
    </comment>
    <comment ref="H41" authorId="0" shapeId="0" xr:uid="{00000000-0006-0000-1300-000011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proc-ibr-rsu-001/2017</t>
        </r>
      </text>
    </comment>
    <comment ref="H42" authorId="0" shapeId="0" xr:uid="{00000000-0006-0000-1300-000012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proc-ibr-rsu-001/2017</t>
        </r>
      </text>
    </comment>
    <comment ref="H49" authorId="0" shapeId="0" xr:uid="{00000000-0006-0000-1300-000013000000}">
      <text>
        <r>
          <rPr>
            <sz val="9"/>
            <color indexed="81"/>
            <rFont val="Segoe UI"/>
            <family val="2"/>
          </rPr>
          <t>Como parâmetro utiliza-se o ciclo de:
30.000 km</t>
        </r>
      </text>
    </comment>
    <comment ref="H50" authorId="0" shapeId="0" xr:uid="{00000000-0006-0000-1300-000014000000}">
      <text>
        <r>
          <rPr>
            <sz val="9"/>
            <color indexed="81"/>
            <rFont val="Segoe UI"/>
            <family val="2"/>
          </rPr>
          <t>Como parâmetro utiliza-se o ciclo de:
50.000 km</t>
        </r>
      </text>
    </comment>
    <comment ref="H52" authorId="0" shapeId="0" xr:uid="{00000000-0006-0000-1300-000015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proc-ibr-rsu-001/2017</t>
        </r>
      </text>
    </comment>
    <comment ref="H55" authorId="0" shapeId="0" xr:uid="{00000000-0006-0000-1300-000016000000}">
      <text>
        <r>
          <rPr>
            <sz val="9"/>
            <color indexed="81"/>
            <rFont val="Segoe UI"/>
            <family val="2"/>
          </rPr>
          <t>Coef. De Manutenção - Tabelado DNIT</t>
        </r>
      </text>
    </comment>
    <comment ref="H56" authorId="0" shapeId="0" xr:uid="{00000000-0006-0000-1300-000017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proc-ibr-rsu-001/2017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Gabriel Silva</author>
  </authors>
  <commentList>
    <comment ref="J3" authorId="0" shapeId="0" xr:uid="{00000000-0006-0000-1500-000001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Gabriel Silva</author>
  </authors>
  <commentList>
    <comment ref="E4" authorId="0" shapeId="0" xr:uid="{00000000-0006-0000-1400-000001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EPIS ONLINE</t>
        </r>
      </text>
    </comment>
    <comment ref="F4" authorId="0" shapeId="0" xr:uid="{00000000-0006-0000-1400-000002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EPI BRASIL</t>
        </r>
      </text>
    </comment>
    <comment ref="G4" authorId="0" shapeId="0" xr:uid="{00000000-0006-0000-1400-000003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SUPER EPI</t>
        </r>
      </text>
    </comment>
    <comment ref="H4" authorId="0" shapeId="0" xr:uid="{00000000-0006-0000-1400-000004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EPI BRASIL</t>
        </r>
      </text>
    </comment>
    <comment ref="I4" authorId="0" shapeId="0" xr:uid="{00000000-0006-0000-1400-000005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ZEUS DO BRASIL</t>
        </r>
      </text>
    </comment>
    <comment ref="E6" authorId="0" shapeId="0" xr:uid="{00000000-0006-0000-1400-000052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SERTÃO</t>
        </r>
      </text>
    </comment>
    <comment ref="F6" authorId="0" shapeId="0" xr:uid="{00000000-0006-0000-1400-000053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ZEUS BRASIL</t>
        </r>
      </text>
    </comment>
    <comment ref="G6" authorId="0" shapeId="0" xr:uid="{00000000-0006-0000-1400-000054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LEROY MERLIN</t>
        </r>
      </text>
    </comment>
    <comment ref="H6" authorId="0" shapeId="0" xr:uid="{00000000-0006-0000-1400-000055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ferramentas kennedy</t>
        </r>
      </text>
    </comment>
    <comment ref="I6" authorId="0" shapeId="0" xr:uid="{00000000-0006-0000-1400-000056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loja do mecanico</t>
        </r>
      </text>
    </comment>
    <comment ref="E8" authorId="0" shapeId="0" xr:uid="{00000000-0006-0000-1400-0000B8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AMERICANAS</t>
        </r>
      </text>
    </comment>
    <comment ref="F8" authorId="0" shapeId="0" xr:uid="{00000000-0006-0000-1400-0000B9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FELAP</t>
        </r>
      </text>
    </comment>
    <comment ref="G8" authorId="0" shapeId="0" xr:uid="{00000000-0006-0000-1400-0000BA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MERCADO LIVRE</t>
        </r>
      </text>
    </comment>
    <comment ref="E9" authorId="0" shapeId="0" xr:uid="{00000000-0006-0000-1400-00000C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netshoes
</t>
        </r>
      </text>
    </comment>
    <comment ref="F9" authorId="0" shapeId="0" xr:uid="{00000000-0006-0000-1400-00000D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dechlaton</t>
        </r>
      </text>
    </comment>
    <comment ref="G9" authorId="0" shapeId="0" xr:uid="{00000000-0006-0000-1400-00000E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EPI ONLINE</t>
        </r>
      </text>
    </comment>
    <comment ref="H9" authorId="0" shapeId="0" xr:uid="{00000000-0006-0000-1400-00000F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SUPER EPI</t>
        </r>
      </text>
    </comment>
    <comment ref="I9" authorId="0" shapeId="0" xr:uid="{00000000-0006-0000-1400-000010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NET SUPRIMENTOS</t>
        </r>
      </text>
    </comment>
    <comment ref="E10" authorId="0" shapeId="0" xr:uid="{00000000-0006-0000-1400-000006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fabrica de placas</t>
        </r>
      </text>
    </comment>
    <comment ref="F10" authorId="0" shapeId="0" xr:uid="{00000000-0006-0000-1400-000007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bbtv</t>
        </r>
      </text>
    </comment>
    <comment ref="G10" authorId="0" shapeId="0" xr:uid="{00000000-0006-0000-1400-000008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fast epis
</t>
        </r>
      </text>
    </comment>
    <comment ref="H10" authorId="0" shapeId="0" xr:uid="{00000000-0006-0000-1400-000009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epis online</t>
        </r>
      </text>
    </comment>
    <comment ref="E11" authorId="0" shapeId="0" xr:uid="{00000000-0006-0000-1400-00000A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mercado livre</t>
        </r>
      </text>
    </comment>
    <comment ref="F11" authorId="0" shapeId="0" xr:uid="{00000000-0006-0000-1400-00000B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mercado livre</t>
        </r>
      </text>
    </comment>
    <comment ref="E13" authorId="0" shapeId="0" xr:uid="{00000000-0006-0000-1400-000016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FACCHINI
</t>
        </r>
      </text>
    </comment>
    <comment ref="E14" authorId="0" shapeId="0" xr:uid="{00000000-0006-0000-1400-000017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CAL LEVE
</t>
        </r>
      </text>
    </comment>
    <comment ref="F14" authorId="0" shapeId="0" xr:uid="{00000000-0006-0000-1400-000018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BAZ METALURGICA
</t>
        </r>
      </text>
    </comment>
    <comment ref="G14" authorId="0" shapeId="0" xr:uid="{00000000-0006-0000-1400-000019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MODELAÇO</t>
        </r>
      </text>
    </comment>
    <comment ref="E15" authorId="0" shapeId="0" xr:uid="{00000000-0006-0000-1400-00001A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mercado livre</t>
        </r>
      </text>
    </comment>
    <comment ref="F15" authorId="0" shapeId="0" xr:uid="{00000000-0006-0000-1400-00001B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hidromepe</t>
        </r>
      </text>
    </comment>
    <comment ref="G15" authorId="0" shapeId="0" xr:uid="{00000000-0006-0000-1400-00001C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super epi</t>
        </r>
      </text>
    </comment>
    <comment ref="E16" authorId="0" shapeId="0" xr:uid="{00000000-0006-0000-1400-000011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SERTÃO</t>
        </r>
      </text>
    </comment>
    <comment ref="F16" authorId="0" shapeId="0" xr:uid="{00000000-0006-0000-1400-000012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SERTÃO</t>
        </r>
      </text>
    </comment>
    <comment ref="G16" authorId="0" shapeId="0" xr:uid="{00000000-0006-0000-1400-000013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SERTÃO
</t>
        </r>
      </text>
    </comment>
    <comment ref="H16" authorId="0" shapeId="0" xr:uid="{00000000-0006-0000-1400-000014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EPI ONLINE</t>
        </r>
      </text>
    </comment>
    <comment ref="I16" authorId="0" shapeId="0" xr:uid="{00000000-0006-0000-1400-000015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EPI ONLINE</t>
        </r>
      </text>
    </comment>
    <comment ref="E18" authorId="0" shapeId="0" xr:uid="{00000000-0006-0000-1400-000021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FORD CARGO 1723
FIPE</t>
        </r>
      </text>
    </comment>
    <comment ref="F18" authorId="0" shapeId="0" xr:uid="{00000000-0006-0000-1400-000022000000}">
      <text>
        <r>
          <rPr>
            <b/>
            <sz val="9"/>
            <color indexed="81"/>
            <rFont val="Segoe UI"/>
            <family val="2"/>
          </rPr>
          <t xml:space="preserve">Gabriel Silva:
</t>
        </r>
        <r>
          <rPr>
            <sz val="9"/>
            <color indexed="81"/>
            <rFont val="Segoe UI"/>
            <family val="2"/>
          </rPr>
          <t>AGRELE</t>
        </r>
        <r>
          <rPr>
            <b/>
            <sz val="9"/>
            <color indexed="81"/>
            <rFont val="Segoe UI"/>
            <family val="2"/>
          </rPr>
          <t xml:space="preserve">
</t>
        </r>
      </text>
    </comment>
    <comment ref="G18" authorId="0" shapeId="0" xr:uid="{00000000-0006-0000-1400-000023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MERCEDEZ ACCELO
1316 </t>
        </r>
      </text>
    </comment>
    <comment ref="H18" authorId="0" shapeId="0" xr:uid="{00000000-0006-0000-1400-000024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VW 17190</t>
        </r>
      </text>
    </comment>
    <comment ref="E19" authorId="0" shapeId="0" xr:uid="{00000000-0006-0000-1400-00001D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EPI ONLINE</t>
        </r>
      </text>
    </comment>
    <comment ref="F19" authorId="0" shapeId="0" xr:uid="{00000000-0006-0000-1400-00001E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EPI ONLINE</t>
        </r>
      </text>
    </comment>
    <comment ref="G19" authorId="0" shapeId="0" xr:uid="{00000000-0006-0000-1400-00001F000000}">
      <text>
        <r>
          <rPr>
            <b/>
            <sz val="9"/>
            <color indexed="81"/>
            <rFont val="Segoe UI"/>
            <family val="2"/>
          </rPr>
          <t xml:space="preserve">Gabriel Silva:
</t>
        </r>
        <r>
          <rPr>
            <sz val="9"/>
            <color indexed="81"/>
            <rFont val="Segoe UI"/>
            <family val="2"/>
          </rPr>
          <t>SUPER EPI</t>
        </r>
      </text>
    </comment>
    <comment ref="H19" authorId="0" shapeId="0" xr:uid="{00000000-0006-0000-1400-000020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epi brasil</t>
        </r>
      </text>
    </comment>
    <comment ref="E20" authorId="0" shapeId="0" xr:uid="{00000000-0006-0000-1400-000028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hidromepe</t>
        </r>
      </text>
    </comment>
    <comment ref="F20" authorId="0" shapeId="0" xr:uid="{00000000-0006-0000-1400-000029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jaguaré comercial</t>
        </r>
      </text>
    </comment>
    <comment ref="G20" authorId="0" shapeId="0" xr:uid="{00000000-0006-0000-1400-00002A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SUPER EPI</t>
        </r>
      </text>
    </comment>
    <comment ref="H20" authorId="0" shapeId="0" xr:uid="{00000000-0006-0000-1400-00002B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EPI MAIS UTIL</t>
        </r>
      </text>
    </comment>
    <comment ref="E21" authorId="0" shapeId="0" xr:uid="{00000000-0006-0000-1400-00002C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guardião dx</t>
        </r>
      </text>
    </comment>
    <comment ref="F21" authorId="0" shapeId="0" xr:uid="{00000000-0006-0000-1400-00002D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HIDROMEPE</t>
        </r>
      </text>
    </comment>
    <comment ref="G21" authorId="0" shapeId="0" xr:uid="{00000000-0006-0000-1400-00002E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nova centric</t>
        </r>
      </text>
    </comment>
    <comment ref="H21" authorId="0" shapeId="0" xr:uid="{00000000-0006-0000-1400-00002F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mercado livre</t>
        </r>
      </text>
    </comment>
    <comment ref="E22" authorId="0" shapeId="0" xr:uid="{00000000-0006-0000-1400-000030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QIAFER</t>
        </r>
      </text>
    </comment>
    <comment ref="F22" authorId="0" shapeId="0" xr:uid="{00000000-0006-0000-1400-000031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NET SUPRIMENTOS</t>
        </r>
      </text>
    </comment>
    <comment ref="G22" authorId="0" shapeId="0" xr:uid="{00000000-0006-0000-1400-000032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EPI BRASIL</t>
        </r>
      </text>
    </comment>
    <comment ref="H22" authorId="0" shapeId="0" xr:uid="{00000000-0006-0000-1400-000033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SUPER EPI</t>
        </r>
      </text>
    </comment>
    <comment ref="I22" authorId="0" shapeId="0" xr:uid="{00000000-0006-0000-1400-000034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SUPER EPI</t>
        </r>
      </text>
    </comment>
    <comment ref="E23" authorId="0" shapeId="0" xr:uid="{00000000-0006-0000-1400-000035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loja do mecanico</t>
        </r>
      </text>
    </comment>
    <comment ref="F23" authorId="0" shapeId="0" xr:uid="{00000000-0006-0000-1400-000036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loja do mecanico</t>
        </r>
      </text>
    </comment>
    <comment ref="G23" authorId="0" shapeId="0" xr:uid="{00000000-0006-0000-1400-000037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SERTÃO</t>
        </r>
      </text>
    </comment>
    <comment ref="H23" authorId="0" shapeId="0" xr:uid="{00000000-0006-0000-1400-000038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SERTÃO</t>
        </r>
      </text>
    </comment>
    <comment ref="I23" authorId="0" shapeId="0" xr:uid="{00000000-0006-0000-1400-000039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LEROY MERLIN</t>
        </r>
      </text>
    </comment>
    <comment ref="J23" authorId="0" shapeId="0" xr:uid="{00000000-0006-0000-1400-00003A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LEROY MERLIN</t>
        </r>
      </text>
    </comment>
    <comment ref="E25" authorId="0" shapeId="0" xr:uid="{00000000-0006-0000-1400-00003B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facchini</t>
        </r>
      </text>
    </comment>
    <comment ref="E27" authorId="0" shapeId="0" xr:uid="{00000000-0006-0000-1400-00003C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zeus do brasil</t>
        </r>
      </text>
    </comment>
    <comment ref="F27" authorId="0" shapeId="0" xr:uid="{00000000-0006-0000-1400-00003D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fabrica de placas
</t>
        </r>
      </text>
    </comment>
    <comment ref="G27" authorId="0" shapeId="0" xr:uid="{00000000-0006-0000-1400-00003E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bgsinalização</t>
        </r>
      </text>
    </comment>
    <comment ref="H27" authorId="0" shapeId="0" xr:uid="{00000000-0006-0000-1400-00003F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atacadao do adesivo de parede</t>
        </r>
      </text>
    </comment>
    <comment ref="E28" authorId="0" shapeId="0" xr:uid="{00000000-0006-0000-1400-000040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SERTÃO</t>
        </r>
      </text>
    </comment>
    <comment ref="F28" authorId="0" shapeId="0" xr:uid="{00000000-0006-0000-1400-000041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EPI ONLINE</t>
        </r>
      </text>
    </comment>
    <comment ref="G28" authorId="0" shapeId="0" xr:uid="{00000000-0006-0000-1400-000042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EPI ONLINE
</t>
        </r>
      </text>
    </comment>
    <comment ref="H28" authorId="0" shapeId="0" xr:uid="{00000000-0006-0000-1400-000043000000}">
      <text>
        <r>
          <rPr>
            <b/>
            <sz val="9"/>
            <color indexed="81"/>
            <rFont val="Segoe UI"/>
            <family val="2"/>
          </rPr>
          <t xml:space="preserve">Gabriel Silva:
</t>
        </r>
        <r>
          <rPr>
            <sz val="9"/>
            <color indexed="81"/>
            <rFont val="Segoe UI"/>
            <family val="2"/>
          </rPr>
          <t>SUPER EPI</t>
        </r>
      </text>
    </comment>
    <comment ref="I28" authorId="0" shapeId="0" xr:uid="{00000000-0006-0000-1400-000044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SUPER EPI</t>
        </r>
      </text>
    </comment>
    <comment ref="E29" authorId="0" shapeId="0" xr:uid="{00000000-0006-0000-1400-000045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EPI'S ONLINE</t>
        </r>
      </text>
    </comment>
    <comment ref="F29" authorId="0" shapeId="0" xr:uid="{00000000-0006-0000-1400-000046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SUPER EPI</t>
        </r>
      </text>
    </comment>
    <comment ref="G29" authorId="0" shapeId="0" xr:uid="{00000000-0006-0000-1400-000047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EPI ONLINE</t>
        </r>
      </text>
    </comment>
    <comment ref="H29" authorId="0" shapeId="0" xr:uid="{00000000-0006-0000-1400-000048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EPI BRASIL</t>
        </r>
      </text>
    </comment>
    <comment ref="I29" authorId="0" shapeId="0" xr:uid="{00000000-0006-0000-1400-000049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SUPER EPI</t>
        </r>
      </text>
    </comment>
    <comment ref="E30" authorId="0" shapeId="0" xr:uid="{00000000-0006-0000-1400-00004A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natural limp
16 lamp.
140 lamp - 828
</t>
        </r>
      </text>
    </comment>
    <comment ref="F30" authorId="0" shapeId="0" xr:uid="{00000000-0006-0000-1400-00004B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world clean
42 lamp - 493</t>
        </r>
      </text>
    </comment>
    <comment ref="G30" authorId="0" shapeId="0" xr:uid="{00000000-0006-0000-1400-00004C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mais lixeiras
42 lamp</t>
        </r>
      </text>
    </comment>
    <comment ref="E31" authorId="0" shapeId="0" xr:uid="{00000000-0006-0000-1400-00004D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CIMASP
</t>
        </r>
      </text>
    </comment>
    <comment ref="F31" authorId="0" shapeId="0" xr:uid="{00000000-0006-0000-1400-00004E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PLANALTO</t>
        </r>
      </text>
    </comment>
    <comment ref="G31" authorId="0" shapeId="0" xr:uid="{00000000-0006-0000-1400-00004F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DAMAEQ
</t>
        </r>
      </text>
    </comment>
    <comment ref="E32" authorId="0" shapeId="0" xr:uid="{00000000-0006-0000-1400-000050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CIMASP
</t>
        </r>
      </text>
    </comment>
    <comment ref="F32" authorId="0" shapeId="0" xr:uid="{00000000-0006-0000-1400-000051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PLANALTO
</t>
        </r>
      </text>
    </comment>
    <comment ref="E35" authorId="0" shapeId="0" xr:uid="{00000000-0006-0000-1400-000057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INOPLASTIC</t>
        </r>
      </text>
    </comment>
    <comment ref="F35" authorId="0" shapeId="0" xr:uid="{00000000-0006-0000-1400-000058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WORLD CLEAN</t>
        </r>
      </text>
    </comment>
    <comment ref="G35" authorId="0" shapeId="0" xr:uid="{00000000-0006-0000-1400-000059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NATURAL LIMP
</t>
        </r>
      </text>
    </comment>
    <comment ref="H35" authorId="0" shapeId="0" xr:uid="{00000000-0006-0000-1400-00005A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ECO CONTAINERS
</t>
        </r>
      </text>
    </comment>
    <comment ref="I35" authorId="0" shapeId="0" xr:uid="{00000000-0006-0000-1400-00005B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GADOTTI CAR
</t>
        </r>
      </text>
    </comment>
    <comment ref="J35" authorId="0" shapeId="0" xr:uid="{00000000-0006-0000-1400-00005C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LAR PLASTICOS
</t>
        </r>
      </text>
    </comment>
    <comment ref="E36" authorId="0" shapeId="0" xr:uid="{00000000-0006-0000-1400-00005D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ECO CONTAINER
PLASTICO</t>
        </r>
      </text>
    </comment>
    <comment ref="F36" authorId="0" shapeId="0" xr:uid="{00000000-0006-0000-1400-00005E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GADOTTI CAR</t>
        </r>
      </text>
    </comment>
    <comment ref="G36" authorId="0" shapeId="0" xr:uid="{00000000-0006-0000-1400-00005F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CAL LEVE</t>
        </r>
      </text>
    </comment>
    <comment ref="H36" authorId="0" shapeId="0" xr:uid="{00000000-0006-0000-1400-000060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ECOCONTAINERS 
METÁLICO</t>
        </r>
      </text>
    </comment>
    <comment ref="I36" authorId="0" shapeId="0" xr:uid="{00000000-0006-0000-1400-000061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world clean</t>
        </r>
      </text>
    </comment>
    <comment ref="E37" authorId="0" shapeId="0" xr:uid="{00000000-0006-0000-1400-000062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ECO CONTAINER
</t>
        </r>
      </text>
    </comment>
    <comment ref="F37" authorId="0" shapeId="0" xr:uid="{00000000-0006-0000-1400-000063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GADOTTI CAR
</t>
        </r>
      </text>
    </comment>
    <comment ref="G37" authorId="0" shapeId="0" xr:uid="{00000000-0006-0000-1400-000064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LAR PLASTICOS</t>
        </r>
      </text>
    </comment>
    <comment ref="H37" authorId="0" shapeId="0" xr:uid="{00000000-0006-0000-1400-000065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natural limp</t>
        </r>
      </text>
    </comment>
    <comment ref="I37" authorId="0" shapeId="0" xr:uid="{00000000-0006-0000-1400-000066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world clean</t>
        </r>
      </text>
    </comment>
    <comment ref="E39" authorId="0" shapeId="0" xr:uid="{00000000-0006-0000-1400-00008B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HIDROMEPE</t>
        </r>
      </text>
    </comment>
    <comment ref="H39" authorId="0" shapeId="0" xr:uid="{00000000-0006-0000-1400-00008C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SUPER EPI</t>
        </r>
      </text>
    </comment>
    <comment ref="E40" authorId="0" shapeId="0" xr:uid="{00000000-0006-0000-1400-0000AF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epi's online</t>
        </r>
      </text>
    </comment>
    <comment ref="E41" authorId="0" shapeId="0" xr:uid="{00000000-0006-0000-1400-00006F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JOHN DEERE
</t>
        </r>
      </text>
    </comment>
    <comment ref="F41" authorId="0" shapeId="0" xr:uid="{00000000-0006-0000-1400-000070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CAT
</t>
        </r>
      </text>
    </comment>
    <comment ref="G41" authorId="0" shapeId="0" xr:uid="{00000000-0006-0000-1400-000071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JCB</t>
        </r>
      </text>
    </comment>
    <comment ref="E42" authorId="0" shapeId="0" xr:uid="{00000000-0006-0000-1400-000072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prontecdistribuidora</t>
        </r>
      </text>
    </comment>
    <comment ref="F42" authorId="0" shapeId="0" xr:uid="{00000000-0006-0000-1400-000073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mercado livre</t>
        </r>
      </text>
    </comment>
    <comment ref="G42" authorId="0" shapeId="0" xr:uid="{00000000-0006-0000-1400-000074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americanas</t>
        </r>
      </text>
    </comment>
    <comment ref="H42" authorId="0" shapeId="0" xr:uid="{00000000-0006-0000-1400-000075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aerotex</t>
        </r>
      </text>
    </comment>
    <comment ref="I42" authorId="0" shapeId="0" xr:uid="{00000000-0006-0000-1400-000076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hidrantex</t>
        </r>
      </text>
    </comment>
    <comment ref="E43" authorId="0" shapeId="0" xr:uid="{00000000-0006-0000-1400-000077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MAGAZINE DO INOX</t>
        </r>
      </text>
    </comment>
    <comment ref="F43" authorId="0" shapeId="0" xr:uid="{00000000-0006-0000-1400-000078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MAGAZINE DO INOX</t>
        </r>
      </text>
    </comment>
    <comment ref="G43" authorId="0" shapeId="0" xr:uid="{00000000-0006-0000-1400-000079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LOJA DO MECANICO</t>
        </r>
      </text>
    </comment>
    <comment ref="H43" authorId="0" shapeId="0" xr:uid="{00000000-0006-0000-1400-00007A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LOJA DO MECANICO</t>
        </r>
      </text>
    </comment>
    <comment ref="I43" authorId="0" shapeId="0" xr:uid="{00000000-0006-0000-1400-00007B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LEROY MERLIN</t>
        </r>
      </text>
    </comment>
    <comment ref="J43" authorId="0" shapeId="0" xr:uid="{00000000-0006-0000-1400-00007C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LOJA DO MECANICO</t>
        </r>
      </text>
    </comment>
    <comment ref="E46" authorId="0" shapeId="0" xr:uid="{00000000-0006-0000-1400-000081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CARROCERIAS PIRAMIDE</t>
        </r>
      </text>
    </comment>
    <comment ref="F46" authorId="0" shapeId="0" xr:uid="{00000000-0006-0000-1400-000082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CARROCERIAS BACHIEGA</t>
        </r>
      </text>
    </comment>
    <comment ref="G46" authorId="0" shapeId="0" xr:uid="{00000000-0006-0000-1400-000083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FACCHINI</t>
        </r>
      </text>
    </comment>
    <comment ref="E47" authorId="0" shapeId="0" xr:uid="{00000000-0006-0000-1400-0000B0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SUPER EPI</t>
        </r>
      </text>
    </comment>
    <comment ref="F47" authorId="0" shapeId="0" xr:uid="{00000000-0006-0000-1400-0000B1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EPI BRASIL</t>
        </r>
      </text>
    </comment>
    <comment ref="G47" authorId="0" shapeId="0" xr:uid="{00000000-0006-0000-1400-0000B2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EPI BRASIL</t>
        </r>
      </text>
    </comment>
    <comment ref="H47" authorId="0" shapeId="0" xr:uid="{00000000-0006-0000-1400-0000B3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EPI BRASIL</t>
        </r>
      </text>
    </comment>
    <comment ref="E48" authorId="0" shapeId="0" xr:uid="{00000000-0006-0000-1400-000084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baz metalurgica
</t>
        </r>
      </text>
    </comment>
    <comment ref="F48" authorId="0" shapeId="0" xr:uid="{00000000-0006-0000-1400-000085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facchini</t>
        </r>
      </text>
    </comment>
    <comment ref="E51" authorId="0" shapeId="0" xr:uid="{00000000-0006-0000-1400-000086000000}">
      <text>
        <r>
          <rPr>
            <b/>
            <sz val="9"/>
            <color indexed="81"/>
            <rFont val="Segoe UI"/>
            <family val="2"/>
          </rPr>
          <t xml:space="preserve">Gabriel SilVA
</t>
        </r>
        <r>
          <rPr>
            <sz val="9"/>
            <color indexed="81"/>
            <rFont val="Segoe UI"/>
            <family val="2"/>
          </rPr>
          <t>EPI BRASIL</t>
        </r>
      </text>
    </comment>
    <comment ref="F51" authorId="0" shapeId="0" xr:uid="{00000000-0006-0000-1400-000087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super epi</t>
        </r>
      </text>
    </comment>
    <comment ref="G51" authorId="0" shapeId="0" xr:uid="{00000000-0006-0000-1400-000088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super epi</t>
        </r>
      </text>
    </comment>
    <comment ref="H51" authorId="0" shapeId="0" xr:uid="{00000000-0006-0000-1400-000089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epi online</t>
        </r>
      </text>
    </comment>
    <comment ref="I51" authorId="0" shapeId="0" xr:uid="{00000000-0006-0000-1400-00008A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epi online</t>
        </r>
      </text>
    </comment>
    <comment ref="E53" authorId="0" shapeId="0" xr:uid="{00000000-0006-0000-1400-00008D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EPI ONLINE</t>
        </r>
      </text>
    </comment>
    <comment ref="F53" authorId="0" shapeId="0" xr:uid="{00000000-0006-0000-1400-00008E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EPIS ONLINE</t>
        </r>
      </text>
    </comment>
    <comment ref="G53" authorId="0" shapeId="0" xr:uid="{00000000-0006-0000-1400-00008F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SERTÃO
</t>
        </r>
      </text>
    </comment>
    <comment ref="E58" authorId="0" shapeId="0" xr:uid="{00000000-0006-0000-1400-000090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EPI'S ONLINE</t>
        </r>
      </text>
    </comment>
    <comment ref="F58" authorId="0" shapeId="0" xr:uid="{00000000-0006-0000-1400-000091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EPI'S ONLINE</t>
        </r>
      </text>
    </comment>
    <comment ref="G58" authorId="0" shapeId="0" xr:uid="{00000000-0006-0000-1400-000092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NET SUPRIMENTOS</t>
        </r>
      </text>
    </comment>
    <comment ref="H58" authorId="0" shapeId="0" xr:uid="{00000000-0006-0000-1400-000093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CONFERMETA</t>
        </r>
      </text>
    </comment>
    <comment ref="I58" authorId="0" shapeId="0" xr:uid="{00000000-0006-0000-1400-000094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EPI'S ONLINE</t>
        </r>
      </text>
    </comment>
    <comment ref="E59" authorId="0" shapeId="0" xr:uid="{00000000-0006-0000-1400-000067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AMERICANAS</t>
        </r>
      </text>
    </comment>
    <comment ref="F59" authorId="0" shapeId="0" xr:uid="{00000000-0006-0000-1400-000068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CASA BAHIA</t>
        </r>
      </text>
    </comment>
    <comment ref="G59" authorId="0" shapeId="0" xr:uid="{00000000-0006-0000-1400-000069000000}">
      <text>
        <r>
          <rPr>
            <b/>
            <sz val="9"/>
            <color indexed="81"/>
            <rFont val="Segoe UI"/>
            <family val="2"/>
          </rPr>
          <t xml:space="preserve">Gabriel Silva:
</t>
        </r>
        <r>
          <rPr>
            <sz val="9"/>
            <color indexed="81"/>
            <rFont val="Segoe UI"/>
            <family val="2"/>
          </rPr>
          <t>LOJA DO MECANICO</t>
        </r>
      </text>
    </comment>
    <comment ref="H59" authorId="0" shapeId="0" xr:uid="{00000000-0006-0000-1400-00006A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LOJA DO MECANICO</t>
        </r>
      </text>
    </comment>
    <comment ref="I59" authorId="0" shapeId="0" xr:uid="{00000000-0006-0000-1400-00006B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SERTÃO</t>
        </r>
      </text>
    </comment>
    <comment ref="J59" authorId="0" shapeId="0" xr:uid="{00000000-0006-0000-1400-00006C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SERTÃO</t>
        </r>
      </text>
    </comment>
    <comment ref="K59" authorId="0" shapeId="0" xr:uid="{00000000-0006-0000-1400-00006D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LEROY MERLIN</t>
        </r>
      </text>
    </comment>
    <comment ref="L59" authorId="0" shapeId="0" xr:uid="{00000000-0006-0000-1400-00006E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LEROY MERLIN</t>
        </r>
      </text>
    </comment>
    <comment ref="E62" authorId="0" shapeId="0" xr:uid="{00000000-0006-0000-1400-00009A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MAGAZINE DO INXO</t>
        </r>
      </text>
    </comment>
    <comment ref="F62" authorId="0" shapeId="0" xr:uid="{00000000-0006-0000-1400-00009B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LEROY MERLIN</t>
        </r>
      </text>
    </comment>
    <comment ref="G62" authorId="0" shapeId="0" xr:uid="{00000000-0006-0000-1400-00009C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SERTÃO</t>
        </r>
      </text>
    </comment>
    <comment ref="H62" authorId="0" shapeId="0" xr:uid="{00000000-0006-0000-1400-00009D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LEROY MERLIN</t>
        </r>
      </text>
    </comment>
    <comment ref="E63" authorId="0" shapeId="0" xr:uid="{00000000-0006-0000-1400-00009E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ECO CONTAINER</t>
        </r>
      </text>
    </comment>
    <comment ref="F63" authorId="0" shapeId="0" xr:uid="{00000000-0006-0000-1400-00009F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LAR PLASTICOS
</t>
        </r>
      </text>
    </comment>
    <comment ref="G63" authorId="0" shapeId="0" xr:uid="{00000000-0006-0000-1400-0000A0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INOPLASTIC
</t>
        </r>
      </text>
    </comment>
    <comment ref="H63" authorId="0" shapeId="0" xr:uid="{00000000-0006-0000-1400-0000A1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mercado livre</t>
        </r>
      </text>
    </comment>
    <comment ref="E64" authorId="0" shapeId="0" xr:uid="{00000000-0006-0000-1400-0000A2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FORD CARGO 816
FIPE</t>
        </r>
      </text>
    </comment>
    <comment ref="F64" authorId="0" shapeId="0" xr:uid="{00000000-0006-0000-1400-0000A3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AGRALLE
</t>
        </r>
      </text>
    </comment>
    <comment ref="G64" authorId="0" shapeId="0" xr:uid="{00000000-0006-0000-1400-0000A4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MERCEDEZ
ACELO 1016</t>
        </r>
      </text>
    </comment>
    <comment ref="E67" authorId="0" shapeId="0" xr:uid="{00000000-0006-0000-1400-0000A5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TANQUE SÃO JOSÉ</t>
        </r>
      </text>
    </comment>
    <comment ref="F67" authorId="0" shapeId="0" xr:uid="{00000000-0006-0000-1400-0000A6000000}">
      <text>
        <r>
          <rPr>
            <b/>
            <sz val="9"/>
            <color indexed="81"/>
            <rFont val="Segoe UI"/>
            <family val="2"/>
          </rPr>
          <t xml:space="preserve">Gabriel Silva:
</t>
        </r>
        <r>
          <rPr>
            <sz val="9"/>
            <color indexed="81"/>
            <rFont val="Segoe UI"/>
            <family val="2"/>
          </rPr>
          <t>FACCHINI</t>
        </r>
      </text>
    </comment>
    <comment ref="E68" authorId="0" shapeId="0" xr:uid="{00000000-0006-0000-1400-0000A7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telha norte</t>
        </r>
      </text>
    </comment>
    <comment ref="F68" authorId="0" shapeId="0" xr:uid="{00000000-0006-0000-1400-0000A8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acqua fort</t>
        </r>
      </text>
    </comment>
    <comment ref="G68" authorId="0" shapeId="0" xr:uid="{00000000-0006-0000-1400-0000A9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placas para sinalização</t>
        </r>
      </text>
    </comment>
    <comment ref="H68" authorId="0" shapeId="0" xr:uid="{00000000-0006-0000-1400-0000AA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leroy merlin</t>
        </r>
      </text>
    </comment>
    <comment ref="E70" authorId="0" shapeId="0" xr:uid="{00000000-0006-0000-1400-0000AB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FACCHINI
</t>
        </r>
      </text>
    </comment>
    <comment ref="F70" authorId="0" shapeId="0" xr:uid="{00000000-0006-0000-1400-0000AC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GRIMALDI
</t>
        </r>
      </text>
    </comment>
    <comment ref="G70" authorId="0" shapeId="0" xr:uid="{00000000-0006-0000-1400-0000AD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BAZ METALURGICA
</t>
        </r>
      </text>
    </comment>
    <comment ref="H70" authorId="0" shapeId="0" xr:uid="{00000000-0006-0000-1400-0000AE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MODELAÇO</t>
        </r>
      </text>
    </comment>
    <comment ref="E71" authorId="0" shapeId="0" xr:uid="{00000000-0006-0000-1400-00007D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SERTÃO</t>
        </r>
      </text>
    </comment>
    <comment ref="F71" authorId="0" shapeId="0" xr:uid="{00000000-0006-0000-1400-00007E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SERTÃO</t>
        </r>
      </text>
    </comment>
    <comment ref="G71" authorId="0" shapeId="0" xr:uid="{00000000-0006-0000-1400-00007F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LEROY MERLIN</t>
        </r>
      </text>
    </comment>
    <comment ref="H71" authorId="0" shapeId="0" xr:uid="{00000000-0006-0000-1400-000080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LEROY MERLIN</t>
        </r>
      </text>
    </comment>
    <comment ref="E72" authorId="0" shapeId="0" xr:uid="{00000000-0006-0000-1400-000095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SERTÃO</t>
        </r>
      </text>
    </comment>
    <comment ref="F72" authorId="0" shapeId="0" xr:uid="{00000000-0006-0000-1400-000096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VÁRIAS LOJAS</t>
        </r>
      </text>
    </comment>
    <comment ref="E73" authorId="0" shapeId="0" xr:uid="{00000000-0006-0000-1400-000097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LEROY MERLIN</t>
        </r>
      </text>
    </comment>
    <comment ref="F73" authorId="0" shapeId="0" xr:uid="{00000000-0006-0000-1400-000098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LEROY MERLIN</t>
        </r>
      </text>
    </comment>
    <comment ref="G73" authorId="0" shapeId="0" xr:uid="{00000000-0006-0000-1400-000099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LEROY MERLIN</t>
        </r>
      </text>
    </comment>
    <comment ref="E74" authorId="0" shapeId="0" xr:uid="{00000000-0006-0000-1400-0000B4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mercado livre</t>
        </r>
      </text>
    </comment>
    <comment ref="F74" authorId="0" shapeId="0" xr:uid="{00000000-0006-0000-1400-0000B5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mercaod livre</t>
        </r>
      </text>
    </comment>
    <comment ref="G74" authorId="0" shapeId="0" xr:uid="{00000000-0006-0000-1400-0000B6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velamar nautico</t>
        </r>
      </text>
    </comment>
    <comment ref="J74" authorId="0" shapeId="0" xr:uid="{00000000-0006-0000-1400-0000B7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mercado livre</t>
        </r>
      </text>
    </comment>
    <comment ref="E77" authorId="0" shapeId="0" xr:uid="{00000000-0006-0000-1400-0000BB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CASE</t>
        </r>
      </text>
    </comment>
    <comment ref="F77" authorId="0" shapeId="0" xr:uid="{00000000-0006-0000-1400-0000BC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CAT</t>
        </r>
      </text>
    </comment>
    <comment ref="G77" authorId="0" shapeId="0" xr:uid="{00000000-0006-0000-1400-0000BD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JCB</t>
        </r>
      </text>
    </comment>
    <comment ref="E83" authorId="0" shapeId="0" xr:uid="{00000000-0006-0000-1400-0000CD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americanas</t>
        </r>
      </text>
    </comment>
    <comment ref="F83" authorId="0" shapeId="0" xr:uid="{00000000-0006-0000-1400-0000CE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tramontina</t>
        </r>
      </text>
    </comment>
    <comment ref="G83" authorId="0" shapeId="0" xr:uid="{00000000-0006-0000-1400-0000CF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SERTÃO</t>
        </r>
      </text>
    </comment>
    <comment ref="H83" authorId="0" shapeId="0" xr:uid="{00000000-0006-0000-1400-0000D0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SERTÃO</t>
        </r>
      </text>
    </comment>
    <comment ref="I83" authorId="0" shapeId="0" xr:uid="{00000000-0006-0000-1400-0000D1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LOJA DO MECANICO</t>
        </r>
      </text>
    </comment>
    <comment ref="E85" authorId="0" shapeId="0" xr:uid="{00000000-0006-0000-1400-0000BE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NEW HOLLAND</t>
        </r>
      </text>
    </comment>
    <comment ref="F85" authorId="0" shapeId="0" xr:uid="{00000000-0006-0000-1400-0000BF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VALTRA</t>
        </r>
      </text>
    </comment>
    <comment ref="G85" authorId="0" shapeId="0" xr:uid="{00000000-0006-0000-1400-0000C0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MF</t>
        </r>
      </text>
    </comment>
    <comment ref="E86" authorId="0" shapeId="0" xr:uid="{00000000-0006-0000-1400-0000C1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CAT
</t>
        </r>
      </text>
    </comment>
    <comment ref="F86" authorId="0" shapeId="0" xr:uid="{00000000-0006-0000-1400-0000C2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SINAPI</t>
        </r>
      </text>
    </comment>
    <comment ref="E88" authorId="0" shapeId="0" xr:uid="{00000000-0006-0000-1400-0000C3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SAVEIRO CROSS
FIPE</t>
        </r>
      </text>
    </comment>
    <comment ref="F88" authorId="0" shapeId="0" xr:uid="{00000000-0006-0000-1400-0000C4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STRADA FREEDOM
FIPE</t>
        </r>
      </text>
    </comment>
    <comment ref="G88" authorId="0" shapeId="0" xr:uid="{00000000-0006-0000-1400-0000C5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MONTANA 
CHEVROLET</t>
        </r>
      </text>
    </comment>
    <comment ref="E89" authorId="0" shapeId="0" xr:uid="{00000000-0006-0000-1400-0000C6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GOL TRENDLINE
2018
FIPE
</t>
        </r>
      </text>
    </comment>
    <comment ref="F89" authorId="0" shapeId="0" xr:uid="{00000000-0006-0000-1400-0000C7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argo 2020
Okm
fipe
</t>
        </r>
      </text>
    </comment>
    <comment ref="G89" authorId="0" shapeId="0" xr:uid="{00000000-0006-0000-1400-0000C8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ford ka titanium
2019
fipe
</t>
        </r>
      </text>
    </comment>
    <comment ref="H89" authorId="0" shapeId="0" xr:uid="{00000000-0006-0000-1400-0000C9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hb20 r
2019
fipe</t>
        </r>
      </text>
    </comment>
    <comment ref="I89" authorId="0" shapeId="0" xr:uid="{00000000-0006-0000-1400-0000CA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chevrolet joy 2019
</t>
        </r>
      </text>
    </comment>
    <comment ref="E90" authorId="0" shapeId="0" xr:uid="{00000000-0006-0000-1400-0000CB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honda cg 160 cargo
FIPE</t>
        </r>
      </text>
    </comment>
    <comment ref="F90" authorId="0" shapeId="0" xr:uid="{00000000-0006-0000-1400-0000CC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YAMAHA FACTOR 125 IUSB
YAMAHA</t>
        </r>
      </text>
    </comment>
    <comment ref="E92" authorId="0" shapeId="0" xr:uid="{00000000-0006-0000-1400-000025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FORD CARGO 2423
FIPE</t>
        </r>
      </text>
    </comment>
    <comment ref="G92" authorId="0" shapeId="0" xr:uid="{00000000-0006-0000-1400-000026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MERCEDEZ
ATEGO 1719</t>
        </r>
      </text>
    </comment>
    <comment ref="H92" authorId="0" shapeId="0" xr:uid="{00000000-0006-0000-1400-000027000000}">
      <text>
        <r>
          <rPr>
            <b/>
            <sz val="9"/>
            <color indexed="81"/>
            <rFont val="Segoe UI"/>
            <family val="2"/>
          </rPr>
          <t>Gabriel Silva:</t>
        </r>
        <r>
          <rPr>
            <sz val="9"/>
            <color indexed="81"/>
            <rFont val="Segoe UI"/>
            <family val="2"/>
          </rPr>
          <t xml:space="preserve">
VW 23230</t>
        </r>
      </text>
    </comment>
  </commentList>
</comments>
</file>

<file path=xl/sharedStrings.xml><?xml version="1.0" encoding="utf-8"?>
<sst xmlns="http://schemas.openxmlformats.org/spreadsheetml/2006/main" count="12514" uniqueCount="1551">
  <si>
    <t>Sábado</t>
  </si>
  <si>
    <t>id</t>
  </si>
  <si>
    <t>Nome</t>
  </si>
  <si>
    <t>COMPRIMENT</t>
  </si>
  <si>
    <t>FREQUENCIA</t>
  </si>
  <si>
    <t>Setor</t>
  </si>
  <si>
    <t>UUID</t>
  </si>
  <si>
    <t>OBS</t>
  </si>
  <si>
    <t>ADOTADO</t>
  </si>
  <si>
    <t>LOCAL</t>
  </si>
  <si>
    <t>Rua Sete de Setembro</t>
  </si>
  <si>
    <t>Esporádico</t>
  </si>
  <si>
    <t>Setor Centro</t>
  </si>
  <si>
    <t>{de63e911-2b65-4d3c-9d48-7a3a63d7daec}</t>
  </si>
  <si>
    <t>Ja executado</t>
  </si>
  <si>
    <t>Ponta Pora</t>
  </si>
  <si>
    <t>Rua Tiradentes</t>
  </si>
  <si>
    <t>{43f52742-9183-4eb5-a4e3-01c7e06f903b}</t>
  </si>
  <si>
    <t>Setor Ipê</t>
  </si>
  <si>
    <t>{f961cb3d-0086-4a72-8496-a8b656eeae4e}</t>
  </si>
  <si>
    <t>Rua Duque de Caxias</t>
  </si>
  <si>
    <t>{d3a5ce3b-2387-4255-8f6e-c7c73bdd222a}</t>
  </si>
  <si>
    <t>Seguiu proposta pintura meio-fio</t>
  </si>
  <si>
    <t>Rua Calógeras</t>
  </si>
  <si>
    <t>{351ff5e1-a0d5-4434-81b0-95cfe49d10ce}</t>
  </si>
  <si>
    <t>Rua Damian Walter Avelino</t>
  </si>
  <si>
    <t>{3acc39e0-a682-4c53-be21-d1e813b924f5}</t>
  </si>
  <si>
    <t>Rua Carapó</t>
  </si>
  <si>
    <t>{1699246a-f118-4a5d-9047-2771ba34da20}</t>
  </si>
  <si>
    <t>Rua Cel Camisão</t>
  </si>
  <si>
    <t>{c126b2e4-6118-436e-abd3-a21734cc3177}</t>
  </si>
  <si>
    <t>Rua Baltazar Saldanha</t>
  </si>
  <si>
    <t>{891e82ee-1586-4bb9-b2d8-cc469e74f2c0}</t>
  </si>
  <si>
    <t>{2f336056-8d93-43d3-9240-fb9f6ec9b63a}</t>
  </si>
  <si>
    <t>Avenida Urumbela</t>
  </si>
  <si>
    <t>{ed593246-8cd7-4917-b339-86cf6fe25752}</t>
  </si>
  <si>
    <t>Rua Dep. Aral Moreira</t>
  </si>
  <si>
    <t>{ec61cc11-d2b6-4b81-92c5-96d5f6c2e7dd}</t>
  </si>
  <si>
    <t>Rua Joaquim Pereira Teixeira</t>
  </si>
  <si>
    <t>{1f6f9940-a061-4387-8dbc-0641687ad4d4}</t>
  </si>
  <si>
    <t>Rua 7 de Setembro</t>
  </si>
  <si>
    <t>{2e388fe5-ce38-45ce-be31-6a2add647d9d}</t>
  </si>
  <si>
    <t>Rua General Osório</t>
  </si>
  <si>
    <t>{3e2928c0-d916-4a1e-a78b-e0e36104c36c}</t>
  </si>
  <si>
    <t>Rua Caçapava</t>
  </si>
  <si>
    <t>{f12a34d5-4973-4de9-9e7d-c1f57e67530b}</t>
  </si>
  <si>
    <t>{d0330cff-77aa-46be-8490-c280bbd004e4}</t>
  </si>
  <si>
    <t>Rua Felisberto Marques</t>
  </si>
  <si>
    <t>{e423ef5e-5104-4132-80ce-63d8b44813aa}</t>
  </si>
  <si>
    <t>Rua Presidente Juscelino Kubitscheck</t>
  </si>
  <si>
    <t>{c742da78-3b83-411d-807a-fb102a497c07}</t>
  </si>
  <si>
    <t>Avenida Jorge Roberto Salomão</t>
  </si>
  <si>
    <t>{0f06b706-72dc-4092-953c-c76a85c2b6d5}</t>
  </si>
  <si>
    <t>{5f7b7591-adcd-443b-8258-928f87886de1}</t>
  </si>
  <si>
    <t>{b08f40ba-5e63-4105-9316-8923444e3c47}</t>
  </si>
  <si>
    <t>Rua Intendente João Silva Brandão</t>
  </si>
  <si>
    <t>{f900a8b5-e586-48d5-8f19-37ac872223b8}</t>
  </si>
  <si>
    <t>Avenida Brasil</t>
  </si>
  <si>
    <t>1 vez por semana</t>
  </si>
  <si>
    <t>{0d828f5e-2fb4-41c4-af21-ae899775250d}</t>
  </si>
  <si>
    <t>Diario</t>
  </si>
  <si>
    <t>Setor Aeroporto</t>
  </si>
  <si>
    <t>{a52000d6-9451-4f2d-b778-6154dd908ab4}</t>
  </si>
  <si>
    <t>Rua General Ângelo da Cunha</t>
  </si>
  <si>
    <t>{5ba544e5-ef71-4de5-803d-74a6587a2776}</t>
  </si>
  <si>
    <t>Sem nome</t>
  </si>
  <si>
    <t>{5a9beaa4-bc2c-4d54-a15c-0ea1b0a4b2a7}</t>
  </si>
  <si>
    <t>Rua Tuiuti</t>
  </si>
  <si>
    <t>{39270367-e3c9-48a0-a11c-8d95fa2bf8ba}</t>
  </si>
  <si>
    <t>Rua Itacaiúnas</t>
  </si>
  <si>
    <t>{103ff11e-b2d1-4ca9-961c-20946e43b37e}</t>
  </si>
  <si>
    <t>Rua Guia Lopes</t>
  </si>
  <si>
    <t>{4b9b4d06-42a5-47a5-8e4e-3f0cd82f1765}</t>
  </si>
  <si>
    <t>Rua Heliodoro Alves Salgueiro</t>
  </si>
  <si>
    <t>{04b00ef0-3d7a-452d-81a4-db67e3eadfae}</t>
  </si>
  <si>
    <t>Avenida Presidente Vargas</t>
  </si>
  <si>
    <t>{6d427e88-71c4-4e38-bf3b-ed1c1e2ee976}</t>
  </si>
  <si>
    <t>Rua Paraguai</t>
  </si>
  <si>
    <t>{3efc0e81-1e97-4795-856a-c7945c1f0281}</t>
  </si>
  <si>
    <t>Avenida São João</t>
  </si>
  <si>
    <t>{f1601976-f001-46f9-92cf-8ca1b95ad8f5}</t>
  </si>
  <si>
    <t>Rua Antonio João</t>
  </si>
  <si>
    <t>{4e825dbb-307e-432e-b747-2e0aaa570375}</t>
  </si>
  <si>
    <t>{1d83f6b1-6890-4389-abdf-db567967cf10}</t>
  </si>
  <si>
    <t>Rua Bela Vista</t>
  </si>
  <si>
    <t>{7b4c4b9d-da47-4bbf-afe3-fcd75e2f334b}</t>
  </si>
  <si>
    <t>{82785ce4-8ae2-4eb0-99e1-54292638e2b4}</t>
  </si>
  <si>
    <t>{47b763ec-6bbb-4abd-811d-61bff6af05ac}</t>
  </si>
  <si>
    <t>Rua Ilizio C. Cabral</t>
  </si>
  <si>
    <t>{f0cab51f-2132-4be9-a9fe-51367fdf21ea}</t>
  </si>
  <si>
    <t>Rua Treze de Setembro</t>
  </si>
  <si>
    <t>{33997835-230b-45d8-876a-2e82005af798}</t>
  </si>
  <si>
    <t>{a3935cb1-6223-407b-9200-c816b0560295}</t>
  </si>
  <si>
    <t>Avenida Adjalma Saldanha</t>
  </si>
  <si>
    <t>{ae35fc2d-d829-4e1e-aded-7d4add9335e1}</t>
  </si>
  <si>
    <t>Rua Salvador F de Deus</t>
  </si>
  <si>
    <t>{de7d2ebd-c4fc-4951-86e0-4114ff3cbd31}</t>
  </si>
  <si>
    <t>Rua Marechal Floriano</t>
  </si>
  <si>
    <t>{6ee58f68-e296-4966-8a56-10f3c122cbdc}</t>
  </si>
  <si>
    <t>FREQUENC_1</t>
  </si>
  <si>
    <t>SETOR_2</t>
  </si>
  <si>
    <t>LENGTH</t>
  </si>
  <si>
    <t>COUNT</t>
  </si>
  <si>
    <t>4 Vezes na semana</t>
  </si>
  <si>
    <t>2 Vezes na semana</t>
  </si>
  <si>
    <t>Rua Jorge Roberto Salomão</t>
  </si>
  <si>
    <t>{b49bab9b-dbcb-42f8-b9ab-2ec275a87052}</t>
  </si>
  <si>
    <t>3 Vezes na semana</t>
  </si>
  <si>
    <t>{d2aa0fe5-2b85-42f8-b6c9-a8226e527239}</t>
  </si>
  <si>
    <t>{63f4940e-1a5b-4cda-93e9-1be9543d6ef5}</t>
  </si>
  <si>
    <t>Rua Pedro Angelo da Rosa</t>
  </si>
  <si>
    <t>{9cc6a7f8-be55-4fed-9f76-84216dce6430}</t>
  </si>
  <si>
    <t>Semanal</t>
  </si>
  <si>
    <t>Rua Coronel Santana</t>
  </si>
  <si>
    <t>{7a607ffa-b603-4a63-b18a-7ceab404fedb}</t>
  </si>
  <si>
    <t>Rua José Bonifácio</t>
  </si>
  <si>
    <t>Rua 12 de Outubro</t>
  </si>
  <si>
    <t>{a492ca1d-69b2-4d7c-ad02-a928142a1448}</t>
  </si>
  <si>
    <t>Rua João Manoel Cardinal</t>
  </si>
  <si>
    <t>Setor Marambaia</t>
  </si>
  <si>
    <t>{4ffd8366-62e8-4a98-ae2e-899d4edb2e14}</t>
  </si>
  <si>
    <t>Rua Dr. Hélio Brandão</t>
  </si>
  <si>
    <t>{f38fbd79-15d2-4b92-be07-dcff92531dd9}</t>
  </si>
  <si>
    <t>Rua Vicente Azambuja</t>
  </si>
  <si>
    <t>{9ef1020b-ce6f-47b4-97fb-d19c50d23145}</t>
  </si>
  <si>
    <t>Rua Dr. Miguel Marcondes Armando</t>
  </si>
  <si>
    <t>Rua Coronel Orlando Sapucáia</t>
  </si>
  <si>
    <t>{220210df-3f9e-45df-8fdf-be723e79c6db}</t>
  </si>
  <si>
    <t>Rua Weimar Tôrres</t>
  </si>
  <si>
    <t>Avenida Internacional</t>
  </si>
  <si>
    <t>{2a311c21-b5fe-47cf-b528-836df1b469e1}</t>
  </si>
  <si>
    <t>Rua Zeferindo Dávila Monteiro</t>
  </si>
  <si>
    <t>Expansao 2</t>
  </si>
  <si>
    <t>Rua Eloan Vieira da Silva</t>
  </si>
  <si>
    <t>Rua Areia Branca</t>
  </si>
  <si>
    <t>{6c2cd4e4-28d4-448e-93d7-97e1dc252278}</t>
  </si>
  <si>
    <t>BR463</t>
  </si>
  <si>
    <t>Rua Itiberê Viêira</t>
  </si>
  <si>
    <t>Parque de Exposições</t>
  </si>
  <si>
    <t>1 vez ao mês</t>
  </si>
  <si>
    <t>{f4af3f25-c446-4267-a523-ea4722662f49}</t>
  </si>
  <si>
    <t>Avenida Vinícius Soares do Nascimento</t>
  </si>
  <si>
    <t>{e065161a-a615-4946-b6e8-52dd6c12ffeb}</t>
  </si>
  <si>
    <t>Rua Afrânio Gonçalves</t>
  </si>
  <si>
    <t>{c14dc2aa-309c-4e34-be1f-227a73de6417}</t>
  </si>
  <si>
    <t>Rua Geovane</t>
  </si>
  <si>
    <t>{66c7155e-fba1-4fd3-b8a0-031eaf3d4f93}</t>
  </si>
  <si>
    <t>Rua Washington Luís</t>
  </si>
  <si>
    <t>{0dbb2e78-2534-4e3f-8d51-290647f00a67}</t>
  </si>
  <si>
    <t>Rodoviária</t>
  </si>
  <si>
    <t>{1bf3c1a1-69b2-40d4-8071-b2e38462fe29}</t>
  </si>
  <si>
    <t>Aeroporto Ponta Porã</t>
  </si>
  <si>
    <t>{a71994a5-4b0e-418d-af6e-4776e31f2773}</t>
  </si>
  <si>
    <t>Rua Coronel Ponce</t>
  </si>
  <si>
    <t>{ad8ecdb3-0c9a-476b-a6e5-0450f9ea9812}</t>
  </si>
  <si>
    <t>Rua dos Laçadores</t>
  </si>
  <si>
    <t>{67488ffc-45f7-438a-9497-87e22c2d4a11}</t>
  </si>
  <si>
    <t>Rua Primeira</t>
  </si>
  <si>
    <t>{fee223ff-8337-4cee-b2d0-5aa11dfb5791}</t>
  </si>
  <si>
    <t>Rua Digno Torres</t>
  </si>
  <si>
    <t>{4ecdab34-f4ec-4abf-9bb9-ca566b04024c}</t>
  </si>
  <si>
    <t>{0b92d0c2-4f88-42f0-86eb-0f7a9c30fd07}</t>
  </si>
  <si>
    <t>Rua Batista de Azevedo</t>
  </si>
  <si>
    <t>{15c081e8-741c-4589-9149-da4610011448}</t>
  </si>
  <si>
    <t>Av. Comandante Cardoso</t>
  </si>
  <si>
    <t>Rua Corumbá</t>
  </si>
  <si>
    <t>Rua Dourados</t>
  </si>
  <si>
    <t>Rua Barra Mansa</t>
  </si>
  <si>
    <t>Rua Amancio dos Santos Moura</t>
  </si>
  <si>
    <t>Rua Livorno</t>
  </si>
  <si>
    <t>Av. Corredor Público Atual São João</t>
  </si>
  <si>
    <t>Rua Bertoldo Carvalho</t>
  </si>
  <si>
    <t>Rua Manoel Martins</t>
  </si>
  <si>
    <t>Rua Anaurelino G de Mattos</t>
  </si>
  <si>
    <t>Expasao 2</t>
  </si>
  <si>
    <t>Rua Vital Brasil</t>
  </si>
  <si>
    <t>Setor Vilela</t>
  </si>
  <si>
    <t>{c4376531-4f9e-4b3e-b621-9f3089548f79}</t>
  </si>
  <si>
    <t>Rua São Judas Tadeu</t>
  </si>
  <si>
    <t>{93410231-15b0-473a-8108-1ff1ef5776d4}</t>
  </si>
  <si>
    <t>{58068a0b-b235-4b20-a129-0b4c57de588c}</t>
  </si>
  <si>
    <t>av. Belmiro de Albuquerque</t>
  </si>
  <si>
    <t>Av. Belmiro de Albuquerque</t>
  </si>
  <si>
    <t>Rua Vacaria</t>
  </si>
  <si>
    <t>Rua Agudos</t>
  </si>
  <si>
    <t>Rua Padre José de Anchieta</t>
  </si>
  <si>
    <t>Rua da Pátria</t>
  </si>
  <si>
    <t>Rua Osvaldo Cruz</t>
  </si>
  <si>
    <t>Rua Nilo Barem</t>
  </si>
  <si>
    <t>Rua Iturama</t>
  </si>
  <si>
    <t>Rua Turqueza</t>
  </si>
  <si>
    <t>{ddc37f4f-4d07-46b9-bb59-b6ded7db2544}</t>
  </si>
  <si>
    <t>Rua Corintio</t>
  </si>
  <si>
    <t>{3fee0147-0115-482c-a1bb-6f74c1082b91}</t>
  </si>
  <si>
    <t>Rua Ceará</t>
  </si>
  <si>
    <t>{7340501a-8ef9-468f-9974-824821c415e0}</t>
  </si>
  <si>
    <t>Rua São Pedro</t>
  </si>
  <si>
    <t>Rua Bahia</t>
  </si>
  <si>
    <t>Rua Rosa Azul</t>
  </si>
  <si>
    <t>{4a4aafe0-87e5-4341-a233-e8fddb08b17d}</t>
  </si>
  <si>
    <t>Rua Carnaubal</t>
  </si>
  <si>
    <t>{ae7b26f2-ef6a-4292-96bc-4aed50424ca0}</t>
  </si>
  <si>
    <t>Rua General Américo Marluts</t>
  </si>
  <si>
    <t>{76e0710f-f17b-4b88-a593-6d35213854d2}</t>
  </si>
  <si>
    <t>Rua Luiz Quintana</t>
  </si>
  <si>
    <t>{3cf2794d-b767-4584-826c-019d6ccda963}</t>
  </si>
  <si>
    <t>Rua Juventino Nunes dos Santos</t>
  </si>
  <si>
    <t>Avenida Lolia Carrilho Novaes</t>
  </si>
  <si>
    <t>{4fa10dea-9644-4024-8fa5-2b405f0bf654}</t>
  </si>
  <si>
    <t>Rua Formosa</t>
  </si>
  <si>
    <t>SEM NOME</t>
  </si>
  <si>
    <t>BR 163 KM 45</t>
  </si>
  <si>
    <t>Nova Itamarati</t>
  </si>
  <si>
    <t>Av. Dourados</t>
  </si>
  <si>
    <t>Sanga Puita</t>
  </si>
  <si>
    <t>Av. Brasil Sanga Puita</t>
  </si>
  <si>
    <t>Rua Luíza Londolf</t>
  </si>
  <si>
    <t>Rua Ladário</t>
  </si>
  <si>
    <t>{8c5f0335-87e8-4120-958e-69d06bf460bf}</t>
  </si>
  <si>
    <t>Cemitério São Vicente de Paula</t>
  </si>
  <si>
    <t>{e0ddce42-4023-461e-aa2a-72715fa932a4}</t>
  </si>
  <si>
    <t>Rua São Vicente de Paula</t>
  </si>
  <si>
    <t>{b2ddb34a-14dd-4fd1-90ba-de3adb05ccb9}</t>
  </si>
  <si>
    <t>Rua Morumbi</t>
  </si>
  <si>
    <t>Rua Pinajui</t>
  </si>
  <si>
    <t>Rua Mato Grosso do Sul</t>
  </si>
  <si>
    <t>Frequência/Semana</t>
  </si>
  <si>
    <t>Comprimento (KM)</t>
  </si>
  <si>
    <t>Número de ruas</t>
  </si>
  <si>
    <t>Comprimento (m)</t>
  </si>
  <si>
    <t>FreqXCompr</t>
  </si>
  <si>
    <t>Setores</t>
  </si>
  <si>
    <t>Segunda</t>
  </si>
  <si>
    <t>Terça</t>
  </si>
  <si>
    <t>Quarta</t>
  </si>
  <si>
    <t>Quinta</t>
  </si>
  <si>
    <t>Sexta</t>
  </si>
  <si>
    <t>x</t>
  </si>
  <si>
    <t>TOTAL</t>
  </si>
  <si>
    <t>unid./dupla</t>
  </si>
  <si>
    <t>Lutocar</t>
  </si>
  <si>
    <t>Vassourão</t>
  </si>
  <si>
    <t>Vassoura de aço</t>
  </si>
  <si>
    <t>Sacos plásticos</t>
  </si>
  <si>
    <t>Total</t>
  </si>
  <si>
    <t>Ponta Porã</t>
  </si>
  <si>
    <t>1ª Delegacia de Polícia de Ponta Porã</t>
  </si>
  <si>
    <t>4° Batalhão Da Polícia Militar do Estado de Mato Grosso do Sul</t>
  </si>
  <si>
    <t>Área Pública Jardim Ivone</t>
  </si>
  <si>
    <t>Asilo Cristão de Ponta Porã</t>
  </si>
  <si>
    <t>Associação de Cabos e Soldados de Ponta Porã</t>
  </si>
  <si>
    <t>Associação de Moradores do Bairro da Mocca e Dep Aral Moreira</t>
  </si>
  <si>
    <t>Associação de Moradores do Bairro São João</t>
  </si>
  <si>
    <t>Avenida da Flora</t>
  </si>
  <si>
    <t>Avenida internacional</t>
  </si>
  <si>
    <t>Avenida Marechal Floriano</t>
  </si>
  <si>
    <t>BR 463</t>
  </si>
  <si>
    <t>Campo de Futebol Bom Gosto</t>
  </si>
  <si>
    <t>Campo de Futebol do Bairro Granja</t>
  </si>
  <si>
    <t>Campo de Futebol do Vicente</t>
  </si>
  <si>
    <t>Campo do Jardim das Rosas II</t>
  </si>
  <si>
    <t>CAPS II</t>
  </si>
  <si>
    <t>Cartório da 19 º Zona Eleitoral</t>
  </si>
  <si>
    <t>Casa dos Conselhos Municipal de Ponta Porã</t>
  </si>
  <si>
    <t>CEINF Prof.ª Laureana Palermo Fernandes</t>
  </si>
  <si>
    <t>Centro de Convenções</t>
  </si>
  <si>
    <t>Centro de Educação Infantil Professora Zaira Portela</t>
  </si>
  <si>
    <t>Centro de Esporte e Lazer de Ponta Porã</t>
  </si>
  <si>
    <t>Sanga Puitã</t>
  </si>
  <si>
    <t>Centro de Esporte e Lazer de Sanga Puitã</t>
  </si>
  <si>
    <t>Centro de Esporte e Lazer Jardim América</t>
  </si>
  <si>
    <t>Centro de Tradições Gaúchas Querência da Saudade</t>
  </si>
  <si>
    <t>Clube da Vila Ministro Salgado Filho</t>
  </si>
  <si>
    <t>Clube de Imprensa de Ponta Porã</t>
  </si>
  <si>
    <t>Clube do Laço Lino Cardinal</t>
  </si>
  <si>
    <t>Conselho Tutelar de Ponta Porã</t>
  </si>
  <si>
    <t>CRAS Cophafronteira</t>
  </si>
  <si>
    <t>Depósito da Prefeitura</t>
  </si>
  <si>
    <t>Escola Dr Miguel Marcondes Amaral</t>
  </si>
  <si>
    <t>Escola Estadual Pedro Afonso Pereira Goldoni</t>
  </si>
  <si>
    <t>Escola Estadual Fernando Saldanha</t>
  </si>
  <si>
    <t>Escola Estadual Geni Marques Magalhães</t>
  </si>
  <si>
    <t>Escola Estadual Joaquim Murtinho</t>
  </si>
  <si>
    <t>Escola Estadual Mendes Gonçalves</t>
  </si>
  <si>
    <t>Escola Municipal Conceição Capiberibe Saldanha</t>
  </si>
  <si>
    <t>Escola Municipal Cooporã</t>
  </si>
  <si>
    <t>Escola Municipal de 1º Grau Maria Ligia B. Garcia</t>
  </si>
  <si>
    <t>Escola Municipal Dora Landolfi</t>
  </si>
  <si>
    <t>Escola Municipal Fernandes Pereira</t>
  </si>
  <si>
    <t>Escola Municipal Ignes Andrezza</t>
  </si>
  <si>
    <t>Escola Municipal Isaac Borges Capille</t>
  </si>
  <si>
    <t>Escola Municipal João Paulo Q Marques</t>
  </si>
  <si>
    <t>Escola Municipal Joaquim Mortinho</t>
  </si>
  <si>
    <t>Escola Municipal Manoel Martins</t>
  </si>
  <si>
    <t>Escola Municipal Polo Jardim Ivone</t>
  </si>
  <si>
    <t>Escola Municipal Prefeito Ade Marques</t>
  </si>
  <si>
    <t>Escola Municipal São João</t>
  </si>
  <si>
    <t>Estabelecimento Penal Masculino de Ponta Porã</t>
  </si>
  <si>
    <t>Estabelecimento Público Vila São Vicente de Paula</t>
  </si>
  <si>
    <t>Estação de Tratamento de Esgoto Jardim Estoril</t>
  </si>
  <si>
    <t>Estação de Tratamento de Esgoto São Thomaz</t>
  </si>
  <si>
    <t>Fundação de Cultura e Esporte de Ponta Porã FUNCESPP</t>
  </si>
  <si>
    <t>Galpão de Sanga Puitã</t>
  </si>
  <si>
    <t>Galpão do Jardim Universitário</t>
  </si>
  <si>
    <t>Ginásio da Escola Polo Jardim Ivone</t>
  </si>
  <si>
    <t>Ginásio Municipal Hyran Garcete</t>
  </si>
  <si>
    <t>Ginásio Poliesportivo Pepe Portela</t>
  </si>
  <si>
    <t>Horto Florestal</t>
  </si>
  <si>
    <t>Lions Clube de Ponta Porã</t>
  </si>
  <si>
    <t>Ministério da Previdência do Trabalho e Previdência Social</t>
  </si>
  <si>
    <t>Ministério Público Estadual</t>
  </si>
  <si>
    <t>Pátio da Polícia Federal</t>
  </si>
  <si>
    <t>Patrulha Mirim</t>
  </si>
  <si>
    <t>Pista de Bicicross de Ponta Porã</t>
  </si>
  <si>
    <t>Polícia Federal</t>
  </si>
  <si>
    <t>Polo Municipal Ramiro Noronha</t>
  </si>
  <si>
    <t>Praça do Bairro Parque dos Ipês</t>
  </si>
  <si>
    <t>Praça do Parque dos IPÊS II</t>
  </si>
  <si>
    <t>Prédio da Infraero</t>
  </si>
  <si>
    <t>Prefeitura Municipal de Ponta Porã</t>
  </si>
  <si>
    <t>Programa da Família</t>
  </si>
  <si>
    <t>Programa de Saúde e Família do Jardim Marambaia</t>
  </si>
  <si>
    <t>Rede Elétrica Controle Militar</t>
  </si>
  <si>
    <t>Residencial Kamel Saad</t>
  </si>
  <si>
    <t>Rodoviária de Ponta Porã</t>
  </si>
  <si>
    <t>Rua Adjalma Saldanha</t>
  </si>
  <si>
    <t>Rua Corinto</t>
  </si>
  <si>
    <t>Rua Dep Aral Moreira</t>
  </si>
  <si>
    <t>Secretaria de Segurança Pública</t>
  </si>
  <si>
    <t>Sesi de Ponta Porã</t>
  </si>
  <si>
    <t>Sindiporã</t>
  </si>
  <si>
    <t>Universidade Estadual de Mato Grosso do Sul Ponta Porã</t>
  </si>
  <si>
    <t>UPA Parque de Exposições</t>
  </si>
  <si>
    <t>Vara de Trabalho de Ponta Porã</t>
  </si>
  <si>
    <t>Vila Ferroviária II</t>
  </si>
  <si>
    <t>Frequênci</t>
  </si>
  <si>
    <t>Freq Anual</t>
  </si>
  <si>
    <t>Região</t>
  </si>
  <si>
    <t>Tipo</t>
  </si>
  <si>
    <t>Bairro</t>
  </si>
  <si>
    <t>AREA_2</t>
  </si>
  <si>
    <t>PERIMETRO</t>
  </si>
  <si>
    <t>Id</t>
  </si>
  <si>
    <t>Bairro_2</t>
  </si>
  <si>
    <t>1 Vez a cada 3 Meses</t>
  </si>
  <si>
    <t>4 Vezes ao Ano</t>
  </si>
  <si>
    <t>Imóvel</t>
  </si>
  <si>
    <t>C</t>
  </si>
  <si>
    <t>0</t>
  </si>
  <si>
    <t>1 vez na semana</t>
  </si>
  <si>
    <t>12 Vezes ao Ano</t>
  </si>
  <si>
    <t>F</t>
  </si>
  <si>
    <t>H</t>
  </si>
  <si>
    <t>1 Vez a cada 3 meses</t>
  </si>
  <si>
    <t>1 vez a cada 2 meses</t>
  </si>
  <si>
    <t>6 Vezes ao Ano</t>
  </si>
  <si>
    <t>M</t>
  </si>
  <si>
    <t>Canteiro</t>
  </si>
  <si>
    <t>A</t>
  </si>
  <si>
    <t>Centro de Educação e Lazar Serafim Tiago Ferreira</t>
  </si>
  <si>
    <t>Forúm de Ponta Porã</t>
  </si>
  <si>
    <t>Escola Estadual Dr Miguel Marcondes Armando</t>
  </si>
  <si>
    <t>DISTRITO SANGA PUITA</t>
  </si>
  <si>
    <t>AREA</t>
  </si>
  <si>
    <t>COF</t>
  </si>
  <si>
    <t>Verdadeiro</t>
  </si>
  <si>
    <t>CREAS</t>
  </si>
  <si>
    <t>Rua intendente João Silva Brandão</t>
  </si>
  <si>
    <t>Cimitério São Vicente de Paula</t>
  </si>
  <si>
    <t>Centro de Educação Infantil Elpidio Peluffo</t>
  </si>
  <si>
    <t>Centro de Educação Infantil Professor Conrado Canteiro</t>
  </si>
  <si>
    <t>Unei Secretaria Estado Trabalho Assistência S E E</t>
  </si>
  <si>
    <t>Centro de Educação Infantil Conrrado Canteiro</t>
  </si>
  <si>
    <t>Creche Especial</t>
  </si>
  <si>
    <t>HEM Nucleo de Ponta Porã</t>
  </si>
  <si>
    <t>Associação Contra o Cancêr Feminino</t>
  </si>
  <si>
    <t>Polo Saúde e Família Dr Pedro Monteiro de Almeida</t>
  </si>
  <si>
    <t>1 Vez ao mês</t>
  </si>
  <si>
    <t>Conviver Ponta Pora</t>
  </si>
  <si>
    <t>Centro Polo De Educacao Infantil- Prof Joana Ferreira Franco Barrios</t>
  </si>
  <si>
    <t>Avenida Comandante Cardoso</t>
  </si>
  <si>
    <t>Rua Vital brasil</t>
  </si>
  <si>
    <t>ROÇADA</t>
  </si>
  <si>
    <t>CAPINA</t>
  </si>
  <si>
    <t>Quantidade</t>
  </si>
  <si>
    <t>ITENS PARA ORÇAMENTO</t>
  </si>
  <si>
    <t>modelo</t>
  </si>
  <si>
    <t>preço</t>
  </si>
  <si>
    <t>preço1</t>
  </si>
  <si>
    <t>preço2</t>
  </si>
  <si>
    <t>preço3</t>
  </si>
  <si>
    <t>preço4</t>
  </si>
  <si>
    <t>preço5</t>
  </si>
  <si>
    <t>preço6</t>
  </si>
  <si>
    <t>preço7</t>
  </si>
  <si>
    <t>MEDIANA</t>
  </si>
  <si>
    <t>Pequeno (3/4)</t>
  </si>
  <si>
    <t>Ford Cargo 816</t>
  </si>
  <si>
    <t>VW Worker 17190</t>
  </si>
  <si>
    <t>VW Constellation 23230</t>
  </si>
  <si>
    <t xml:space="preserve">trator de esteiras </t>
  </si>
  <si>
    <t>caterpilar d6</t>
  </si>
  <si>
    <t>escavadeira hidraulica</t>
  </si>
  <si>
    <t>caterpilar 320</t>
  </si>
  <si>
    <t xml:space="preserve">retroescavadeira </t>
  </si>
  <si>
    <t>CASE 580</t>
  </si>
  <si>
    <t>MF 250 XE</t>
  </si>
  <si>
    <t>utilitário</t>
  </si>
  <si>
    <t>Saveiro Trendiline</t>
  </si>
  <si>
    <t>gol trendline</t>
  </si>
  <si>
    <t>cg125 fan</t>
  </si>
  <si>
    <t>Pipa</t>
  </si>
  <si>
    <t>fachinni 6.000 L</t>
  </si>
  <si>
    <t>Compactador</t>
  </si>
  <si>
    <t>planalto ecolix 15m³</t>
  </si>
  <si>
    <t>planalto ecolix 19m³</t>
  </si>
  <si>
    <t>Gaiola</t>
  </si>
  <si>
    <t>Facchini 30,83 m³</t>
  </si>
  <si>
    <t xml:space="preserve">poliguindaste duplo </t>
  </si>
  <si>
    <t>telescópio 12T 18m³</t>
  </si>
  <si>
    <t xml:space="preserve">Carroceria carga seca </t>
  </si>
  <si>
    <t>ford cargo 816 12m³</t>
  </si>
  <si>
    <t>julieta roll on roll off</t>
  </si>
  <si>
    <t>vassourão</t>
  </si>
  <si>
    <t>Pá Quadrada</t>
  </si>
  <si>
    <t>carrinho de mão</t>
  </si>
  <si>
    <t>pá concha</t>
  </si>
  <si>
    <t>vassoura de aço</t>
  </si>
  <si>
    <t>foice</t>
  </si>
  <si>
    <t>enxada</t>
  </si>
  <si>
    <t>conteiner 1000L p/ armazernar residuos</t>
  </si>
  <si>
    <t>conteiner 1100L c/ tampa fipartida p/ armazernar residuos</t>
  </si>
  <si>
    <t xml:space="preserve">conteiner 240L </t>
  </si>
  <si>
    <t>papeleira 50L</t>
  </si>
  <si>
    <t>Caçamba metalica 5m³</t>
  </si>
  <si>
    <t xml:space="preserve">carrinho p/ coleta de oléo </t>
  </si>
  <si>
    <t>coletor de lâmpada fluorescente (16unid)</t>
  </si>
  <si>
    <t>facão</t>
  </si>
  <si>
    <t>Boné de brim</t>
  </si>
  <si>
    <t>Crachá</t>
  </si>
  <si>
    <t>camisa manga curta brim</t>
  </si>
  <si>
    <t>boné legionario com aba</t>
  </si>
  <si>
    <t>EPI's</t>
  </si>
  <si>
    <t>Calçado com solado antiderrapante e confortável</t>
  </si>
  <si>
    <t>Luva tricotada com revestimento nitrílico</t>
  </si>
  <si>
    <t>Botina de segurança c/ ponta e biqueira com sola antiderrapante</t>
  </si>
  <si>
    <t>óculos de proteção</t>
  </si>
  <si>
    <t>protetor auricular</t>
  </si>
  <si>
    <t>avental PVC</t>
  </si>
  <si>
    <t>Luva resistente a corte e esfoliações c/ banho em latex corrugador</t>
  </si>
  <si>
    <t>cinta postural de proteção lombar</t>
  </si>
  <si>
    <t>Luvas de couro do tipo vaqueta ou luvas tricotadas três fios e pigmentada</t>
  </si>
  <si>
    <t>lanterna</t>
  </si>
  <si>
    <t>boné roçador c/ protetor facial</t>
  </si>
  <si>
    <t>protetor facial</t>
  </si>
  <si>
    <t>avental de raspa</t>
  </si>
  <si>
    <t>perneira</t>
  </si>
  <si>
    <t>Bandeirola</t>
  </si>
  <si>
    <t>placas de sinalização</t>
  </si>
  <si>
    <t>extintor de incêndio</t>
  </si>
  <si>
    <t>Cone de Sinalização c/ encaixe de pisca 75cm</t>
  </si>
  <si>
    <t>COMPOSIÇÃO DE CUSTO UNITÁRIOS - RECURSOS HUMANOS</t>
  </si>
  <si>
    <t xml:space="preserve">Dias Úteis </t>
  </si>
  <si>
    <t>Feriado</t>
  </si>
  <si>
    <t>Salário Mínimo</t>
  </si>
  <si>
    <t>Ano 2019</t>
  </si>
  <si>
    <t>mês</t>
  </si>
  <si>
    <t xml:space="preserve">Salário - Coletor de Resíduos </t>
  </si>
  <si>
    <t>Adicional Noturno</t>
  </si>
  <si>
    <t>horas trabalhadas</t>
  </si>
  <si>
    <t>hora contabilizada</t>
  </si>
  <si>
    <t>Horas Extras (100%)</t>
  </si>
  <si>
    <t>hora</t>
  </si>
  <si>
    <t>Horas Extras Noturnas (100%)</t>
  </si>
  <si>
    <t>Horas Extras (50%)</t>
  </si>
  <si>
    <t>Horas Extras Noturnas (50%)</t>
  </si>
  <si>
    <t>Descanso Semanal Remunerado (DSR) - hora extra</t>
  </si>
  <si>
    <t>R$</t>
  </si>
  <si>
    <t>Base de cálculo da Insalubridade</t>
  </si>
  <si>
    <t>Adicional de Insalubridade</t>
  </si>
  <si>
    <t>%</t>
  </si>
  <si>
    <t>Soma</t>
  </si>
  <si>
    <t>Encargos Sociais</t>
  </si>
  <si>
    <t>Complementares</t>
  </si>
  <si>
    <t>mês/func.</t>
  </si>
  <si>
    <t>Vale Transporte</t>
  </si>
  <si>
    <t>Dias Trabalhados por mês</t>
  </si>
  <si>
    <t>dia</t>
  </si>
  <si>
    <t>vale</t>
  </si>
  <si>
    <t>Alimentação (Café da manhã/Almoço)</t>
  </si>
  <si>
    <t>unidade</t>
  </si>
  <si>
    <t>Auxilio Alimentação</t>
  </si>
  <si>
    <t>Calça de Brim</t>
  </si>
  <si>
    <t>Camiseta manga longa com faixa reflexiva</t>
  </si>
  <si>
    <t>Boné de Brim</t>
  </si>
  <si>
    <t>par</t>
  </si>
  <si>
    <t>Capa de chuva amarela com reflexivo</t>
  </si>
  <si>
    <t>Colete reflexivo</t>
  </si>
  <si>
    <t>Luva Tricotada com revestimento Nitrílico</t>
  </si>
  <si>
    <t>Protetor solar FPS 30</t>
  </si>
  <si>
    <t>Salário - Motorista</t>
  </si>
  <si>
    <t>Salário - Servente</t>
  </si>
  <si>
    <t>Botina De Segurança C/ Ponta E Biqueira Com Sola Antiderrapante</t>
  </si>
  <si>
    <t>Óculos de Proteção</t>
  </si>
  <si>
    <t>Boné Roçador C/ Protetor Facial</t>
  </si>
  <si>
    <t>Salário - Vigia</t>
  </si>
  <si>
    <t>adiconal de periculosidade</t>
  </si>
  <si>
    <t>vigia (diurno)</t>
  </si>
  <si>
    <t>vigia (noturno)</t>
  </si>
  <si>
    <t>Mecânico</t>
  </si>
  <si>
    <t>Salário - Mecânico</t>
  </si>
  <si>
    <t>máscara tripla</t>
  </si>
  <si>
    <t>Salário - Sinalizador</t>
  </si>
  <si>
    <t>Salário - Balanceiro</t>
  </si>
  <si>
    <t>Salário - Fiscal de Balança</t>
  </si>
  <si>
    <t>Salário - Operador de Retroescavadeira</t>
  </si>
  <si>
    <t>Operador de Pá Carregadeira</t>
  </si>
  <si>
    <t>Salário - Operador de Pá Carregadeira</t>
  </si>
  <si>
    <t>Salário - Operador de Escavadeira</t>
  </si>
  <si>
    <t>Salário - Operador de Trator de Esteira</t>
  </si>
  <si>
    <t>Copeira</t>
  </si>
  <si>
    <t>Salário - Copeira</t>
  </si>
  <si>
    <t>Salário - Auxiliar Administrativo</t>
  </si>
  <si>
    <t>Engenheiro</t>
  </si>
  <si>
    <t>Salário - Engenheiro</t>
  </si>
  <si>
    <t>Tratorista</t>
  </si>
  <si>
    <t>Salário - Tratorista</t>
  </si>
  <si>
    <t>Salário - Operador do Conjunto de Britador e Peneiras (RCC)</t>
  </si>
  <si>
    <t>Salário - Coletor de Resíduos C e D</t>
  </si>
  <si>
    <t>Salário - Auxiliar de Almoxarifado</t>
  </si>
  <si>
    <t>Salário - Encarregado Administrativo</t>
  </si>
  <si>
    <t>Salário - Varredor</t>
  </si>
  <si>
    <t>Salário - Fiscal de Equipe (Serviço de Varrição)</t>
  </si>
  <si>
    <t>Salário - Coletor/limpeza</t>
  </si>
  <si>
    <t>Salário - Operador de Roçadeiras Laterais</t>
  </si>
  <si>
    <t>Salário - Auxiliar (Serviço de Roçagem)</t>
  </si>
  <si>
    <t>Salário - Funconário de Capina e Raspagem</t>
  </si>
  <si>
    <t>Salário - Auxiliar de Pátio</t>
  </si>
  <si>
    <t>Salário - Montador de Leiras</t>
  </si>
  <si>
    <t>Salário - Rompedor</t>
  </si>
  <si>
    <t>Salário - Triador</t>
  </si>
  <si>
    <t>Salário - Retriador</t>
  </si>
  <si>
    <t>Salário - Deslocador de Material</t>
  </si>
  <si>
    <t>Salário - Auxiliar de Prensa</t>
  </si>
  <si>
    <t>Salário - Triturador de Vidro</t>
  </si>
  <si>
    <t>Salário - Enfardador</t>
  </si>
  <si>
    <t>Saco plastico 100L (unid)</t>
  </si>
  <si>
    <t>Equipamentos</t>
  </si>
  <si>
    <t>unid./servente</t>
  </si>
  <si>
    <t>Carrinho de Mão</t>
  </si>
  <si>
    <t>Enxada</t>
  </si>
  <si>
    <t>unid./funcionário</t>
  </si>
  <si>
    <t>1) VARRIÇÃO MANUAL DE VIAS E LOGRADOUROS PÚBLICOS</t>
  </si>
  <si>
    <t>N° de Fiscais</t>
  </si>
  <si>
    <t>N° de Duplas</t>
  </si>
  <si>
    <t>Reserva Técnica</t>
  </si>
  <si>
    <t>Classificação</t>
  </si>
  <si>
    <t>Baixa</t>
  </si>
  <si>
    <t>Média</t>
  </si>
  <si>
    <t>-</t>
  </si>
  <si>
    <t xml:space="preserve">Tabela 1.2 - Extensão a ser varrida por dia </t>
  </si>
  <si>
    <t>quantidade</t>
  </si>
  <si>
    <t>Pá</t>
  </si>
  <si>
    <t>item</t>
  </si>
  <si>
    <t>vida útil</t>
  </si>
  <si>
    <t>Ferramentas</t>
  </si>
  <si>
    <t>Jaqueta com reflexivo</t>
  </si>
  <si>
    <t xml:space="preserve">Veículo </t>
  </si>
  <si>
    <t>ÁREA</t>
  </si>
  <si>
    <t>SETOR CENTRO</t>
  </si>
  <si>
    <t>Quant. Mês</t>
  </si>
  <si>
    <t xml:space="preserve">Área total </t>
  </si>
  <si>
    <t>Área média por mês</t>
  </si>
  <si>
    <t>Produção</t>
  </si>
  <si>
    <t xml:space="preserve">Produção </t>
  </si>
  <si>
    <t>N° de Serventes</t>
  </si>
  <si>
    <t>Reserva técnica</t>
  </si>
  <si>
    <t>unid./roçadeira</t>
  </si>
  <si>
    <t>unid./trator</t>
  </si>
  <si>
    <t>Numéro de tratorista</t>
  </si>
  <si>
    <t>unid./tratorista</t>
  </si>
  <si>
    <t>pás</t>
  </si>
  <si>
    <t xml:space="preserve">Recipiente para Gasolina com bico 20L </t>
  </si>
  <si>
    <t>parâmetro</t>
  </si>
  <si>
    <t>Quant.mês</t>
  </si>
  <si>
    <t xml:space="preserve">Equipamentos </t>
  </si>
  <si>
    <t>Roçadeira costal</t>
  </si>
  <si>
    <t xml:space="preserve">Jaqueta com reflexivo </t>
  </si>
  <si>
    <t>Pá Concha</t>
  </si>
  <si>
    <t>Mini trator</t>
  </si>
  <si>
    <t>Máscara tripla</t>
  </si>
  <si>
    <t>Protetor auricular</t>
  </si>
  <si>
    <t>unid./funcionário/ano</t>
  </si>
  <si>
    <t>par./funcionário/ano</t>
  </si>
  <si>
    <t>n° de funcionários</t>
  </si>
  <si>
    <t>Utilizou-se o truncar com duas casas decimais</t>
  </si>
  <si>
    <t>enxadão</t>
  </si>
  <si>
    <t>pá</t>
  </si>
  <si>
    <t>Custo mensal com mão-de-obra (R$/mês)</t>
  </si>
  <si>
    <t>custo unitário</t>
  </si>
  <si>
    <t>custo total</t>
  </si>
  <si>
    <t>unid.</t>
  </si>
  <si>
    <t>Custo mensal com ferramentas (R$/mês)</t>
  </si>
  <si>
    <t>calça de brim</t>
  </si>
  <si>
    <t>Recipiente térmico para água (5L)</t>
  </si>
  <si>
    <t xml:space="preserve">vida util </t>
  </si>
  <si>
    <t>idade de utilização</t>
  </si>
  <si>
    <t>depreciação mensal</t>
  </si>
  <si>
    <t>taxa de valor residual</t>
  </si>
  <si>
    <t>valor residual</t>
  </si>
  <si>
    <t>remuneração de capital</t>
  </si>
  <si>
    <t>investimento médio</t>
  </si>
  <si>
    <t>taxa de juros do mercado (a.a)</t>
  </si>
  <si>
    <t>manutenção</t>
  </si>
  <si>
    <t>Custo mensal com EPI's (R$/mês)</t>
  </si>
  <si>
    <t>anos</t>
  </si>
  <si>
    <t>R$/mês</t>
  </si>
  <si>
    <t>STEAC 2019</t>
  </si>
  <si>
    <t>Eq. Auxiliar Operacioal de Campo</t>
  </si>
  <si>
    <t>AGETRAN 2019</t>
  </si>
  <si>
    <t xml:space="preserve">Cotação </t>
  </si>
  <si>
    <t>Motorista D. E</t>
  </si>
  <si>
    <t>Eq. Supervisor Operacional Setorial</t>
  </si>
  <si>
    <t>Eq. Encarregado de Departamento no Setor Administrativo</t>
  </si>
  <si>
    <t>Vigia</t>
  </si>
  <si>
    <t>Eq. Manobrista</t>
  </si>
  <si>
    <t>Eq. Auxiliar Administrativo</t>
  </si>
  <si>
    <t>Eq. Operador de Empilhadeira</t>
  </si>
  <si>
    <t>SICRO</t>
  </si>
  <si>
    <t>Eq. Operador de máquinas pesadas</t>
  </si>
  <si>
    <t>Auxiliar Administrativo (Nvl 1)</t>
  </si>
  <si>
    <t>porteiro</t>
  </si>
  <si>
    <t>Eq. Operador de Fornalha</t>
  </si>
  <si>
    <t>Auxiliar de Almoxarife</t>
  </si>
  <si>
    <t>Eq. Gestor de Rh com Curso Superior</t>
  </si>
  <si>
    <t>Eq. Inspetor de Escola</t>
  </si>
  <si>
    <t>Custo mensal com equipamentos (R$/mês)</t>
  </si>
  <si>
    <t>Carrinho de mão</t>
  </si>
  <si>
    <t>Tela de proteção</t>
  </si>
  <si>
    <t>Recipiente para gasolina com bico (20L)</t>
  </si>
  <si>
    <t>Foice</t>
  </si>
  <si>
    <t>tela de proteção</t>
  </si>
  <si>
    <t>roçadeira costal</t>
  </si>
  <si>
    <t>mini-trator</t>
  </si>
  <si>
    <t xml:space="preserve">Comprimento anual total </t>
  </si>
  <si>
    <t>Comprimento médio por mês</t>
  </si>
  <si>
    <t>m/mês</t>
  </si>
  <si>
    <t>Trincha</t>
  </si>
  <si>
    <t>vassoura</t>
  </si>
  <si>
    <t>Reboque</t>
  </si>
  <si>
    <t>trincha</t>
  </si>
  <si>
    <t>Balde</t>
  </si>
  <si>
    <t xml:space="preserve">Trator </t>
  </si>
  <si>
    <t>N° de bueiros</t>
  </si>
  <si>
    <t>Frequência de execução do serviço</t>
  </si>
  <si>
    <t>Demanda</t>
  </si>
  <si>
    <t>unid./ano</t>
  </si>
  <si>
    <t>vezes/ano</t>
  </si>
  <si>
    <t>N° de Bueristas</t>
  </si>
  <si>
    <t>N° de Tratores</t>
  </si>
  <si>
    <t>Cavadeira</t>
  </si>
  <si>
    <t>Alavancas</t>
  </si>
  <si>
    <t>Faixa zebrada</t>
  </si>
  <si>
    <t>Bobcat</t>
  </si>
  <si>
    <t>caminhão toco</t>
  </si>
  <si>
    <t>especificações</t>
  </si>
  <si>
    <t>caçamba 5m³</t>
  </si>
  <si>
    <t>Caminhão toco</t>
  </si>
  <si>
    <t>Caçamba 5m³</t>
  </si>
  <si>
    <t>Custo mensal com Veículos (R$/mês)</t>
  </si>
  <si>
    <t xml:space="preserve">Volume anual total </t>
  </si>
  <si>
    <t>m³/ano</t>
  </si>
  <si>
    <t>m³/dia.útil.jardineiro</t>
  </si>
  <si>
    <t xml:space="preserve">Volume médio mensal </t>
  </si>
  <si>
    <t>m³/mês</t>
  </si>
  <si>
    <t>N° de jardineiros</t>
  </si>
  <si>
    <t>N° de Jardineiros</t>
  </si>
  <si>
    <t>Motopoda</t>
  </si>
  <si>
    <t>unid./jardineiro</t>
  </si>
  <si>
    <t xml:space="preserve">N° de veículos </t>
  </si>
  <si>
    <t>caminhão munck</t>
  </si>
  <si>
    <t>Motosserra</t>
  </si>
  <si>
    <t>motopoda</t>
  </si>
  <si>
    <t>bobcat</t>
  </si>
  <si>
    <t>motosserra</t>
  </si>
  <si>
    <t>picareta</t>
  </si>
  <si>
    <t>cavadeira</t>
  </si>
  <si>
    <t>Picareta</t>
  </si>
  <si>
    <t>Cavalete tipo CET</t>
  </si>
  <si>
    <t>alavancas</t>
  </si>
  <si>
    <t>faixa zebrada</t>
  </si>
  <si>
    <t>sinalizador visual</t>
  </si>
  <si>
    <t>Cone reflexivo</t>
  </si>
  <si>
    <t>Sinalizador visual</t>
  </si>
  <si>
    <t>Caminhão Munck</t>
  </si>
  <si>
    <t xml:space="preserve">Demanda de área de varrição </t>
  </si>
  <si>
    <t>m²/dia útil</t>
  </si>
  <si>
    <t xml:space="preserve">Número de fiscais </t>
  </si>
  <si>
    <t>sacos plásticos</t>
  </si>
  <si>
    <t>lutocar</t>
  </si>
  <si>
    <t>unid./lutocar.ano</t>
  </si>
  <si>
    <t>unid./funcionário.ano</t>
  </si>
  <si>
    <t>par./funcionário.ano</t>
  </si>
  <si>
    <t>Km/mês</t>
  </si>
  <si>
    <t>Km</t>
  </si>
  <si>
    <t>N° de Motorista</t>
  </si>
  <si>
    <t>par/funcionário.ano</t>
  </si>
  <si>
    <t>n° de bueiros/ano</t>
  </si>
  <si>
    <t>soprador de folhas</t>
  </si>
  <si>
    <t>Soprador de folhas</t>
  </si>
  <si>
    <t>km/ano</t>
  </si>
  <si>
    <t xml:space="preserve">Demanda RCC e Rvol </t>
  </si>
  <si>
    <t>m³/dia.útil</t>
  </si>
  <si>
    <t>Distância total Mensal</t>
  </si>
  <si>
    <t>N° de viagens necessárias</t>
  </si>
  <si>
    <t>m³</t>
  </si>
  <si>
    <t xml:space="preserve">Caminhão caçamba </t>
  </si>
  <si>
    <t>Distância média por viagem</t>
  </si>
  <si>
    <t>Distância anual a ser percorrida</t>
  </si>
  <si>
    <t>unid.trabalhadores</t>
  </si>
  <si>
    <t>N° de Motoristas</t>
  </si>
  <si>
    <t>N° de Operadores</t>
  </si>
  <si>
    <t>N° de Ajudantes</t>
  </si>
  <si>
    <t>Quantidade de caminhões</t>
  </si>
  <si>
    <t>pá carregadeira</t>
  </si>
  <si>
    <t>Pá carregadeira</t>
  </si>
  <si>
    <t>unid./operador</t>
  </si>
  <si>
    <t xml:space="preserve">Caçamba </t>
  </si>
  <si>
    <t>Caminhão truck</t>
  </si>
  <si>
    <t>Motorista</t>
  </si>
  <si>
    <t>Ajudante</t>
  </si>
  <si>
    <t>Custo mensal com veículos (R$/mês)</t>
  </si>
  <si>
    <t>Caminhão Truck</t>
  </si>
  <si>
    <t>Caçamba 10m³</t>
  </si>
  <si>
    <t>caçamba 10m³</t>
  </si>
  <si>
    <t>Buerista</t>
  </si>
  <si>
    <t>Jardineiro</t>
  </si>
  <si>
    <t>Categoria</t>
  </si>
  <si>
    <t>Descrição</t>
  </si>
  <si>
    <t>Modelo</t>
  </si>
  <si>
    <t>Valor de Aquisição</t>
  </si>
  <si>
    <t>Vida Útil</t>
  </si>
  <si>
    <t>Idade de Utilização</t>
  </si>
  <si>
    <t>Taxa de Valor Residual (%)</t>
  </si>
  <si>
    <t>Potência (kWh)</t>
  </si>
  <si>
    <t>HTA</t>
  </si>
  <si>
    <t>Km/Mês</t>
  </si>
  <si>
    <t>Km/Ano</t>
  </si>
  <si>
    <t>Consumo Combustível Médio (L/KM)</t>
  </si>
  <si>
    <t>Coef. De Manutenção</t>
  </si>
  <si>
    <t>N° de Pneus</t>
  </si>
  <si>
    <t>Licenciamento</t>
  </si>
  <si>
    <t>Seguro Obrigatório</t>
  </si>
  <si>
    <t xml:space="preserve">Seguro Contra Terceiros </t>
  </si>
  <si>
    <t>Cotação (R$)</t>
  </si>
  <si>
    <t>FONTE</t>
  </si>
  <si>
    <t>Geladeira</t>
  </si>
  <si>
    <t>Implemento</t>
  </si>
  <si>
    <t>Compactador 19m³</t>
  </si>
  <si>
    <t>Compactador 15m³</t>
  </si>
  <si>
    <t>Carroceria Gaiola</t>
  </si>
  <si>
    <t>Caçamba Basculante</t>
  </si>
  <si>
    <t>Poliguindaste Duplo</t>
  </si>
  <si>
    <t>Carroceria Carga Seca</t>
  </si>
  <si>
    <t>Julieta Roll on Roll Off</t>
  </si>
  <si>
    <t>Insumo</t>
  </si>
  <si>
    <t>Alíquota IPVA - Caminhão</t>
  </si>
  <si>
    <t>IPVA</t>
  </si>
  <si>
    <t>Alíquota IPVA - Motocicletas</t>
  </si>
  <si>
    <t>Alíquota IPVA - Utilitário</t>
  </si>
  <si>
    <t>Câmara nova - Pequeno 3/4</t>
  </si>
  <si>
    <t>Cotação</t>
  </si>
  <si>
    <t>Combustível - Diesel</t>
  </si>
  <si>
    <t xml:space="preserve">ANP </t>
  </si>
  <si>
    <t>Combustível - Etanol</t>
  </si>
  <si>
    <t>Combustível - Gasolina</t>
  </si>
  <si>
    <t>Pneu - Pequeno 3/4</t>
  </si>
  <si>
    <t>Recauchutagem - Pequeno 3/4</t>
  </si>
  <si>
    <t>Taxa de juros do mercado (a.a)</t>
  </si>
  <si>
    <t>Pneu - Médio Toco</t>
  </si>
  <si>
    <t>Pneu - Pesado Truck</t>
  </si>
  <si>
    <t>Protetor novo - Médio Toco</t>
  </si>
  <si>
    <t>Recauchutagem - Médio Toco</t>
  </si>
  <si>
    <t>Câmara nova - Médio Toco</t>
  </si>
  <si>
    <t>Custo unitário do consumo de energia</t>
  </si>
  <si>
    <t>Energisa</t>
  </si>
  <si>
    <t xml:space="preserve">Insumo </t>
  </si>
  <si>
    <t>Protetor novo - Pequeno 3/4</t>
  </si>
  <si>
    <t>Maquinário</t>
  </si>
  <si>
    <t>Trator de Esteira</t>
  </si>
  <si>
    <t>Escavaderia Hidráulica</t>
  </si>
  <si>
    <t>Retroescavadeira</t>
  </si>
  <si>
    <t>Trator Agrícola</t>
  </si>
  <si>
    <t>Veículo</t>
  </si>
  <si>
    <t>Caminhão Pequeno 3/4</t>
  </si>
  <si>
    <t>Utilitário</t>
  </si>
  <si>
    <t>Picape</t>
  </si>
  <si>
    <t>Caminhão Médio Toco</t>
  </si>
  <si>
    <t>COMPOSIÇÃO DE CUSTO UNITÁRIOS - VEÍCULOS, MÁQUINAS E EQUIPAMENTOS</t>
  </si>
  <si>
    <t>Valor de aquisição</t>
  </si>
  <si>
    <t>Vida útil</t>
  </si>
  <si>
    <t>Idade de utilização</t>
  </si>
  <si>
    <t>HTA (Horas Trabalhadas por Ano)</t>
  </si>
  <si>
    <t>h/ano</t>
  </si>
  <si>
    <t>Quilometragem por mês</t>
  </si>
  <si>
    <t>Consumo de combustivél médio</t>
  </si>
  <si>
    <t>L/Km</t>
  </si>
  <si>
    <t>Potência</t>
  </si>
  <si>
    <t>kW</t>
  </si>
  <si>
    <t xml:space="preserve">Valor de aquisição </t>
  </si>
  <si>
    <t>Taxa de valor residual</t>
  </si>
  <si>
    <t>Valor residual</t>
  </si>
  <si>
    <t>Depreciação</t>
  </si>
  <si>
    <t>Depreciação Mensal (Implemento)</t>
  </si>
  <si>
    <t>R$/Mês</t>
  </si>
  <si>
    <t>Investimento médio</t>
  </si>
  <si>
    <t>Remuneração de Capital (Implemento)</t>
  </si>
  <si>
    <t>Depreciação mensal</t>
  </si>
  <si>
    <t>Remuneração de capital</t>
  </si>
  <si>
    <t xml:space="preserve">IPVA </t>
  </si>
  <si>
    <t xml:space="preserve">Licenciamento </t>
  </si>
  <si>
    <t>Seguro obrigatório</t>
  </si>
  <si>
    <t>Seguro contra terceiros</t>
  </si>
  <si>
    <t>Custo com Impostos e Seguros</t>
  </si>
  <si>
    <t>Custo com combustível por Km</t>
  </si>
  <si>
    <t>R$/Km</t>
  </si>
  <si>
    <t>Custo com combustível por mês</t>
  </si>
  <si>
    <t>Custo com óleos, filtros e lubrificantes</t>
  </si>
  <si>
    <t>N° total de pneus do véiculo</t>
  </si>
  <si>
    <t>unid</t>
  </si>
  <si>
    <t>N° total de pneus do implemento</t>
  </si>
  <si>
    <t xml:space="preserve">Vida útil do pneu novo </t>
  </si>
  <si>
    <t>km</t>
  </si>
  <si>
    <t>Vida útil do pneu novo c/ recauchutagem</t>
  </si>
  <si>
    <t>Coef. de perdas da carcaças antes da recauchutagem</t>
  </si>
  <si>
    <t xml:space="preserve">Preço do pneus + recauchutagem p/ Km </t>
  </si>
  <si>
    <t>Quilometragem rodada no mês</t>
  </si>
  <si>
    <t>Coef. de manutenção</t>
  </si>
  <si>
    <t>Custo de Manutenção</t>
  </si>
  <si>
    <t>Remuneração mensal de capital</t>
  </si>
  <si>
    <t>Impostos e seguros</t>
  </si>
  <si>
    <t>Custo de operação</t>
  </si>
  <si>
    <t>Pneus e recauchutagem</t>
  </si>
  <si>
    <t>Manutenção</t>
  </si>
  <si>
    <t>Custo mensal (R$/mês)</t>
  </si>
  <si>
    <t>Quantidade de veículos</t>
  </si>
  <si>
    <t>m/m</t>
  </si>
  <si>
    <t>largura para caiação</t>
  </si>
  <si>
    <t>Vale</t>
  </si>
  <si>
    <t>Salário</t>
  </si>
  <si>
    <t>categoria</t>
  </si>
  <si>
    <t>descrição</t>
  </si>
  <si>
    <t>valor</t>
  </si>
  <si>
    <t>fonte</t>
  </si>
  <si>
    <t>Custo total mensal (R$/mês)</t>
  </si>
  <si>
    <t xml:space="preserve">Salário mínimo nacional </t>
  </si>
  <si>
    <t>Salário - Ajudante</t>
  </si>
  <si>
    <t>Salário - Jardineiro</t>
  </si>
  <si>
    <t>Salário - Buerista</t>
  </si>
  <si>
    <t xml:space="preserve">Alimentação </t>
  </si>
  <si>
    <t>Vale transporte</t>
  </si>
  <si>
    <t>Salário total</t>
  </si>
  <si>
    <t>Aréa de caiação por mês</t>
  </si>
  <si>
    <t>m²/mês</t>
  </si>
  <si>
    <t>unid./motorista</t>
  </si>
  <si>
    <t>unid./caminhão</t>
  </si>
  <si>
    <t>Fiscal</t>
  </si>
  <si>
    <t>Salário - Fiscal</t>
  </si>
  <si>
    <t>Salário - Encarregado</t>
  </si>
  <si>
    <t>outros</t>
  </si>
  <si>
    <t>Servente</t>
  </si>
  <si>
    <t xml:space="preserve">Salário - Pintor </t>
  </si>
  <si>
    <t>CUSTO TOTAL COM O SERVIÇO</t>
  </si>
  <si>
    <t>TOTAL (R$/mês)</t>
  </si>
  <si>
    <t>k=</t>
  </si>
  <si>
    <t xml:space="preserve">Vida Util </t>
  </si>
  <si>
    <t>Depreciação Mensal</t>
  </si>
  <si>
    <t>Taxa De Valor Residual</t>
  </si>
  <si>
    <t>Valor Residual</t>
  </si>
  <si>
    <t>Remuneração De Capital</t>
  </si>
  <si>
    <t>Taxa De Juros Do Mercado (A.A)</t>
  </si>
  <si>
    <t>Investimento Médio</t>
  </si>
  <si>
    <t>Valor de Inicial do Bem</t>
  </si>
  <si>
    <t>Insalubridade</t>
  </si>
  <si>
    <t>N° de Ajudante</t>
  </si>
  <si>
    <t>Salário - Ajudante de Buerista</t>
  </si>
  <si>
    <t>Ajudante de Buerista</t>
  </si>
  <si>
    <t>Calça de brim</t>
  </si>
  <si>
    <t>Luva Tricotada com revestimento nitrílico</t>
  </si>
  <si>
    <t>Botina De segurança c/ ponta E biqueira com sola antiderrapante</t>
  </si>
  <si>
    <t xml:space="preserve">Área anual total </t>
  </si>
  <si>
    <t>Dias úteis p/ mês</t>
  </si>
  <si>
    <t>Pneu médio toco</t>
  </si>
  <si>
    <t>VEÍCULOS</t>
  </si>
  <si>
    <t>FERRAMENTAS</t>
  </si>
  <si>
    <t>EPI'S</t>
  </si>
  <si>
    <t>EQUIPAMENTOS</t>
  </si>
  <si>
    <t>OUTROS</t>
  </si>
  <si>
    <t>CATEGORIA</t>
  </si>
  <si>
    <t>câmara de ar - Toco</t>
  </si>
  <si>
    <t>Item</t>
  </si>
  <si>
    <t>Parâmetro</t>
  </si>
  <si>
    <t xml:space="preserve">Item </t>
  </si>
  <si>
    <t>m/dia</t>
  </si>
  <si>
    <t>Parâmetros</t>
  </si>
  <si>
    <t>Referência estudo TCE</t>
  </si>
  <si>
    <t>1° Quartil</t>
  </si>
  <si>
    <t>Médio</t>
  </si>
  <si>
    <t>3° Quartil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</si>
  <si>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</si>
  <si>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</si>
  <si>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</si>
  <si>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</si>
  <si>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</si>
  <si>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</si>
  <si>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</si>
  <si>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</si>
  <si>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i</t>
  </si>
  <si>
    <t>Tributos - ISS*</t>
  </si>
  <si>
    <t>T</t>
  </si>
  <si>
    <t>DU</t>
  </si>
  <si>
    <t>Fórmula para o cálculo do BDI:</t>
  </si>
  <si>
    <t>{[(1+AC+SRG) x (1+L) x (1+DF)] / (1-T)} -1</t>
  </si>
  <si>
    <t>Resultado do cálculo do BDI:</t>
  </si>
  <si>
    <t>Custo total com o serviço (R$/mês)</t>
  </si>
  <si>
    <t>Total geral mensal (R$/mês)</t>
  </si>
  <si>
    <t>Benefícios e despesas indiretas (BDI)</t>
  </si>
  <si>
    <t>Total mensal por metro (R$/m)</t>
  </si>
  <si>
    <t>unid./ano.equipe (buerista e ajudante)</t>
  </si>
  <si>
    <t>N° de Equipes</t>
  </si>
  <si>
    <t>Total mensal por Volume (R$/m³)</t>
  </si>
  <si>
    <t>Volume mensal (m³/mês)</t>
  </si>
  <si>
    <t>Metros quadradros a serem varridos por mês (m²/mês)</t>
  </si>
  <si>
    <t>Total mensal por metro quadrador (R$/m²)</t>
  </si>
  <si>
    <t>demanda média por mês</t>
  </si>
  <si>
    <t>n° de bueiros/mês</t>
  </si>
  <si>
    <t>Total mensal de n° de bueiros (R$/N°de bueiros)</t>
  </si>
  <si>
    <t>Demanda RCC e Rvol por mês</t>
  </si>
  <si>
    <t>Hectares a ser roçados mensalmente (m³/mês)</t>
  </si>
  <si>
    <t>Total mensal por Hectare (R$/m³)</t>
  </si>
  <si>
    <t>3.1) Demanda</t>
  </si>
  <si>
    <t>3.1.1) Equipe</t>
  </si>
  <si>
    <t xml:space="preserve">3.1.2) Ferramentas, equipamentos e EPI's </t>
  </si>
  <si>
    <t>3.2) CUSTO UNITÁRIO</t>
  </si>
  <si>
    <t>3.2.1) Mão-de-obra</t>
  </si>
  <si>
    <t>3.2.2) Ferramentas</t>
  </si>
  <si>
    <t>3.2.3) Equipamentos</t>
  </si>
  <si>
    <t>3.2.4) EPI's</t>
  </si>
  <si>
    <t>3.3) CUSTO TOTAL COM O SERVIÇO</t>
  </si>
  <si>
    <t>4.1) Demanda</t>
  </si>
  <si>
    <t>4.1.1) Equipe</t>
  </si>
  <si>
    <t xml:space="preserve">4.1.2) Ferramentas, equipamentos e EPI's </t>
  </si>
  <si>
    <t>4.2) CUSTO UNITÁRIO</t>
  </si>
  <si>
    <t>4.2.1) Mão-de-obra</t>
  </si>
  <si>
    <t>4.2.2) Ferramentas</t>
  </si>
  <si>
    <t>4.2.4) EPI's</t>
  </si>
  <si>
    <t>4.3) CUSTO TOTAL COM O SERVIÇO</t>
  </si>
  <si>
    <t>6) LIMPEZA E DESOBSTRUÇÃO DOS DISPOSITIVOS DE DRENAGEM</t>
  </si>
  <si>
    <t>6.1) Demanda</t>
  </si>
  <si>
    <t>6.1.1) Equipe</t>
  </si>
  <si>
    <t xml:space="preserve">6.1.2) Ferramentas, equipamentos e EPI's </t>
  </si>
  <si>
    <t>6.2) CUSTO UNITÁRIO</t>
  </si>
  <si>
    <t>6.2.1) Mão-de-obra</t>
  </si>
  <si>
    <t>6.2.1.1) Buerista</t>
  </si>
  <si>
    <t>6.2.1.2) Ajudante de Buerista</t>
  </si>
  <si>
    <t>6.2.1.3) Fiscal</t>
  </si>
  <si>
    <t>6.2.1.4) Motorista</t>
  </si>
  <si>
    <t>6.2.2) Ferramentas</t>
  </si>
  <si>
    <t>6.2.3) Equipamentos</t>
  </si>
  <si>
    <t>6.2.3.1) Bobcat</t>
  </si>
  <si>
    <t>6.2.3.2) Soprador de Bolhas</t>
  </si>
  <si>
    <t>6.2.4) EPI's</t>
  </si>
  <si>
    <t>6.2.5) Veículos</t>
  </si>
  <si>
    <t>6.2.5.1) Caminhão toco c/ caçamba de 5m³</t>
  </si>
  <si>
    <t>6.3) CUSTO TOTAL COM O SERVIÇO</t>
  </si>
  <si>
    <t xml:space="preserve">6.4) PREÇO </t>
  </si>
  <si>
    <t>6.5) CUSTO DO SERVIÇO</t>
  </si>
  <si>
    <t>7) PODA</t>
  </si>
  <si>
    <t>7.1) Demanda</t>
  </si>
  <si>
    <t>7.2) CUSTO UNITÁRIO</t>
  </si>
  <si>
    <t>7.1.2) Equipe</t>
  </si>
  <si>
    <t xml:space="preserve">7.1.3) Ferramentas, equipamentos e EPI's </t>
  </si>
  <si>
    <t>7.2.1) Mão-de-obra</t>
  </si>
  <si>
    <t>7.2.1.1) Jardineiro</t>
  </si>
  <si>
    <t>7.2.1.2) Servente</t>
  </si>
  <si>
    <t>7.2.1.3) Fiscal</t>
  </si>
  <si>
    <t>7.2.1.4) Motorista</t>
  </si>
  <si>
    <t>7.2.2) Ferramentas</t>
  </si>
  <si>
    <t>7.2.3) Equipamentos</t>
  </si>
  <si>
    <t>7.2.3.1) Motosserra</t>
  </si>
  <si>
    <t>7.2.3.2) Motopoda</t>
  </si>
  <si>
    <t>7.2.4) EPI's</t>
  </si>
  <si>
    <t>7.2.5) Veículos</t>
  </si>
  <si>
    <t>7.2.5.1) Caminhão Munck</t>
  </si>
  <si>
    <t>7.3) CUSTO TOTAL COM O SERVIÇO</t>
  </si>
  <si>
    <t xml:space="preserve">7.4) PREÇO </t>
  </si>
  <si>
    <t>7.5) CUSTO DO SERVIÇO</t>
  </si>
  <si>
    <t>8) LIMPEZA CORRETIRA DE RCC E RVOL</t>
  </si>
  <si>
    <t>8.1) Demanda</t>
  </si>
  <si>
    <t>8.1.1) Equipe</t>
  </si>
  <si>
    <t xml:space="preserve">8.1.1) Ferramentas, equipamentos e EPI's </t>
  </si>
  <si>
    <t>8.2) CUSTO UNITÁRIO</t>
  </si>
  <si>
    <t>8.2.1) Mão-de-obra</t>
  </si>
  <si>
    <t>8.2.1.1) Motorista</t>
  </si>
  <si>
    <t>8.2.1.2) Operador</t>
  </si>
  <si>
    <t>8.2.1.3) Ajudante</t>
  </si>
  <si>
    <t>8.2.1.4) Fiscal</t>
  </si>
  <si>
    <t>8.2.2) Ferramentas</t>
  </si>
  <si>
    <t>8.2.3) Equipamentos</t>
  </si>
  <si>
    <t>8.2.4) EPI's</t>
  </si>
  <si>
    <t>8.2.5) Veículos</t>
  </si>
  <si>
    <t>8.2.5.1) Caminhão Truck c/ caçamba de 10m³</t>
  </si>
  <si>
    <t>8.3) CUSTO TOTAL COM O SERVIÇO</t>
  </si>
  <si>
    <t xml:space="preserve">8.4) PREÇO </t>
  </si>
  <si>
    <t>8.5) CUSTO DO SERVIÇO</t>
  </si>
  <si>
    <t>QUANTIDADE</t>
  </si>
  <si>
    <t>UNIDADE</t>
  </si>
  <si>
    <t>PREÇO UNITÁRIO</t>
  </si>
  <si>
    <t>PREÇO MENSAL</t>
  </si>
  <si>
    <t>PREÇO ANUAL (12 MESES)</t>
  </si>
  <si>
    <t>km/mês</t>
  </si>
  <si>
    <t>ha.</t>
  </si>
  <si>
    <t>metros a ser pintados mensalmente (m/mês)</t>
  </si>
  <si>
    <t>SÍNTESE</t>
  </si>
  <si>
    <t>N° de bueiros por mês (N° de bueiros/mês)</t>
  </si>
  <si>
    <t>Composição do BDI - Benefícios e Despesas Indiretas</t>
  </si>
  <si>
    <t>1.1.1)  Equipe</t>
  </si>
  <si>
    <t xml:space="preserve">1.1.2) Ferramentas, equipamentos e EPI's </t>
  </si>
  <si>
    <t>1.2) CUSTO UNITÁRIO</t>
  </si>
  <si>
    <t>1.2.1) Mão-de-obra</t>
  </si>
  <si>
    <t>1.2.2) Ferramentas</t>
  </si>
  <si>
    <t>1.2.3) Equipamentos</t>
  </si>
  <si>
    <t>1.2.4) EPI's</t>
  </si>
  <si>
    <t>1.3) CUSTO TOTAL COM O SERVIÇO</t>
  </si>
  <si>
    <t>Demanda de coleta dos resíduos</t>
  </si>
  <si>
    <t>kg/m³</t>
  </si>
  <si>
    <t>Horas trabalhadas por dia</t>
  </si>
  <si>
    <t>N° de Secretários</t>
  </si>
  <si>
    <t>Cone de sinalização</t>
  </si>
  <si>
    <t>unid./veículo.ano</t>
  </si>
  <si>
    <t>Auxiliar Administrativo</t>
  </si>
  <si>
    <t>t/ano</t>
  </si>
  <si>
    <t>Aluguel de Escritório</t>
  </si>
  <si>
    <t>Aluguel de material de Escritório</t>
  </si>
  <si>
    <t>Mês</t>
  </si>
  <si>
    <t>Custo mensal com demais itens administrativos (R$/mês)</t>
  </si>
  <si>
    <t>Remuneração de Capital</t>
  </si>
  <si>
    <t>Seguros e impostos</t>
  </si>
  <si>
    <t>Operação</t>
  </si>
  <si>
    <t>R$/h</t>
  </si>
  <si>
    <t>R$/h.produtiva</t>
  </si>
  <si>
    <t>Ônibus com capacidade para 80 lugares - 175 kW (Referencial DNIT - E9560)</t>
  </si>
  <si>
    <t>Produtividade dos veículos</t>
  </si>
  <si>
    <t>Produtivo</t>
  </si>
  <si>
    <t>Improdutivo</t>
  </si>
  <si>
    <t>Ônibus (adotado)</t>
  </si>
  <si>
    <t>Vans (adotado)</t>
  </si>
  <si>
    <t>Motos (CAERN)</t>
  </si>
  <si>
    <t>Utilizou-se o truncar com duas casas decimais. Adotou-se 30% de hora produtiva do veículo.</t>
  </si>
  <si>
    <t>Van furgão - 93 kW (Referencial DNIT - E9125)</t>
  </si>
  <si>
    <t>N° de veículos coletores</t>
  </si>
  <si>
    <t>N° de veículos para deslocamento das equipes (ônibus)</t>
  </si>
  <si>
    <t>N° de veículos para deslocamento das equipes (Vans)</t>
  </si>
  <si>
    <t>SOMA DO NÚMERO DE FISCAIS (ENCARREGADOS DE SERVIÇOS)</t>
  </si>
  <si>
    <t>Nº de Supervisores</t>
  </si>
  <si>
    <t>N° de veículos para deslocamento dos Supervisores gerais (moto)</t>
  </si>
  <si>
    <t>N° de Motorista de coleta</t>
  </si>
  <si>
    <t>Material de operação Moto CG 125 (Referencial CAERN - I8972)</t>
  </si>
  <si>
    <t>Moto (CAERN)</t>
  </si>
  <si>
    <t>I8972 MATERIAL DE OPERAÇÃO MOTO CG 125</t>
  </si>
  <si>
    <t>Custo anual</t>
  </si>
  <si>
    <t>R$/unid.</t>
  </si>
  <si>
    <t>Gasolina comum</t>
  </si>
  <si>
    <t>L/h</t>
  </si>
  <si>
    <t>und./h</t>
  </si>
  <si>
    <t>Graxa Lubrificante</t>
  </si>
  <si>
    <t>kg/h</t>
  </si>
  <si>
    <t>Pneu</t>
  </si>
  <si>
    <t>VALOR combustível - gasolina comum</t>
  </si>
  <si>
    <t>R$/L</t>
  </si>
  <si>
    <t>VALOR graxa lubrificante</t>
  </si>
  <si>
    <t>R$/kg</t>
  </si>
  <si>
    <t>PNEU PIRELLI SEM CÂMARA DE AR - TITAN 125/150/YBR/FACTOR</t>
  </si>
  <si>
    <t>VALORES UNITÁRIOS</t>
  </si>
  <si>
    <t>Cotação Média de Ponta Porã  ANP 02/02/2020 a 08/02/2020</t>
  </si>
  <si>
    <t>Utilizou-se o truncar com duas casas decimais. Adotou-se 28% de hora produtiva do veículo. Cotação do combustível ANP 02/02/2020 a 08/02/2020</t>
  </si>
  <si>
    <t>Implementos</t>
  </si>
  <si>
    <t>Ônibus</t>
  </si>
  <si>
    <t>Vans</t>
  </si>
  <si>
    <t>Motos</t>
  </si>
  <si>
    <t>unid./administrativo</t>
  </si>
  <si>
    <t>unid./encarregado</t>
  </si>
  <si>
    <t>unid./colaboradores</t>
  </si>
  <si>
    <t>Total de colaboradores nos serviços</t>
  </si>
  <si>
    <t>Nº de Técnico em Segurança do Trabalho</t>
  </si>
  <si>
    <t>Nº de empregados no estabelecimento</t>
  </si>
  <si>
    <t>a</t>
  </si>
  <si>
    <t>Acima de 5.000 para cada grupo de 4.000 ou fração acima de 2.000**</t>
  </si>
  <si>
    <t>Técnicos</t>
  </si>
  <si>
    <t>Técnico Seg. Trabalho</t>
  </si>
  <si>
    <t>Engenheiro Seg. Trabalho</t>
  </si>
  <si>
    <t>1*</t>
  </si>
  <si>
    <t>Aux. Enfermagem Trabalho</t>
  </si>
  <si>
    <t>Enfermeiro do Trabalho</t>
  </si>
  <si>
    <t>Médico do Trabalho</t>
  </si>
  <si>
    <t>NR4, quadro II, Grau 3 de risco, mais de 101 funcionários</t>
  </si>
  <si>
    <t>Total de funcionários diretos nos serviços (colaboradores)</t>
  </si>
  <si>
    <t>* Os custos desse serviço são rateados nos demais serviços, conforme sua demanda de colaboradores</t>
  </si>
  <si>
    <t>kg/km</t>
  </si>
  <si>
    <t>Geração média de resíduos</t>
  </si>
  <si>
    <t>Geração média de resíduos (t/ano) =</t>
  </si>
  <si>
    <t>Densidade do grama solta (kg/m³)</t>
  </si>
  <si>
    <t>Volume (m³/m².ano)</t>
  </si>
  <si>
    <t>Massa de resíduos grama (kg/m²)</t>
  </si>
  <si>
    <t>Área total atendida (ha.)</t>
  </si>
  <si>
    <t>Produção por dia útil</t>
  </si>
  <si>
    <t>CAPINA E RASPAGEM</t>
  </si>
  <si>
    <t>Faixa de varrição</t>
  </si>
  <si>
    <t>Salário - Técnico de segurança do trabalho</t>
  </si>
  <si>
    <t>SINAPI 12/19</t>
  </si>
  <si>
    <t>Eq. Auxiliar Operacional de Campo</t>
  </si>
  <si>
    <t>00040940 - ENGENHEIRO SANITARISTA (MENSALISTA)</t>
  </si>
  <si>
    <t>00040944 - TECNICO EM SEGURANCA DO TRABALHO (MENSALISTA)</t>
  </si>
  <si>
    <t>Técnico de segurança do trabalho</t>
  </si>
  <si>
    <t>Salário - Encarregado geral noturno</t>
  </si>
  <si>
    <t>Salário - Secretário</t>
  </si>
  <si>
    <t>Salário - Chefe de escritório</t>
  </si>
  <si>
    <t>1.2.1.1) Agente de limpeza pública e serviços gerais</t>
  </si>
  <si>
    <t>Agente de limpeza pública e serviços gerais</t>
  </si>
  <si>
    <t>Salário - Agente de limpeza pública e serviços gerais</t>
  </si>
  <si>
    <t>Salário - Encarregado de equipe</t>
  </si>
  <si>
    <t>1.2.1.2) Encarregado de equipe</t>
  </si>
  <si>
    <t>Encarregado de equipe</t>
  </si>
  <si>
    <t>4.2.1.2) Encarregado de equipe</t>
  </si>
  <si>
    <t>4.2.1.1) Agente de limpeza pública e serviços gerais</t>
  </si>
  <si>
    <t xml:space="preserve">varredor </t>
  </si>
  <si>
    <t>pintor</t>
  </si>
  <si>
    <t>servente</t>
  </si>
  <si>
    <t>op. De roçaderias</t>
  </si>
  <si>
    <t>Valor adotador para o cargo: Agente de limpeza pública</t>
  </si>
  <si>
    <t>N° de Encarregados de equipe</t>
  </si>
  <si>
    <t>N° de Encarregado de equipe</t>
  </si>
  <si>
    <t>N° de Agente de limpeza pública e serviços sociais</t>
  </si>
  <si>
    <t>N° de Roçadeiras costais</t>
  </si>
  <si>
    <t>unid./roçadeira costal</t>
  </si>
  <si>
    <t>Número de encarregados de equipe</t>
  </si>
  <si>
    <t>Número de encarregados de equipe por dupla</t>
  </si>
  <si>
    <t>Número de encarregado de equipe</t>
  </si>
  <si>
    <t>N° de Agentes de limpeza pública e serviços gerais</t>
  </si>
  <si>
    <t>unid./agente.ano</t>
  </si>
  <si>
    <t>unid./agente</t>
  </si>
  <si>
    <t>unid./agente.dia</t>
  </si>
  <si>
    <t>Rendimento médio do agente de limpeza pública</t>
  </si>
  <si>
    <t>Rendimento baixo do agente de limpeza pública</t>
  </si>
  <si>
    <t>Número de agentes de limpeza pública</t>
  </si>
  <si>
    <t>m/dia.agente</t>
  </si>
  <si>
    <t>N° de Agentes de limpeza pública</t>
  </si>
  <si>
    <t>m²/dia.útil.agente</t>
  </si>
  <si>
    <t>N° de Agentes</t>
  </si>
  <si>
    <t>Tabela 1.3 - Dimensionamento do n° de Agentes por dia</t>
  </si>
  <si>
    <t>EPC'S</t>
  </si>
  <si>
    <t>EPC's</t>
  </si>
  <si>
    <t>Geração média de resíduos por quilômetros</t>
  </si>
  <si>
    <t>Vida útil (meses)</t>
  </si>
  <si>
    <t>Unidade</t>
  </si>
  <si>
    <t>Quantidade mensal</t>
  </si>
  <si>
    <t>Custo unitário</t>
  </si>
  <si>
    <t>Custo total mensal</t>
  </si>
  <si>
    <t>Custo total</t>
  </si>
  <si>
    <t>1.2.5) EPC's</t>
  </si>
  <si>
    <t>unid./roçadeira/ano</t>
  </si>
  <si>
    <t>unid./agente/ano</t>
  </si>
  <si>
    <t>cone de sinalização</t>
  </si>
  <si>
    <t>cavalete de sinalização</t>
  </si>
  <si>
    <t>Custo mensal com EPC's (R$/mês)</t>
  </si>
  <si>
    <t>Extensão de varrição mensal (km/mês)</t>
  </si>
  <si>
    <t>Total mensal por quilômetro (R$/km)</t>
  </si>
  <si>
    <t>1.1) Demanda</t>
  </si>
  <si>
    <t>m²</t>
  </si>
  <si>
    <t>m²/d. roçadeira</t>
  </si>
  <si>
    <t>N° total de funcionários</t>
  </si>
  <si>
    <t>Cavalete de sinalização</t>
  </si>
  <si>
    <t>Geração média de resíduos (t/ano)</t>
  </si>
  <si>
    <t>m³/m².ano</t>
  </si>
  <si>
    <t>kg/m²</t>
  </si>
  <si>
    <t>Densidade do grama solta</t>
  </si>
  <si>
    <t>Volume</t>
  </si>
  <si>
    <t xml:space="preserve">Massa de resíduos grama </t>
  </si>
  <si>
    <t xml:space="preserve">Área total atendida </t>
  </si>
  <si>
    <t>N° de funcionários</t>
  </si>
  <si>
    <t>m²/h. trator</t>
  </si>
  <si>
    <t>3.2.5) EPC's</t>
  </si>
  <si>
    <t>Média de densidade para capina</t>
  </si>
  <si>
    <t xml:space="preserve">Volume </t>
  </si>
  <si>
    <t>Área total atendida</t>
  </si>
  <si>
    <t>m²/ano</t>
  </si>
  <si>
    <t>m²/dia.agente</t>
  </si>
  <si>
    <t>4.2.5) EPC's</t>
  </si>
  <si>
    <t>Total mensal por área capinada/raspada (R$/m²)</t>
  </si>
  <si>
    <t>Número de agentes de limpeza pública e serviços sociais</t>
  </si>
  <si>
    <t>m/dia (sarjeta)</t>
  </si>
  <si>
    <t>*Fonte: IBRAOP - PROC - IBR -RSU 012/2018</t>
  </si>
  <si>
    <t>tinta (saco - 8kg)</t>
  </si>
  <si>
    <t>*Fonte: Paramétrica</t>
  </si>
  <si>
    <t>TOTAL (VIAS)</t>
  </si>
  <si>
    <r>
      <t xml:space="preserve"> Extensão média de vias a serem varridas (m/dia) (</t>
    </r>
    <r>
      <rPr>
        <i/>
        <sz val="11"/>
        <rFont val="Calibri"/>
        <family val="2"/>
        <scheme val="minor"/>
      </rPr>
      <t>d</t>
    </r>
    <r>
      <rPr>
        <sz val="11"/>
        <rFont val="Calibri"/>
        <family val="2"/>
        <scheme val="minor"/>
      </rPr>
      <t>) =</t>
    </r>
  </si>
  <si>
    <t>N° de motorista</t>
  </si>
  <si>
    <t>Total mensal por funcionário (R$/funcionário)</t>
  </si>
  <si>
    <t>entre os demais serviços.</t>
  </si>
  <si>
    <r>
      <rPr>
        <b/>
        <sz val="11"/>
        <color theme="1"/>
        <rFont val="Calibri"/>
        <family val="2"/>
        <scheme val="minor"/>
      </rPr>
      <t>Nota</t>
    </r>
    <r>
      <rPr>
        <sz val="11"/>
        <color theme="1"/>
        <rFont val="Calibri"/>
        <family val="2"/>
        <scheme val="minor"/>
      </rPr>
      <t>: Nesta planilha não foi inserido o valor do BDI para calcúlo do custo mensal, pois este serviço está rateado</t>
    </r>
  </si>
  <si>
    <t>Custo mensal com administração local (R$/mês)</t>
  </si>
  <si>
    <t>1.4) CUSTO TOTAL COM RATEIO</t>
  </si>
  <si>
    <t>Custo mensal do serviço (R$/mês)</t>
  </si>
  <si>
    <t xml:space="preserve">1.5) PREÇO </t>
  </si>
  <si>
    <t>1.6) CUSTO DO SERVIÇO</t>
  </si>
  <si>
    <t>3.4) CUSTO TOTAL COM RATEIO</t>
  </si>
  <si>
    <t xml:space="preserve">3.5) PREÇO </t>
  </si>
  <si>
    <t>3.6) CUSTO DO SERVIÇO</t>
  </si>
  <si>
    <t>4.4) CUSTO TOTAL COM RATEIO</t>
  </si>
  <si>
    <t xml:space="preserve">4.5) PREÇO </t>
  </si>
  <si>
    <t>4.6) CUSTO DO SERVIÇO</t>
  </si>
  <si>
    <t>*Fonte:</t>
  </si>
  <si>
    <t>*Fonte: NBR 15.292</t>
  </si>
  <si>
    <t xml:space="preserve">*Fonte: </t>
  </si>
  <si>
    <r>
      <rPr>
        <sz val="11"/>
        <color rgb="FFFF0000"/>
        <rFont val="Calibri"/>
        <family val="2"/>
        <scheme val="minor"/>
      </rPr>
      <t>Obs</t>
    </r>
    <r>
      <rPr>
        <sz val="11"/>
        <rFont val="Calibri"/>
        <family val="2"/>
        <scheme val="minor"/>
      </rPr>
      <t>: ele cita luva de raspa</t>
    </r>
  </si>
  <si>
    <t>*Fonte: PMI -  Três lagoas</t>
  </si>
  <si>
    <r>
      <rPr>
        <sz val="11"/>
        <color rgb="FFFF0000"/>
        <rFont val="Calibri"/>
        <family val="2"/>
        <scheme val="minor"/>
      </rPr>
      <t>Obs</t>
    </r>
    <r>
      <rPr>
        <sz val="11"/>
        <color theme="1"/>
        <rFont val="Calibri"/>
        <family val="2"/>
        <scheme val="minor"/>
      </rPr>
      <t>: 1  roçador e 1 servente</t>
    </r>
  </si>
  <si>
    <t>unid./roçador</t>
  </si>
  <si>
    <t>*Fonte: Conferir com o Furlan</t>
  </si>
  <si>
    <t>REFERÊNCIAS</t>
  </si>
  <si>
    <t>Fonte: IBRAOP - IBR - RSU 004/2017</t>
  </si>
  <si>
    <t>Fonte: Sicro - Vol. 1 - Manual de custos de infraestrutura de transportes</t>
  </si>
  <si>
    <t>Fonte: Taxa Selic</t>
  </si>
  <si>
    <t>Fonte: Paramétrica</t>
  </si>
  <si>
    <t>Coef. De manutenção - Fonte: Paramétrica</t>
  </si>
  <si>
    <t>Fonte:</t>
  </si>
  <si>
    <t xml:space="preserve">Tabela 1.1 - Extensão de vias por dia da semana </t>
  </si>
  <si>
    <r>
      <rPr>
        <sz val="11"/>
        <color rgb="FFFF0000"/>
        <rFont val="Calibri"/>
        <family val="2"/>
        <scheme val="minor"/>
      </rPr>
      <t>OBS</t>
    </r>
    <r>
      <rPr>
        <sz val="11"/>
        <rFont val="Calibri"/>
        <family val="2"/>
        <scheme val="minor"/>
      </rPr>
      <t>: O PMI- Três lagoas é apenas para serviço de varrição manual, devo considerar para outros serviços</t>
    </r>
  </si>
  <si>
    <t>Coef de manutenção - Fonte: Paramétrica</t>
  </si>
  <si>
    <t>ha</t>
  </si>
  <si>
    <t>unid./m²</t>
  </si>
  <si>
    <t xml:space="preserve">Fonte: </t>
  </si>
  <si>
    <t>*Fonte: PMI - TL</t>
  </si>
  <si>
    <t>Kg/m³</t>
  </si>
  <si>
    <t>Supervisor</t>
  </si>
  <si>
    <t>N° de Gerente operacional</t>
  </si>
  <si>
    <t>Salário - Supervisor</t>
  </si>
  <si>
    <t>Encarregador geral</t>
  </si>
  <si>
    <t>Salário - Gerente operacional</t>
  </si>
  <si>
    <t>Gerente operacional</t>
  </si>
  <si>
    <t>m²/dia.trator</t>
  </si>
  <si>
    <t>4) LIMPEZA DE FEIRAS, EVENTOS, PARQUES E PRAÇAS</t>
  </si>
  <si>
    <t>5) COLETA DOS RESÍDUOS GERADOS</t>
  </si>
  <si>
    <t>6) ADMINISTRATIVO LOCAL</t>
  </si>
  <si>
    <t>2) ROÇADA MECANIZADA, CAPINA MANUAL E RASPAGEM</t>
  </si>
  <si>
    <t>3) PINTURA DE MEIO-FIO</t>
  </si>
  <si>
    <t>2.1) ROÇADA COM ROÇADEIRA COSTAL</t>
  </si>
  <si>
    <t>2.1.1) Demanda</t>
  </si>
  <si>
    <t>2.1.1.1) Equipe</t>
  </si>
  <si>
    <t xml:space="preserve">2.1.1.2) Ferramentas, equipamentos e EPI's </t>
  </si>
  <si>
    <t>2.1.2) CUSTO UNITÁRIO</t>
  </si>
  <si>
    <t>2.1.2.1) Mão-de-obra</t>
  </si>
  <si>
    <t>2.1.2.1.1) Agente de limpeza pública e serviços gerais</t>
  </si>
  <si>
    <t>2.1.2.1.2) Encarregado de equipe</t>
  </si>
  <si>
    <t>2.1.2.2) Ferramentas</t>
  </si>
  <si>
    <t>2.1.2.3) Equipamentos</t>
  </si>
  <si>
    <t>2.1.2.4) EPI's</t>
  </si>
  <si>
    <t>2.1.2.5) EPC's</t>
  </si>
  <si>
    <t>2.2) ROÇADA COM TRATOR</t>
  </si>
  <si>
    <t>2.2.1) Demanda</t>
  </si>
  <si>
    <t>2.2.1.1) Equipe</t>
  </si>
  <si>
    <t xml:space="preserve">2.2.1.2) Ferramentas, equipamentos e EPI's </t>
  </si>
  <si>
    <t>2.2.2) CUSTO UNITÁRIO</t>
  </si>
  <si>
    <t>2.2.2.1) Mão-de-obra</t>
  </si>
  <si>
    <t>2.2.2.1.1) Motorista</t>
  </si>
  <si>
    <t>2.2.2.1.2) Agente de limpeza pública e serviços gerais</t>
  </si>
  <si>
    <t>2.2.2.1.3) Encarregado de equipe</t>
  </si>
  <si>
    <t>2.2.2.2) Ferramentas</t>
  </si>
  <si>
    <t>2.2.2.3) Equipamentos</t>
  </si>
  <si>
    <t>2.2.2.3.1) Roçadeira costal</t>
  </si>
  <si>
    <t>2.2.2.3.2) Mini Trator</t>
  </si>
  <si>
    <t>2.2.2.4) EPI's</t>
  </si>
  <si>
    <t>2.2.2.5) EPC's</t>
  </si>
  <si>
    <t>2.3) CAPINA E RASPAGEM</t>
  </si>
  <si>
    <t>2.3.1) Demanda</t>
  </si>
  <si>
    <t>2.3.1.1) Equipe</t>
  </si>
  <si>
    <t xml:space="preserve">2.3.1.2) Ferramentas, equipamentos e EPI's </t>
  </si>
  <si>
    <t>2.3.2) CUSTO UNITÁRIO</t>
  </si>
  <si>
    <t>2.3.2.1) Mão-de-obra</t>
  </si>
  <si>
    <t>2.3.2.1.1) Agente de limpeza pública e serviços gerais</t>
  </si>
  <si>
    <t>2.3.2.1.2) Encarregado de equipe</t>
  </si>
  <si>
    <t>2.3.2.2) Ferramentas</t>
  </si>
  <si>
    <t>2.3.2.3) Equipamento</t>
  </si>
  <si>
    <t>2.3.2.4) EPI's</t>
  </si>
  <si>
    <t>2.3.2.5) EPC's</t>
  </si>
  <si>
    <t>3.2.1.1) Agente de limpeza pública e serviços gerais</t>
  </si>
  <si>
    <t>3.2.1.2) Encarregado de equipe</t>
  </si>
  <si>
    <t>3.2.1.3) Motorista</t>
  </si>
  <si>
    <t>3.2.3.1) Trator</t>
  </si>
  <si>
    <t>3.2.3.2) Reboque</t>
  </si>
  <si>
    <t>4.2.3) Equipamentos</t>
  </si>
  <si>
    <t>6.1) Demanda da coleta de resíduos</t>
  </si>
  <si>
    <t>6.2.1.1) Motorista</t>
  </si>
  <si>
    <t>6.2.1.2) Gerente operacional</t>
  </si>
  <si>
    <t>6.2.1.3) Secretário</t>
  </si>
  <si>
    <t>6.2.1.4) Supervisor</t>
  </si>
  <si>
    <t>6.2.1.5) Técnico em Segurança do Trabalho</t>
  </si>
  <si>
    <t>6.2.5.1) Ônibus</t>
  </si>
  <si>
    <t>6.2.5.2) Vans</t>
  </si>
  <si>
    <t>6.2.5.3) Moto</t>
  </si>
  <si>
    <t>6.2.6) Demais itens administrativos</t>
  </si>
  <si>
    <t>6.4) CUSTO DO SERVIÇO</t>
  </si>
  <si>
    <t>Fonte: PROC-IBS-RSU-012/2018</t>
  </si>
  <si>
    <t>m²/hora</t>
  </si>
  <si>
    <t>tramontina</t>
  </si>
  <si>
    <t>toyama</t>
  </si>
  <si>
    <t>básico</t>
  </si>
  <si>
    <t>husqvarna</t>
  </si>
  <si>
    <t>TRAMONTINA</t>
  </si>
  <si>
    <t>6) ADMINISTRAÇÃO LOCAL</t>
  </si>
  <si>
    <t>Cal (saco - 8kg)</t>
  </si>
  <si>
    <t>N° de Porteiro</t>
  </si>
  <si>
    <t>Salário - Porteiro</t>
  </si>
  <si>
    <t>Porteiro</t>
  </si>
  <si>
    <t>6.2.1.6) Porteiro</t>
  </si>
  <si>
    <t>NOTURNO</t>
  </si>
  <si>
    <t>unid./encarregado.ano</t>
  </si>
  <si>
    <t xml:space="preserve">unid./roçadeira </t>
  </si>
  <si>
    <t>Área a atendida pelos serviços, mensalmente (m²/mês)</t>
  </si>
  <si>
    <t>Total serviços</t>
  </si>
  <si>
    <t>sobre cada serviço</t>
  </si>
  <si>
    <t>2.4) CUSTO TOTAL COM O SERVIÇO</t>
  </si>
  <si>
    <t>2.5) CUSTO TOTAL COM RATEIO</t>
  </si>
  <si>
    <t xml:space="preserve">2.6) PREÇO </t>
  </si>
  <si>
    <t>2.7) CUSTO DO SERVIÇOS DE ROÇADA MECANIZADA, CAPINA E RASPAGEM</t>
  </si>
  <si>
    <t>SINAPI 08/2020</t>
  </si>
  <si>
    <t>STEAC 2020</t>
  </si>
  <si>
    <t>Custo improdutivo</t>
  </si>
  <si>
    <t>R$/h.improdutiva</t>
  </si>
  <si>
    <t>Tabela Fipe</t>
  </si>
  <si>
    <t>Valor de Aquisição - Modelo CG 160 Start 0Km</t>
  </si>
  <si>
    <t>Ano</t>
  </si>
  <si>
    <t>Trator</t>
  </si>
  <si>
    <t>Quant.</t>
  </si>
  <si>
    <t>R$/equipe.mês</t>
  </si>
  <si>
    <t>SERVIÇO*</t>
  </si>
  <si>
    <t>*Os custos com o administrativo local está rateado nos demais serviços contratados</t>
  </si>
  <si>
    <t>Nº de Encarregado Geral</t>
  </si>
  <si>
    <t>Estimativa da população atendida</t>
  </si>
  <si>
    <t>pá quadrada</t>
  </si>
  <si>
    <t>Estimativa do número de domicílios</t>
  </si>
  <si>
    <t>hab.</t>
  </si>
  <si>
    <t>EPI's Motorista</t>
  </si>
  <si>
    <t>Quantidade anual</t>
  </si>
  <si>
    <t>Máscara de proteção PFF1 - Sem válvula</t>
  </si>
  <si>
    <t>Salário - Coletor de lixo</t>
  </si>
  <si>
    <t>Coletor de lixo</t>
  </si>
  <si>
    <t>N° de Coletores de lixo</t>
  </si>
  <si>
    <t>Colete refletivo</t>
  </si>
  <si>
    <t xml:space="preserve">Luva de raspa </t>
  </si>
  <si>
    <t>EPI's Coletor de lixo</t>
  </si>
  <si>
    <t>saco plástico de lixo</t>
  </si>
  <si>
    <t>Km/L</t>
  </si>
  <si>
    <t>t/dia.útil</t>
  </si>
  <si>
    <t>Encarregado Geral</t>
  </si>
  <si>
    <t>Salário - Encarregado Geral</t>
  </si>
  <si>
    <t>Câmara nova</t>
  </si>
  <si>
    <t>Protetor novo</t>
  </si>
  <si>
    <t>Recauchutagem</t>
  </si>
  <si>
    <t>GRUPO A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</si>
  <si>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</si>
  <si>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</si>
  <si>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</si>
  <si>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</si>
  <si>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</si>
  <si>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</si>
  <si>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</si>
  <si>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</si>
  <si>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</si>
  <si>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INSS</t>
  </si>
  <si>
    <t>SESI</t>
  </si>
  <si>
    <t>SENAI</t>
  </si>
  <si>
    <t>INCRA</t>
  </si>
  <si>
    <t>SEBRAE</t>
  </si>
  <si>
    <t>Salário Educação</t>
  </si>
  <si>
    <t>Seguro Contra Acidentes de Trabalho</t>
  </si>
  <si>
    <t>FGTS</t>
  </si>
  <si>
    <t>GRUPO B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</si>
  <si>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</si>
  <si>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</si>
  <si>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</si>
  <si>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</si>
  <si>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</si>
  <si>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</si>
  <si>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</si>
  <si>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</si>
  <si>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</si>
  <si>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</si>
  <si>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Composição dos Encargos Sociais - Mensalistas</t>
  </si>
  <si>
    <t>Repouso Semanal Remunerado</t>
  </si>
  <si>
    <t>Feriados</t>
  </si>
  <si>
    <t>Auxílio Enfermidade</t>
  </si>
  <si>
    <t>13º Salário</t>
  </si>
  <si>
    <t>Licença Paternidade</t>
  </si>
  <si>
    <t>Faltas Justificadas</t>
  </si>
  <si>
    <t>Dias de Chuvas</t>
  </si>
  <si>
    <t>Auxílio Acidente de Trabalho</t>
  </si>
  <si>
    <t>Férias Gozadas</t>
  </si>
  <si>
    <t>Salário Maternidade</t>
  </si>
  <si>
    <t>GRUPO C</t>
  </si>
  <si>
    <t>C1</t>
  </si>
  <si>
    <t>C2</t>
  </si>
  <si>
    <t>C3</t>
  </si>
  <si>
    <t>C4</t>
  </si>
  <si>
    <t>C5</t>
  </si>
  <si>
    <t>Aviso Prévio Indenizado</t>
  </si>
  <si>
    <t>Aviso Prévio Trabalhado</t>
  </si>
  <si>
    <t>Férias Indenizadas + 1/3</t>
  </si>
  <si>
    <t>Depósito por despedida injusta</t>
  </si>
  <si>
    <t>Indenização Adicional</t>
  </si>
  <si>
    <t>GRUPO D</t>
  </si>
  <si>
    <t>D1</t>
  </si>
  <si>
    <t>D2</t>
  </si>
  <si>
    <t>Reincidência de A sobre B</t>
  </si>
  <si>
    <t>Reincidência de A sobre Aviso Prévio Trabalhado + Reincidência FGTS sobre Aviso Prévio Indenizado</t>
  </si>
  <si>
    <t>SUBTOTAL</t>
  </si>
  <si>
    <t>SECONCI</t>
  </si>
  <si>
    <t>unid./domicílio.ano</t>
  </si>
  <si>
    <t>cedência de sacolas reutilizáveis</t>
  </si>
  <si>
    <t>material orientativo (Panfletos)</t>
  </si>
  <si>
    <t>1.1.1) Equipe</t>
  </si>
  <si>
    <t xml:space="preserve">1.1.2) Ferramentas, equipamentos e EPC's </t>
  </si>
  <si>
    <t>1.2.1.1) Motorista</t>
  </si>
  <si>
    <t>1.2.1.2) Coletores</t>
  </si>
  <si>
    <t>1.2.1.3) Encarregado Geral</t>
  </si>
  <si>
    <t>1.2.4) EPC's</t>
  </si>
  <si>
    <t>1.2.5) Veículos</t>
  </si>
  <si>
    <t xml:space="preserve">1.4) PREÇO </t>
  </si>
  <si>
    <t>1.5) CUSTO DO SERVIÇO</t>
  </si>
  <si>
    <t>PREVISTO</t>
  </si>
  <si>
    <t>PREVISTO / EXECUTADO</t>
  </si>
  <si>
    <t>1 - IDENTIFICAÇÃO</t>
  </si>
  <si>
    <t xml:space="preserve"> </t>
  </si>
  <si>
    <t>MODALIDADE:</t>
  </si>
  <si>
    <t>RESPONSAVEL TÉCNICO:</t>
  </si>
  <si>
    <t>CLIENTE:</t>
  </si>
  <si>
    <t>CONVENENTE:</t>
  </si>
  <si>
    <t>DATA:</t>
  </si>
  <si>
    <t>LOCALIZAÇÃO:</t>
  </si>
  <si>
    <t>DESCRIÇÃO                                                                                                 DE                                                                                                             SERVIÇOS</t>
  </si>
  <si>
    <t>VALOR DOS  SERVIÇOS (R$)</t>
  </si>
  <si>
    <t>PESO             %</t>
  </si>
  <si>
    <t>Fis / Fin</t>
  </si>
  <si>
    <t>SERVIÇOS A EXECUTAR</t>
  </si>
  <si>
    <t>ITEM</t>
  </si>
  <si>
    <t>EXECUTADO</t>
  </si>
  <si>
    <t>SIMPL.                 ( % / R$ )</t>
  </si>
  <si>
    <t>ACUM.                  (%/R$)</t>
  </si>
  <si>
    <t>1.</t>
  </si>
  <si>
    <t>TOTAL (%) - PREVISTO</t>
  </si>
  <si>
    <t>TOTAL (R$) - PREVISTO</t>
  </si>
  <si>
    <t>CONCEDENTE (R$) - PREVISTO</t>
  </si>
  <si>
    <t>DATA</t>
  </si>
  <si>
    <t>OBRA/SERVIÇO:</t>
  </si>
  <si>
    <t>PREFEITURA MUNICIPAL DE CASSILÂNDIA</t>
  </si>
  <si>
    <t>EMPRESA:</t>
  </si>
  <si>
    <t>SERVIÇO</t>
  </si>
  <si>
    <t>MÊS -  1</t>
  </si>
  <si>
    <t>MÊS - 2</t>
  </si>
  <si>
    <t>MÊS - 3</t>
  </si>
  <si>
    <t>MÊS - 4</t>
  </si>
  <si>
    <t>MÊS - 5</t>
  </si>
  <si>
    <t>MÊS - 6</t>
  </si>
  <si>
    <t>MÊS - 7</t>
  </si>
  <si>
    <t>MÊS - 8</t>
  </si>
  <si>
    <t>MÊS - 9</t>
  </si>
  <si>
    <t>MÊS - 10</t>
  </si>
  <si>
    <t>MÊS - 11</t>
  </si>
  <si>
    <t>MÊS - 12</t>
  </si>
  <si>
    <t>Geração total de resíduos sólidos domiciliares</t>
  </si>
  <si>
    <t>Massa específica média dos Resíduos Sólidos Domiciliares</t>
  </si>
  <si>
    <t>Contêiner de Lixo de 1.200L</t>
  </si>
  <si>
    <t>Caminhão médio (toco)</t>
  </si>
  <si>
    <t>Compactador de 15 m³</t>
  </si>
  <si>
    <t>Quantidade de contêineres</t>
  </si>
  <si>
    <t>Custo mensal com Equipamentos (R$/mês)</t>
  </si>
  <si>
    <t>SERVIÇO DE COLETA CONVENCIONAL PARA O MUNICÍPIO DE CASSILÂNDIA</t>
  </si>
  <si>
    <t>CREA: 228795-D/SP</t>
  </si>
  <si>
    <t>1.1) Demanda da coleta convencional</t>
  </si>
  <si>
    <t>Bloqueador solar</t>
  </si>
  <si>
    <t>Calçado com solado antiderrapante</t>
  </si>
  <si>
    <t>Calçado com solado de borracha</t>
  </si>
  <si>
    <t>Calça Brim leve</t>
  </si>
  <si>
    <t>Calça comprida</t>
  </si>
  <si>
    <t>Calça social</t>
  </si>
  <si>
    <t>Camisa Brim</t>
  </si>
  <si>
    <t>Camisa social manga longa</t>
  </si>
  <si>
    <t>Capa de chuva</t>
  </si>
  <si>
    <t>Lanterna PVC</t>
  </si>
  <si>
    <t>Protetor auricular tipo plug</t>
  </si>
  <si>
    <t>Unid.</t>
  </si>
  <si>
    <t>Par</t>
  </si>
  <si>
    <t>Renato Cesar de Freitas</t>
  </si>
  <si>
    <t>Coef. de manutenção (k)</t>
  </si>
  <si>
    <t>Coleta e transporte de resíduos sólidos domiciliares e equiparáveis gerados no Distrito-sede do município de Cassilândia-MS.</t>
  </si>
  <si>
    <t>Coleta e transporte de resíduos sólidos domiciliares e equiparáveis nos contêineres instalados no Distrito de Indaiá do Sul e no Bairro Seringal, no município de Cassilândia/MS.</t>
  </si>
  <si>
    <t>1.1) Demanda de disponibilização de contêineres por localidade</t>
  </si>
  <si>
    <t>Nº de contêineres Distrito Indaiá do Sul</t>
  </si>
  <si>
    <t>Nº de contêineres Bairro Seringal</t>
  </si>
  <si>
    <t>Dias úteis por mês</t>
  </si>
  <si>
    <t>Semanas por mês</t>
  </si>
  <si>
    <t>Estimativa de viagens por mês</t>
  </si>
  <si>
    <t>Distância percorrida por viagem</t>
  </si>
  <si>
    <t>Equipe já remunerada junto ao serviço de Coleta Convencional</t>
  </si>
  <si>
    <t>Valores já  remunerados pelo serviço de Coleta Convencional</t>
  </si>
  <si>
    <t>Custo unitário do serviço (R$/viagem.mês)</t>
  </si>
  <si>
    <t>Custo unitário do serviço (R$/contêiner.mês)</t>
  </si>
  <si>
    <t>Total unitário (R$/viagem.mês)</t>
  </si>
  <si>
    <t>Total unitário (R$/contêiner.mês)</t>
  </si>
  <si>
    <t>1) COLETA E TRANSPORTE DE RESÍDUOS DEMAIS LOCALIDADES</t>
  </si>
  <si>
    <t>1.1) Demanda da coleta Demais Localidades</t>
  </si>
  <si>
    <t>ESPECIFICAÇÕES DO OBJETO</t>
  </si>
  <si>
    <t>UNID.</t>
  </si>
  <si>
    <t>Viagem/mês</t>
  </si>
  <si>
    <t>Unidade/mês</t>
  </si>
  <si>
    <t>Custo unitário do serviço (R$/mês)</t>
  </si>
  <si>
    <t>Total unitário (R$/mês)</t>
  </si>
  <si>
    <t>1) COLETA E TRANSPORTE DE RESÍDUOS DISTRITO SEDE</t>
  </si>
  <si>
    <t>Preço Mensal (R$)</t>
  </si>
  <si>
    <t>Preço Anual (R$)</t>
  </si>
  <si>
    <t>Quant. Mensal</t>
  </si>
  <si>
    <t>Preço Unitário (R$)</t>
  </si>
  <si>
    <t>Fornecimento de contêineres plásticos de 1.200 litros</t>
  </si>
  <si>
    <t>ANEXO I – SÍNTESE DA COMPOSIÇÃO DE CUSTOS</t>
  </si>
  <si>
    <t>ANEXO II – CRONOGRAMA FÍSICO-FINANCEIRO</t>
  </si>
  <si>
    <t>1) FORNECIMENTO DE CONTÊINERES</t>
  </si>
  <si>
    <t>ANEXO III – PLANILHAS ORÇAMENTÁRIAS E CUSTOS UNITÁRIOS
COMPOSIÇÃO DE CUSTOS DO SERVIÇO DE FORNECIMENTO DE CONTÊINERES</t>
  </si>
  <si>
    <t>ANEXO III – PLANILHAS ORÇAMENTÁRIAS E CUSTOS UNITÁRIOS
COMPOSIÇÃO DE CUSTOS DO SERVIÇO DE COLETA E TRANSPORTE DE RESÍDUOS SÓLIDOS DOMICILIARES E EQUIPARÁVEIS NOS CONTÊINERES INSTALADOS NO DISTRITO DE INDAIÁ DO SUL E NO BAIRRO SERINGAL</t>
  </si>
  <si>
    <t>ANEXO III – PLANILHAS ORÇAMENTÁRIAS E CUSTOS UNITÁRIOS
COMPOSIÇÃO DO BDI</t>
  </si>
  <si>
    <t>ANEXO III – PLANILHAS ORÇAMENTÁRIAS E CUSTOS UNITÁRIOS
COMPOSIÇÃO DOS ENCARGOS SOCIAIS</t>
  </si>
  <si>
    <t>ANEXO III – PLANILHAS ORÇAMENTÁRIAS E CUSTOS UNITÁRIOS 
COMPOSIÇÃO DE CUSTOS DO SERVIÇO DE COLETA E TRANSPORTE DE RESÍDUOS SÓLIDOS DOMICILIARES E EQUIPARÁVEIS NO DISTRITO SEDE</t>
  </si>
  <si>
    <t>Fonte: SINAPI (junho 2024)</t>
  </si>
  <si>
    <t>Prêmio Cesta Básica</t>
  </si>
  <si>
    <t>Veículo tipo picape para apoio de operação</t>
  </si>
  <si>
    <t>Combustível</t>
  </si>
  <si>
    <t>IPVA e Revisão a cada 10 mil Kilometros</t>
  </si>
  <si>
    <t>PPR</t>
  </si>
  <si>
    <t>Prêmio assiduidade</t>
  </si>
  <si>
    <t>EPI's, veículos e escritório local Encarregado Geral</t>
  </si>
  <si>
    <t>Escritório Local com energia, água, internet e insumos</t>
  </si>
  <si>
    <t>Tributos - PIS/COFINS/CSLL/IRPJ (Lucro Presumido)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</si>
</sst>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5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"/>
    <numFmt numFmtId="165" formatCode="0.000"/>
    <numFmt numFmtId="166" formatCode="_(* #,##0.00_);_(* \(#,##0.00\);_(* &quot;-&quot;??_);_(@_)"/>
    <numFmt numFmtId="167" formatCode="_(* #,##0.0000_);_(* \(#,##0.0000\);_(* &quot;-&quot;??_);_(@_)"/>
    <numFmt numFmtId="168" formatCode="0.0%"/>
    <numFmt numFmtId="169" formatCode="0.0000"/>
    <numFmt numFmtId="170" formatCode="_-* #,##0.000_-;\-* #,##0.000_-;_-* &quot;-&quot;??_-;_-@_-"/>
    <numFmt numFmtId="171" formatCode="_-* #,##0.0000_-;\-* #,##0.0000_-;_-* &quot;-&quot;??_-;_-@_-"/>
    <numFmt numFmtId="172" formatCode="0.00000"/>
    <numFmt numFmtId="173" formatCode="_-* #,##0.000_-;\-* #,##0.000_-;_-* &quot;-&quot;???_-;_-@_-"/>
    <numFmt numFmtId="174" formatCode="d/m/yy;@"/>
    <numFmt numFmtId="175" formatCode="&quot;R$&quot;#,##0.00_);[Red]\(&quot;R$&quot;#,##0.00\)"/>
  </numFmts>
  <fonts count="80">
    <font>
      <sz val="11"/>
      <color theme="1"/>
      <name val="Calibri"/>
      <family val="2"/>
      <scheme val="minor"/>
    </font>
    <font>
      <b/>
      <sz val="11"/>
      <color theme="0"/>
      <name val="Liberation Sans"/>
      <family val="2"/>
    </font>
    <font>
      <b/>
      <sz val="11"/>
      <color theme="1"/>
      <name val="Liberation Sans"/>
      <family val="2"/>
    </font>
    <font>
      <sz val="11"/>
      <color rgb="FFFF0000"/>
      <name val="Liberation San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entury Gothic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10"/>
      <name val="Arial"/>
      <family val="2"/>
    </font>
    <font>
      <sz val="8"/>
      <name val="Century Gothic"/>
      <family val="2"/>
    </font>
    <font>
      <b/>
      <sz val="16"/>
      <color theme="3"/>
      <name val="Century Gothic"/>
      <family val="2"/>
    </font>
    <font>
      <sz val="8"/>
      <color theme="3"/>
      <name val="Century Gothic"/>
      <family val="2"/>
    </font>
    <font>
      <b/>
      <sz val="8"/>
      <name val="Century Gothic"/>
      <family val="2"/>
    </font>
    <font>
      <sz val="7"/>
      <color indexed="81"/>
      <name val="Century Gothic"/>
      <family val="2"/>
    </font>
    <font>
      <sz val="10"/>
      <name val="Calibri Light"/>
      <family val="2"/>
      <scheme val="major"/>
    </font>
    <font>
      <sz val="11"/>
      <name val="Arial"/>
      <family val="2"/>
    </font>
    <font>
      <b/>
      <sz val="16"/>
      <color theme="1"/>
      <name val="Calibri"/>
      <family val="2"/>
      <scheme val="minor"/>
    </font>
    <font>
      <b/>
      <sz val="16"/>
      <name val="Century Gothic"/>
      <family val="2"/>
    </font>
    <font>
      <sz val="11"/>
      <name val="Calibri"/>
      <family val="2"/>
      <scheme val="minor"/>
    </font>
    <font>
      <b/>
      <sz val="1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sz val="14"/>
      <name val="Calibri"/>
      <family val="2"/>
      <scheme val="minor"/>
    </font>
    <font>
      <sz val="8"/>
      <name val="Calibri"/>
      <family val="2"/>
      <scheme val="minor"/>
    </font>
    <font>
      <b/>
      <sz val="16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0"/>
      <name val="Calibri"/>
      <family val="2"/>
      <scheme val="minor"/>
    </font>
    <font>
      <i/>
      <sz val="11"/>
      <name val="Calibri"/>
      <family val="2"/>
      <scheme val="minor"/>
    </font>
    <font>
      <i/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8"/>
      <name val="Calibri"/>
      <family val="2"/>
      <scheme val="minor"/>
    </font>
    <font>
      <i/>
      <sz val="9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sz val="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16"/>
      <color rgb="FF0070C0"/>
      <name val="Calibri"/>
      <family val="2"/>
      <scheme val="minor"/>
    </font>
    <font>
      <sz val="11"/>
      <color theme="1"/>
      <name val="Arial"/>
      <family val="2"/>
    </font>
    <font>
      <b/>
      <sz val="11"/>
      <color rgb="FFFF0000"/>
      <name val="Arial"/>
      <family val="2"/>
    </font>
    <font>
      <sz val="11"/>
      <color rgb="FFFF0000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  <font>
      <sz val="9"/>
      <name val="Arial"/>
      <family val="2"/>
    </font>
    <font>
      <sz val="11"/>
      <color indexed="8"/>
      <name val="Calibri"/>
      <family val="2"/>
    </font>
    <font>
      <sz val="8"/>
      <color indexed="81"/>
      <name val="Tahoma"/>
      <family val="2"/>
    </font>
    <font>
      <sz val="11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i/>
      <sz val="9"/>
      <name val="Times New Roman"/>
      <family val="1"/>
    </font>
    <font>
      <sz val="8"/>
      <name val="Times New Roman"/>
      <family val="1"/>
    </font>
    <font>
      <b/>
      <sz val="9"/>
      <name val="Times New Roman"/>
      <family val="1"/>
    </font>
    <font>
      <b/>
      <sz val="8"/>
      <name val="Times New Roman"/>
      <family val="1"/>
    </font>
    <font>
      <sz val="8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b/>
      <sz val="12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9"/>
      <name val="Times New Roman"/>
      <family val="1"/>
    </font>
    <font>
      <sz val="18"/>
      <name val="Times New Roman"/>
      <family val="1"/>
    </font>
    <font>
      <sz val="20"/>
      <name val="Times New Roman"/>
      <family val="1"/>
    </font>
    <font>
      <b/>
      <sz val="10"/>
      <name val="Times New Roman"/>
      <family val="1"/>
    </font>
    <font>
      <b/>
      <sz val="12"/>
      <color indexed="9"/>
      <name val="Times New Roman"/>
      <family val="1"/>
    </font>
    <font>
      <sz val="8.5"/>
      <name val="Times New Roman"/>
      <family val="1"/>
    </font>
    <font>
      <sz val="9"/>
      <color theme="1"/>
      <name val="Times New Roman"/>
      <family val="1"/>
    </font>
    <font>
      <i/>
      <sz val="8"/>
      <name val="Times New Roman"/>
      <family val="1"/>
    </font>
    <font>
      <b/>
      <sz val="9"/>
      <color theme="1"/>
      <name val="Times New Roman"/>
      <family val="1"/>
    </font>
    <font>
      <b/>
      <sz val="9"/>
      <color rgb="FF000000"/>
      <name val="Times New Roman"/>
      <family val="1"/>
    </font>
    <font>
      <sz val="11"/>
      <color theme="1"/>
      <name val="Verdana"/>
      <family val="2"/>
    </font>
    <font>
      <b/>
      <sz val="9"/>
      <color indexed="81"/>
      <name val="Segoe UI"/>
      <charset val="1"/>
    </font>
  </fonts>
  <fills count="27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lightDown">
        <fgColor theme="0" tint="-0.34998626667073579"/>
        <bgColor theme="0" tint="-0.1499679555650502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lightDown">
        <fgColor theme="0" tint="-0.34998626667073579"/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65"/>
        <bgColor indexed="8"/>
      </patternFill>
    </fill>
    <fill>
      <patternFill patternType="gray0625"/>
    </fill>
    <fill>
      <patternFill patternType="gray0625">
        <fgColor indexed="8"/>
      </patternFill>
    </fill>
    <fill>
      <patternFill patternType="solid">
        <fgColor indexed="9"/>
        <bgColor indexed="8"/>
      </patternFill>
    </fill>
    <fill>
      <patternFill patternType="gray0625">
        <fgColor indexed="8"/>
        <bgColor indexed="9"/>
      </patternFill>
    </fill>
    <fill>
      <patternFill patternType="gray0625">
        <bgColor indexed="9"/>
      </patternFill>
    </fill>
    <fill>
      <patternFill patternType="solid">
        <fgColor indexed="9"/>
        <bgColor indexed="64"/>
      </patternFill>
    </fill>
  </fills>
  <borders count="1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theme="1" tint="0.499984740745262"/>
      </bottom>
      <diagonal/>
    </border>
    <border>
      <left style="hair">
        <color indexed="64"/>
      </left>
      <right style="medium">
        <color indexed="64"/>
      </right>
      <top/>
      <bottom style="thin">
        <color theme="1" tint="0.499984740745262"/>
      </bottom>
      <diagonal/>
    </border>
    <border>
      <left style="hair">
        <color indexed="64"/>
      </left>
      <right style="hair">
        <color indexed="64"/>
      </right>
      <top style="thin">
        <color theme="1" tint="0.499984740745262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theme="1" tint="0.499984740745262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theme="1" tint="0.499984740745262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hair">
        <color indexed="64"/>
      </right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rgb="FF996633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996633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</borders>
  <cellStyleXfs count="21">
    <xf numFmtId="0" fontId="0" fillId="0" borderId="0"/>
    <xf numFmtId="43" fontId="4" fillId="0" borderId="0" applyFont="0" applyFill="0" applyBorder="0" applyAlignment="0" applyProtection="0"/>
    <xf numFmtId="0" fontId="9" fillId="0" borderId="0"/>
    <xf numFmtId="166" fontId="9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51" fillId="0" borderId="0"/>
    <xf numFmtId="0" fontId="9" fillId="0" borderId="0"/>
    <xf numFmtId="9" fontId="52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78" fillId="0" borderId="0"/>
    <xf numFmtId="43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0" fontId="4" fillId="0" borderId="0"/>
  </cellStyleXfs>
  <cellXfs count="1627">
    <xf numFmtId="0" fontId="0" fillId="0" borderId="0" xfId="0"/>
    <xf numFmtId="0" fontId="1" fillId="2" borderId="0" xfId="0" applyFont="1" applyFill="1"/>
    <xf numFmtId="0" fontId="0" fillId="3" borderId="1" xfId="0" applyFill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0" fontId="1" fillId="4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3" borderId="1" xfId="0" applyFill="1" applyBorder="1"/>
    <xf numFmtId="0" fontId="3" fillId="3" borderId="1" xfId="0" applyFont="1" applyFill="1" applyBorder="1"/>
    <xf numFmtId="0" fontId="0" fillId="0" borderId="1" xfId="0" applyBorder="1"/>
    <xf numFmtId="0" fontId="0" fillId="3" borderId="0" xfId="0" applyFill="1" applyAlignment="1">
      <alignment horizontal="center"/>
    </xf>
    <xf numFmtId="2" fontId="0" fillId="3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2" fillId="0" borderId="0" xfId="0" applyFont="1" applyAlignment="1">
      <alignment horizontal="left"/>
    </xf>
    <xf numFmtId="2" fontId="2" fillId="0" borderId="0" xfId="0" applyNumberFormat="1" applyFont="1" applyAlignment="1">
      <alignment horizontal="left"/>
    </xf>
    <xf numFmtId="2" fontId="0" fillId="0" borderId="0" xfId="0" applyNumberFormat="1"/>
    <xf numFmtId="0" fontId="5" fillId="0" borderId="0" xfId="0" applyFont="1"/>
    <xf numFmtId="43" fontId="0" fillId="0" borderId="0" xfId="1" applyFont="1"/>
    <xf numFmtId="0" fontId="0" fillId="6" borderId="0" xfId="0" applyFill="1"/>
    <xf numFmtId="3" fontId="0" fillId="0" borderId="0" xfId="0" applyNumberFormat="1"/>
    <xf numFmtId="0" fontId="10" fillId="0" borderId="0" xfId="2" applyFont="1" applyAlignment="1">
      <alignment vertical="center"/>
    </xf>
    <xf numFmtId="0" fontId="11" fillId="0" borderId="2" xfId="2" applyFont="1" applyBorder="1" applyAlignment="1">
      <alignment vertical="center"/>
    </xf>
    <xf numFmtId="0" fontId="12" fillId="0" borderId="2" xfId="2" applyFont="1" applyBorder="1" applyAlignment="1">
      <alignment horizontal="left" vertical="center"/>
    </xf>
    <xf numFmtId="0" fontId="12" fillId="0" borderId="2" xfId="2" applyFont="1" applyBorder="1" applyAlignment="1">
      <alignment vertical="center"/>
    </xf>
    <xf numFmtId="166" fontId="10" fillId="0" borderId="0" xfId="3" applyFont="1" applyAlignment="1">
      <alignment vertical="center"/>
    </xf>
    <xf numFmtId="0" fontId="10" fillId="0" borderId="0" xfId="2" applyFont="1" applyAlignment="1">
      <alignment horizontal="left" vertical="center"/>
    </xf>
    <xf numFmtId="166" fontId="13" fillId="7" borderId="0" xfId="3" applyFont="1" applyFill="1" applyAlignment="1">
      <alignment vertical="center"/>
    </xf>
    <xf numFmtId="166" fontId="13" fillId="0" borderId="0" xfId="3" applyFont="1" applyAlignment="1">
      <alignment vertical="center"/>
    </xf>
    <xf numFmtId="0" fontId="13" fillId="0" borderId="0" xfId="2" applyFont="1"/>
    <xf numFmtId="0" fontId="10" fillId="0" borderId="0" xfId="2" applyFont="1"/>
    <xf numFmtId="166" fontId="13" fillId="8" borderId="4" xfId="3" applyFont="1" applyFill="1" applyBorder="1" applyAlignment="1">
      <alignment horizontal="center" vertical="center"/>
    </xf>
    <xf numFmtId="166" fontId="10" fillId="0" borderId="5" xfId="3" applyFont="1" applyBorder="1" applyAlignment="1">
      <alignment horizontal="center" vertical="center"/>
    </xf>
    <xf numFmtId="166" fontId="10" fillId="0" borderId="7" xfId="3" applyFont="1" applyBorder="1" applyAlignment="1">
      <alignment horizontal="center" vertical="center"/>
    </xf>
    <xf numFmtId="166" fontId="10" fillId="0" borderId="8" xfId="3" applyFont="1" applyBorder="1" applyAlignment="1">
      <alignment horizontal="center" vertical="center"/>
    </xf>
    <xf numFmtId="166" fontId="10" fillId="0" borderId="5" xfId="3" applyFont="1" applyFill="1" applyBorder="1" applyAlignment="1">
      <alignment horizontal="center" vertical="center"/>
    </xf>
    <xf numFmtId="166" fontId="13" fillId="0" borderId="5" xfId="3" applyFont="1" applyBorder="1" applyAlignment="1">
      <alignment horizontal="center" vertical="center"/>
    </xf>
    <xf numFmtId="166" fontId="13" fillId="0" borderId="8" xfId="3" applyFont="1" applyBorder="1" applyAlignment="1">
      <alignment horizontal="center" vertical="center"/>
    </xf>
    <xf numFmtId="166" fontId="10" fillId="0" borderId="9" xfId="3" applyFont="1" applyFill="1" applyBorder="1" applyAlignment="1">
      <alignment horizontal="center" vertical="center"/>
    </xf>
    <xf numFmtId="166" fontId="10" fillId="0" borderId="9" xfId="3" applyFont="1" applyBorder="1" applyAlignment="1">
      <alignment horizontal="center" vertical="center"/>
    </xf>
    <xf numFmtId="166" fontId="10" fillId="0" borderId="10" xfId="3" applyFont="1" applyBorder="1" applyAlignment="1">
      <alignment horizontal="center" vertical="center"/>
    </xf>
    <xf numFmtId="166" fontId="13" fillId="0" borderId="11" xfId="3" applyFont="1" applyBorder="1" applyAlignment="1">
      <alignment horizontal="center" vertical="center"/>
    </xf>
    <xf numFmtId="166" fontId="13" fillId="0" borderId="12" xfId="3" applyFont="1" applyBorder="1" applyAlignment="1">
      <alignment horizontal="center" vertical="center"/>
    </xf>
    <xf numFmtId="0" fontId="13" fillId="0" borderId="0" xfId="2" applyFont="1" applyAlignment="1">
      <alignment vertical="center"/>
    </xf>
    <xf numFmtId="166" fontId="10" fillId="0" borderId="15" xfId="3" applyFont="1" applyBorder="1" applyAlignment="1">
      <alignment horizontal="center" vertical="center"/>
    </xf>
    <xf numFmtId="166" fontId="13" fillId="0" borderId="16" xfId="3" applyFont="1" applyBorder="1" applyAlignment="1">
      <alignment horizontal="center" vertical="center"/>
    </xf>
    <xf numFmtId="43" fontId="10" fillId="0" borderId="0" xfId="2" applyNumberFormat="1" applyFont="1" applyAlignment="1">
      <alignment vertical="center"/>
    </xf>
    <xf numFmtId="166" fontId="10" fillId="0" borderId="17" xfId="3" applyFont="1" applyBorder="1" applyAlignment="1">
      <alignment horizontal="center" vertical="center"/>
    </xf>
    <xf numFmtId="166" fontId="10" fillId="0" borderId="18" xfId="3" applyFont="1" applyBorder="1" applyAlignment="1">
      <alignment horizontal="center" vertical="center"/>
    </xf>
    <xf numFmtId="166" fontId="10" fillId="0" borderId="16" xfId="3" applyFont="1" applyBorder="1" applyAlignment="1">
      <alignment horizontal="center" vertical="center"/>
    </xf>
    <xf numFmtId="0" fontId="9" fillId="0" borderId="0" xfId="2"/>
    <xf numFmtId="167" fontId="10" fillId="0" borderId="5" xfId="3" applyNumberFormat="1" applyFont="1" applyBorder="1" applyAlignment="1">
      <alignment horizontal="center" vertical="center"/>
    </xf>
    <xf numFmtId="166" fontId="10" fillId="9" borderId="5" xfId="3" applyFont="1" applyFill="1" applyBorder="1" applyAlignment="1" applyProtection="1">
      <alignment horizontal="center" vertical="center"/>
      <protection locked="0"/>
    </xf>
    <xf numFmtId="43" fontId="10" fillId="12" borderId="0" xfId="2" applyNumberFormat="1" applyFont="1" applyFill="1" applyAlignment="1">
      <alignment vertical="center"/>
    </xf>
    <xf numFmtId="9" fontId="10" fillId="0" borderId="0" xfId="2" applyNumberFormat="1" applyFont="1" applyAlignment="1">
      <alignment vertical="center"/>
    </xf>
    <xf numFmtId="0" fontId="15" fillId="0" borderId="0" xfId="0" applyFont="1"/>
    <xf numFmtId="0" fontId="0" fillId="0" borderId="24" xfId="0" applyBorder="1"/>
    <xf numFmtId="169" fontId="0" fillId="0" borderId="0" xfId="0" applyNumberFormat="1"/>
    <xf numFmtId="0" fontId="0" fillId="0" borderId="13" xfId="0" applyBorder="1"/>
    <xf numFmtId="0" fontId="0" fillId="0" borderId="30" xfId="0" applyBorder="1"/>
    <xf numFmtId="43" fontId="0" fillId="0" borderId="0" xfId="0" applyNumberFormat="1"/>
    <xf numFmtId="43" fontId="0" fillId="0" borderId="30" xfId="0" applyNumberFormat="1" applyBorder="1"/>
    <xf numFmtId="0" fontId="0" fillId="0" borderId="23" xfId="0" applyBorder="1"/>
    <xf numFmtId="0" fontId="0" fillId="0" borderId="26" xfId="0" applyBorder="1"/>
    <xf numFmtId="0" fontId="0" fillId="0" borderId="6" xfId="0" applyBorder="1"/>
    <xf numFmtId="0" fontId="0" fillId="0" borderId="5" xfId="0" applyBorder="1"/>
    <xf numFmtId="0" fontId="0" fillId="0" borderId="17" xfId="0" applyBorder="1"/>
    <xf numFmtId="0" fontId="0" fillId="0" borderId="15" xfId="0" applyBorder="1"/>
    <xf numFmtId="43" fontId="15" fillId="0" borderId="0" xfId="1" applyFont="1" applyFill="1"/>
    <xf numFmtId="0" fontId="0" fillId="0" borderId="27" xfId="0" applyBorder="1"/>
    <xf numFmtId="0" fontId="0" fillId="0" borderId="29" xfId="0" applyBorder="1"/>
    <xf numFmtId="166" fontId="13" fillId="8" borderId="54" xfId="3" applyFont="1" applyFill="1" applyBorder="1" applyAlignment="1">
      <alignment horizontal="center" vertical="center"/>
    </xf>
    <xf numFmtId="0" fontId="5" fillId="0" borderId="27" xfId="0" applyFont="1" applyBorder="1"/>
    <xf numFmtId="0" fontId="5" fillId="0" borderId="23" xfId="0" applyFont="1" applyBorder="1"/>
    <xf numFmtId="9" fontId="0" fillId="0" borderId="30" xfId="4" applyFont="1" applyBorder="1"/>
    <xf numFmtId="168" fontId="0" fillId="0" borderId="30" xfId="4" applyNumberFormat="1" applyFont="1" applyBorder="1"/>
    <xf numFmtId="2" fontId="0" fillId="0" borderId="30" xfId="0" applyNumberFormat="1" applyBorder="1"/>
    <xf numFmtId="0" fontId="5" fillId="0" borderId="26" xfId="0" applyFont="1" applyBorder="1"/>
    <xf numFmtId="0" fontId="5" fillId="0" borderId="26" xfId="0" applyFont="1" applyBorder="1" applyAlignment="1">
      <alignment horizontal="right"/>
    </xf>
    <xf numFmtId="43" fontId="5" fillId="0" borderId="28" xfId="1" applyFont="1" applyBorder="1"/>
    <xf numFmtId="43" fontId="5" fillId="0" borderId="26" xfId="0" applyNumberFormat="1" applyFont="1" applyBorder="1"/>
    <xf numFmtId="43" fontId="0" fillId="0" borderId="13" xfId="0" applyNumberFormat="1" applyBorder="1"/>
    <xf numFmtId="43" fontId="0" fillId="0" borderId="28" xfId="0" applyNumberFormat="1" applyBorder="1"/>
    <xf numFmtId="10" fontId="0" fillId="0" borderId="0" xfId="4" applyNumberFormat="1" applyFont="1"/>
    <xf numFmtId="9" fontId="0" fillId="0" borderId="0" xfId="4" applyFont="1"/>
    <xf numFmtId="0" fontId="0" fillId="0" borderId="0" xfId="0" applyAlignment="1">
      <alignment horizontal="center" vertical="center" wrapText="1"/>
    </xf>
    <xf numFmtId="43" fontId="0" fillId="0" borderId="0" xfId="1" applyFont="1" applyAlignment="1">
      <alignment horizontal="center" vertical="center" wrapText="1"/>
    </xf>
    <xf numFmtId="9" fontId="0" fillId="0" borderId="0" xfId="4" applyFont="1" applyAlignment="1">
      <alignment horizontal="center" vertical="center" wrapText="1"/>
    </xf>
    <xf numFmtId="0" fontId="0" fillId="0" borderId="0" xfId="1" applyNumberFormat="1" applyFont="1"/>
    <xf numFmtId="0" fontId="11" fillId="0" borderId="2" xfId="0" applyFont="1" applyBorder="1" applyAlignme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10" fillId="0" borderId="5" xfId="0" applyFont="1" applyBorder="1" applyAlignment="1">
      <alignment vertical="center"/>
    </xf>
    <xf numFmtId="0" fontId="10" fillId="0" borderId="5" xfId="0" applyFont="1" applyBorder="1" applyAlignment="1">
      <alignment horizontal="center" vertical="center"/>
    </xf>
    <xf numFmtId="43" fontId="10" fillId="0" borderId="8" xfId="1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43" fontId="10" fillId="0" borderId="8" xfId="1" applyFont="1" applyFill="1" applyBorder="1" applyAlignment="1">
      <alignment horizontal="center" vertical="center"/>
    </xf>
    <xf numFmtId="0" fontId="10" fillId="0" borderId="17" xfId="0" applyFont="1" applyBorder="1" applyAlignment="1">
      <alignment horizontal="left" vertical="center"/>
    </xf>
    <xf numFmtId="0" fontId="10" fillId="0" borderId="17" xfId="0" applyFont="1" applyBorder="1" applyAlignment="1">
      <alignment horizontal="center" vertical="center"/>
    </xf>
    <xf numFmtId="43" fontId="10" fillId="0" borderId="18" xfId="1" applyFont="1" applyFill="1" applyBorder="1" applyAlignment="1">
      <alignment horizontal="center" vertical="center"/>
    </xf>
    <xf numFmtId="0" fontId="13" fillId="11" borderId="13" xfId="0" applyFont="1" applyFill="1" applyBorder="1" applyAlignment="1">
      <alignment horizontal="center" vertical="center"/>
    </xf>
    <xf numFmtId="0" fontId="10" fillId="11" borderId="13" xfId="0" applyFont="1" applyFill="1" applyBorder="1"/>
    <xf numFmtId="0" fontId="0" fillId="11" borderId="19" xfId="0" applyFill="1" applyBorder="1"/>
    <xf numFmtId="9" fontId="10" fillId="0" borderId="8" xfId="4" applyFont="1" applyBorder="1" applyAlignment="1">
      <alignment horizontal="right" vertical="center"/>
    </xf>
    <xf numFmtId="43" fontId="10" fillId="0" borderId="18" xfId="1" applyFont="1" applyBorder="1" applyAlignment="1">
      <alignment horizontal="center" vertical="center"/>
    </xf>
    <xf numFmtId="0" fontId="13" fillId="11" borderId="24" xfId="0" applyFont="1" applyFill="1" applyBorder="1" applyAlignment="1">
      <alignment horizontal="center" vertical="center"/>
    </xf>
    <xf numFmtId="43" fontId="10" fillId="11" borderId="13" xfId="1" applyFont="1" applyFill="1" applyBorder="1" applyAlignment="1">
      <alignment horizontal="center" vertical="center"/>
    </xf>
    <xf numFmtId="43" fontId="13" fillId="11" borderId="16" xfId="1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9" fontId="10" fillId="0" borderId="7" xfId="4" applyFont="1" applyBorder="1" applyAlignment="1">
      <alignment horizontal="right" vertical="center"/>
    </xf>
    <xf numFmtId="43" fontId="10" fillId="0" borderId="18" xfId="1" applyFont="1" applyBorder="1" applyAlignment="1">
      <alignment horizontal="right" vertical="center"/>
    </xf>
    <xf numFmtId="0" fontId="13" fillId="11" borderId="15" xfId="0" applyFont="1" applyFill="1" applyBorder="1" applyAlignment="1">
      <alignment horizontal="center" vertical="center"/>
    </xf>
    <xf numFmtId="9" fontId="10" fillId="6" borderId="7" xfId="4" applyFont="1" applyFill="1" applyBorder="1" applyAlignment="1">
      <alignment horizontal="right" vertical="center"/>
    </xf>
    <xf numFmtId="0" fontId="13" fillId="11" borderId="13" xfId="0" applyFont="1" applyFill="1" applyBorder="1" applyAlignment="1">
      <alignment vertical="center"/>
    </xf>
    <xf numFmtId="43" fontId="13" fillId="11" borderId="7" xfId="1" applyFont="1" applyFill="1" applyBorder="1" applyAlignment="1">
      <alignment horizontal="center" vertical="center"/>
    </xf>
    <xf numFmtId="43" fontId="10" fillId="6" borderId="6" xfId="1" applyFont="1" applyFill="1" applyBorder="1" applyAlignment="1">
      <alignment horizontal="right" vertical="center"/>
    </xf>
    <xf numFmtId="43" fontId="10" fillId="0" borderId="7" xfId="1" applyFont="1" applyBorder="1" applyAlignment="1">
      <alignment horizontal="center" vertical="center"/>
    </xf>
    <xf numFmtId="43" fontId="10" fillId="6" borderId="5" xfId="1" applyFont="1" applyFill="1" applyBorder="1" applyAlignment="1">
      <alignment horizontal="left" vertical="center"/>
    </xf>
    <xf numFmtId="43" fontId="10" fillId="0" borderId="5" xfId="1" applyFont="1" applyBorder="1" applyAlignment="1">
      <alignment horizontal="left" vertical="center"/>
    </xf>
    <xf numFmtId="43" fontId="10" fillId="0" borderId="5" xfId="1" applyFont="1" applyBorder="1" applyAlignment="1">
      <alignment horizontal="center" vertical="center"/>
    </xf>
    <xf numFmtId="43" fontId="10" fillId="0" borderId="17" xfId="1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43" fontId="10" fillId="6" borderId="5" xfId="1" applyFont="1" applyFill="1" applyBorder="1" applyAlignment="1">
      <alignment horizontal="right" vertical="center"/>
    </xf>
    <xf numFmtId="9" fontId="0" fillId="11" borderId="24" xfId="4" applyFont="1" applyFill="1" applyBorder="1"/>
    <xf numFmtId="0" fontId="10" fillId="0" borderId="8" xfId="1" applyNumberFormat="1" applyFont="1" applyBorder="1" applyAlignment="1">
      <alignment horizontal="right" vertical="center"/>
    </xf>
    <xf numFmtId="43" fontId="10" fillId="0" borderId="8" xfId="1" applyFont="1" applyBorder="1" applyAlignment="1">
      <alignment horizontal="right" vertical="center"/>
    </xf>
    <xf numFmtId="43" fontId="10" fillId="14" borderId="8" xfId="1" applyFont="1" applyFill="1" applyBorder="1" applyAlignment="1">
      <alignment horizontal="center" vertical="center"/>
    </xf>
    <xf numFmtId="43" fontId="10" fillId="6" borderId="18" xfId="4" applyNumberFormat="1" applyFont="1" applyFill="1" applyBorder="1" applyAlignment="1">
      <alignment horizontal="center" vertical="center"/>
    </xf>
    <xf numFmtId="0" fontId="13" fillId="11" borderId="45" xfId="0" applyFont="1" applyFill="1" applyBorder="1" applyAlignment="1">
      <alignment horizontal="center" vertical="center"/>
    </xf>
    <xf numFmtId="43" fontId="10" fillId="6" borderId="7" xfId="1" applyFont="1" applyFill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43" fontId="13" fillId="14" borderId="3" xfId="1" applyFont="1" applyFill="1" applyBorder="1" applyAlignment="1">
      <alignment vertical="center"/>
    </xf>
    <xf numFmtId="0" fontId="13" fillId="14" borderId="3" xfId="0" applyFont="1" applyFill="1" applyBorder="1" applyAlignment="1">
      <alignment vertical="center"/>
    </xf>
    <xf numFmtId="43" fontId="13" fillId="14" borderId="4" xfId="1" applyFont="1" applyFill="1" applyBorder="1" applyAlignment="1">
      <alignment vertical="center"/>
    </xf>
    <xf numFmtId="43" fontId="10" fillId="6" borderId="8" xfId="1" applyFont="1" applyFill="1" applyBorder="1" applyAlignment="1">
      <alignment horizontal="center" vertical="center"/>
    </xf>
    <xf numFmtId="43" fontId="13" fillId="11" borderId="25" xfId="1" applyFont="1" applyFill="1" applyBorder="1" applyAlignment="1">
      <alignment horizontal="center" vertical="center"/>
    </xf>
    <xf numFmtId="0" fontId="13" fillId="11" borderId="62" xfId="0" applyFont="1" applyFill="1" applyBorder="1" applyAlignment="1">
      <alignment horizontal="center" vertical="center"/>
    </xf>
    <xf numFmtId="43" fontId="13" fillId="11" borderId="63" xfId="1" applyFont="1" applyFill="1" applyBorder="1" applyAlignment="1">
      <alignment horizontal="center" vertical="center"/>
    </xf>
    <xf numFmtId="0" fontId="13" fillId="11" borderId="6" xfId="0" applyFont="1" applyFill="1" applyBorder="1" applyAlignment="1">
      <alignment horizontal="center" vertical="center"/>
    </xf>
    <xf numFmtId="0" fontId="13" fillId="11" borderId="17" xfId="0" applyFont="1" applyFill="1" applyBorder="1" applyAlignment="1">
      <alignment horizontal="center" vertical="center"/>
    </xf>
    <xf numFmtId="0" fontId="13" fillId="11" borderId="24" xfId="0" applyFont="1" applyFill="1" applyBorder="1" applyAlignment="1">
      <alignment horizontal="left" vertical="center" wrapText="1"/>
    </xf>
    <xf numFmtId="0" fontId="13" fillId="11" borderId="23" xfId="0" applyFont="1" applyFill="1" applyBorder="1" applyAlignment="1">
      <alignment horizontal="left" vertical="center"/>
    </xf>
    <xf numFmtId="0" fontId="17" fillId="0" borderId="0" xfId="0" applyFont="1"/>
    <xf numFmtId="0" fontId="10" fillId="11" borderId="14" xfId="0" applyFont="1" applyFill="1" applyBorder="1"/>
    <xf numFmtId="0" fontId="0" fillId="11" borderId="61" xfId="0" applyFill="1" applyBorder="1"/>
    <xf numFmtId="43" fontId="10" fillId="11" borderId="14" xfId="1" applyFont="1" applyFill="1" applyBorder="1"/>
    <xf numFmtId="2" fontId="10" fillId="10" borderId="5" xfId="0" applyNumberFormat="1" applyFont="1" applyFill="1" applyBorder="1" applyAlignment="1">
      <alignment horizontal="center" vertical="center"/>
    </xf>
    <xf numFmtId="0" fontId="10" fillId="0" borderId="8" xfId="0" applyFont="1" applyBorder="1" applyAlignment="1">
      <alignment vertical="center"/>
    </xf>
    <xf numFmtId="2" fontId="10" fillId="0" borderId="5" xfId="0" applyNumberFormat="1" applyFont="1" applyBorder="1" applyAlignment="1">
      <alignment horizontal="center" vertical="center"/>
    </xf>
    <xf numFmtId="1" fontId="10" fillId="9" borderId="5" xfId="0" applyNumberFormat="1" applyFont="1" applyFill="1" applyBorder="1" applyAlignment="1" applyProtection="1">
      <alignment horizontal="center" vertical="center"/>
      <protection locked="0"/>
    </xf>
    <xf numFmtId="0" fontId="10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8" fillId="0" borderId="0" xfId="2" applyFont="1" applyAlignment="1">
      <alignment vertical="center"/>
    </xf>
    <xf numFmtId="0" fontId="13" fillId="11" borderId="27" xfId="0" applyFont="1" applyFill="1" applyBorder="1"/>
    <xf numFmtId="0" fontId="13" fillId="11" borderId="23" xfId="2" applyFont="1" applyFill="1" applyBorder="1" applyAlignment="1">
      <alignment vertical="center"/>
    </xf>
    <xf numFmtId="0" fontId="10" fillId="11" borderId="24" xfId="2" applyFont="1" applyFill="1" applyBorder="1" applyAlignment="1">
      <alignment vertical="center"/>
    </xf>
    <xf numFmtId="0" fontId="13" fillId="11" borderId="65" xfId="2" applyFont="1" applyFill="1" applyBorder="1" applyAlignment="1">
      <alignment vertical="center"/>
    </xf>
    <xf numFmtId="0" fontId="10" fillId="11" borderId="62" xfId="2" applyFont="1" applyFill="1" applyBorder="1" applyAlignment="1">
      <alignment vertical="center"/>
    </xf>
    <xf numFmtId="0" fontId="13" fillId="8" borderId="55" xfId="0" applyFont="1" applyFill="1" applyBorder="1" applyAlignment="1">
      <alignment horizontal="center" vertical="center"/>
    </xf>
    <xf numFmtId="0" fontId="13" fillId="11" borderId="16" xfId="2" applyFont="1" applyFill="1" applyBorder="1" applyAlignment="1">
      <alignment vertical="center"/>
    </xf>
    <xf numFmtId="43" fontId="13" fillId="11" borderId="66" xfId="2" applyNumberFormat="1" applyFont="1" applyFill="1" applyBorder="1" applyAlignment="1">
      <alignment vertical="center"/>
    </xf>
    <xf numFmtId="0" fontId="10" fillId="9" borderId="27" xfId="0" applyFont="1" applyFill="1" applyBorder="1" applyAlignment="1" applyProtection="1">
      <alignment vertical="center"/>
      <protection locked="0"/>
    </xf>
    <xf numFmtId="0" fontId="10" fillId="0" borderId="13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29" xfId="0" applyFont="1" applyBorder="1" applyAlignment="1">
      <alignment vertical="center"/>
    </xf>
    <xf numFmtId="0" fontId="13" fillId="0" borderId="29" xfId="0" applyFont="1" applyBorder="1" applyAlignment="1">
      <alignment vertical="center"/>
    </xf>
    <xf numFmtId="0" fontId="10" fillId="0" borderId="57" xfId="0" applyFont="1" applyBorder="1" applyAlignment="1">
      <alignment vertical="center"/>
    </xf>
    <xf numFmtId="0" fontId="13" fillId="0" borderId="67" xfId="0" applyFont="1" applyBorder="1" applyAlignment="1">
      <alignment vertical="center"/>
    </xf>
    <xf numFmtId="0" fontId="13" fillId="0" borderId="23" xfId="0" applyFont="1" applyBorder="1" applyAlignment="1">
      <alignment vertical="center"/>
    </xf>
    <xf numFmtId="0" fontId="13" fillId="0" borderId="24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10" fillId="0" borderId="31" xfId="0" applyFont="1" applyBorder="1" applyAlignment="1">
      <alignment vertical="center"/>
    </xf>
    <xf numFmtId="0" fontId="10" fillId="0" borderId="23" xfId="0" applyFont="1" applyBorder="1" applyAlignment="1">
      <alignment vertical="center"/>
    </xf>
    <xf numFmtId="0" fontId="10" fillId="0" borderId="24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3" fillId="0" borderId="31" xfId="0" applyFont="1" applyBorder="1" applyAlignment="1">
      <alignment vertical="center"/>
    </xf>
    <xf numFmtId="0" fontId="13" fillId="0" borderId="19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0" fillId="0" borderId="58" xfId="0" applyFont="1" applyBorder="1" applyAlignment="1">
      <alignment horizontal="center" vertical="center"/>
    </xf>
    <xf numFmtId="0" fontId="10" fillId="0" borderId="53" xfId="0" applyFont="1" applyBorder="1" applyAlignment="1">
      <alignment horizontal="center" vertical="center"/>
    </xf>
    <xf numFmtId="0" fontId="0" fillId="0" borderId="24" xfId="0" applyBorder="1" applyAlignment="1">
      <alignment horizontal="right"/>
    </xf>
    <xf numFmtId="43" fontId="0" fillId="0" borderId="24" xfId="1" applyFont="1" applyBorder="1" applyAlignment="1">
      <alignment vertical="center"/>
    </xf>
    <xf numFmtId="9" fontId="10" fillId="6" borderId="5" xfId="4" applyFont="1" applyFill="1" applyBorder="1" applyAlignment="1">
      <alignment horizontal="right" vertical="center"/>
    </xf>
    <xf numFmtId="0" fontId="0" fillId="6" borderId="29" xfId="0" applyFill="1" applyBorder="1"/>
    <xf numFmtId="0" fontId="0" fillId="0" borderId="13" xfId="0" applyBorder="1" applyAlignment="1">
      <alignment horizontal="left"/>
    </xf>
    <xf numFmtId="0" fontId="16" fillId="0" borderId="0" xfId="2" applyFont="1"/>
    <xf numFmtId="166" fontId="16" fillId="0" borderId="0" xfId="3" applyFont="1"/>
    <xf numFmtId="166" fontId="16" fillId="0" borderId="0" xfId="2" applyNumberFormat="1" applyFont="1"/>
    <xf numFmtId="43" fontId="20" fillId="0" borderId="0" xfId="2" applyNumberFormat="1" applyFont="1"/>
    <xf numFmtId="0" fontId="0" fillId="0" borderId="0" xfId="0" applyAlignment="1">
      <alignment horizontal="center" vertical="center"/>
    </xf>
    <xf numFmtId="43" fontId="0" fillId="0" borderId="13" xfId="1" applyFont="1" applyBorder="1"/>
    <xf numFmtId="43" fontId="0" fillId="0" borderId="0" xfId="1" applyFont="1" applyBorder="1"/>
    <xf numFmtId="43" fontId="10" fillId="0" borderId="7" xfId="1" applyFont="1" applyFill="1" applyBorder="1" applyAlignment="1">
      <alignment horizontal="center" vertical="center"/>
    </xf>
    <xf numFmtId="0" fontId="10" fillId="0" borderId="8" xfId="1" applyNumberFormat="1" applyFont="1" applyFill="1" applyBorder="1" applyAlignment="1">
      <alignment horizontal="right" vertical="center"/>
    </xf>
    <xf numFmtId="43" fontId="10" fillId="0" borderId="8" xfId="1" applyFont="1" applyFill="1" applyBorder="1" applyAlignment="1">
      <alignment horizontal="right" vertical="center"/>
    </xf>
    <xf numFmtId="0" fontId="5" fillId="0" borderId="80" xfId="0" applyFont="1" applyBorder="1"/>
    <xf numFmtId="0" fontId="5" fillId="0" borderId="81" xfId="0" applyFont="1" applyBorder="1"/>
    <xf numFmtId="43" fontId="5" fillId="0" borderId="81" xfId="0" applyNumberFormat="1" applyFont="1" applyBorder="1"/>
    <xf numFmtId="43" fontId="5" fillId="0" borderId="22" xfId="0" applyNumberFormat="1" applyFont="1" applyBorder="1"/>
    <xf numFmtId="43" fontId="19" fillId="6" borderId="6" xfId="1" applyFont="1" applyFill="1" applyBorder="1" applyAlignment="1">
      <alignment horizontal="center" vertical="center"/>
    </xf>
    <xf numFmtId="43" fontId="19" fillId="6" borderId="5" xfId="1" applyFont="1" applyFill="1" applyBorder="1" applyAlignment="1">
      <alignment horizontal="center" vertical="center"/>
    </xf>
    <xf numFmtId="43" fontId="19" fillId="6" borderId="43" xfId="1" applyFont="1" applyFill="1" applyBorder="1" applyAlignment="1">
      <alignment horizontal="center" vertical="center"/>
    </xf>
    <xf numFmtId="43" fontId="19" fillId="6" borderId="17" xfId="1" applyFont="1" applyFill="1" applyBorder="1" applyAlignment="1">
      <alignment horizontal="center" vertical="center"/>
    </xf>
    <xf numFmtId="0" fontId="27" fillId="0" borderId="13" xfId="0" applyFont="1" applyBorder="1" applyAlignment="1">
      <alignment vertical="center"/>
    </xf>
    <xf numFmtId="43" fontId="19" fillId="6" borderId="15" xfId="1" applyFont="1" applyFill="1" applyBorder="1" applyAlignment="1">
      <alignment horizontal="center" vertical="center"/>
    </xf>
    <xf numFmtId="0" fontId="27" fillId="0" borderId="0" xfId="0" applyFont="1" applyAlignment="1">
      <alignment vertical="center"/>
    </xf>
    <xf numFmtId="43" fontId="19" fillId="6" borderId="43" xfId="1" applyFont="1" applyFill="1" applyBorder="1" applyAlignment="1">
      <alignment vertical="center"/>
    </xf>
    <xf numFmtId="0" fontId="19" fillId="6" borderId="0" xfId="0" applyFont="1" applyFill="1" applyAlignment="1">
      <alignment vertical="center"/>
    </xf>
    <xf numFmtId="43" fontId="19" fillId="6" borderId="0" xfId="1" applyFont="1" applyFill="1" applyAlignment="1">
      <alignment horizontal="center" vertical="center"/>
    </xf>
    <xf numFmtId="0" fontId="25" fillId="6" borderId="0" xfId="0" applyFont="1" applyFill="1" applyAlignment="1">
      <alignment vertical="center"/>
    </xf>
    <xf numFmtId="0" fontId="25" fillId="0" borderId="27" xfId="0" applyFont="1" applyBorder="1" applyAlignment="1">
      <alignment vertical="center"/>
    </xf>
    <xf numFmtId="0" fontId="19" fillId="0" borderId="5" xfId="0" applyFont="1" applyBorder="1" applyAlignment="1">
      <alignment vertical="center"/>
    </xf>
    <xf numFmtId="0" fontId="25" fillId="0" borderId="23" xfId="0" applyFont="1" applyBorder="1" applyAlignment="1">
      <alignment vertical="center"/>
    </xf>
    <xf numFmtId="0" fontId="25" fillId="0" borderId="31" xfId="0" applyFont="1" applyBorder="1" applyAlignment="1">
      <alignment vertical="center"/>
    </xf>
    <xf numFmtId="0" fontId="24" fillId="6" borderId="0" xfId="0" applyFont="1" applyFill="1" applyAlignment="1">
      <alignment vertical="center"/>
    </xf>
    <xf numFmtId="0" fontId="26" fillId="6" borderId="0" xfId="0" applyFont="1" applyFill="1" applyAlignment="1">
      <alignment vertical="center"/>
    </xf>
    <xf numFmtId="0" fontId="19" fillId="6" borderId="0" xfId="0" applyFont="1" applyFill="1"/>
    <xf numFmtId="0" fontId="19" fillId="6" borderId="0" xfId="0" applyFont="1" applyFill="1" applyAlignment="1">
      <alignment horizontal="right" vertical="center"/>
    </xf>
    <xf numFmtId="0" fontId="25" fillId="6" borderId="1" xfId="0" applyFont="1" applyFill="1" applyBorder="1" applyAlignment="1">
      <alignment horizontal="center" vertical="center"/>
    </xf>
    <xf numFmtId="0" fontId="19" fillId="6" borderId="20" xfId="0" applyFont="1" applyFill="1" applyBorder="1" applyAlignment="1">
      <alignment horizontal="center" vertical="center"/>
    </xf>
    <xf numFmtId="43" fontId="19" fillId="6" borderId="20" xfId="1" applyFont="1" applyFill="1" applyBorder="1" applyAlignment="1">
      <alignment vertical="center"/>
    </xf>
    <xf numFmtId="169" fontId="19" fillId="6" borderId="0" xfId="0" applyNumberFormat="1" applyFont="1" applyFill="1" applyAlignment="1">
      <alignment vertical="center"/>
    </xf>
    <xf numFmtId="0" fontId="25" fillId="6" borderId="1" xfId="0" applyFont="1" applyFill="1" applyBorder="1" applyAlignment="1">
      <alignment vertical="center"/>
    </xf>
    <xf numFmtId="43" fontId="25" fillId="6" borderId="1" xfId="1" applyFont="1" applyFill="1" applyBorder="1" applyAlignment="1">
      <alignment vertical="center"/>
    </xf>
    <xf numFmtId="43" fontId="19" fillId="6" borderId="0" xfId="0" applyNumberFormat="1" applyFont="1" applyFill="1" applyAlignment="1">
      <alignment vertical="center"/>
    </xf>
    <xf numFmtId="43" fontId="25" fillId="6" borderId="22" xfId="0" applyNumberFormat="1" applyFont="1" applyFill="1" applyBorder="1" applyAlignment="1">
      <alignment vertical="center"/>
    </xf>
    <xf numFmtId="43" fontId="25" fillId="6" borderId="0" xfId="0" applyNumberFormat="1" applyFont="1" applyFill="1" applyAlignment="1">
      <alignment vertical="center"/>
    </xf>
    <xf numFmtId="43" fontId="19" fillId="6" borderId="30" xfId="0" applyNumberFormat="1" applyFont="1" applyFill="1" applyBorder="1" applyAlignment="1">
      <alignment vertical="center"/>
    </xf>
    <xf numFmtId="43" fontId="19" fillId="6" borderId="19" xfId="0" applyNumberFormat="1" applyFont="1" applyFill="1" applyBorder="1" applyAlignment="1">
      <alignment vertical="center"/>
    </xf>
    <xf numFmtId="43" fontId="19" fillId="6" borderId="32" xfId="0" applyNumberFormat="1" applyFont="1" applyFill="1" applyBorder="1" applyAlignment="1">
      <alignment vertical="center"/>
    </xf>
    <xf numFmtId="43" fontId="19" fillId="6" borderId="0" xfId="1" applyFont="1" applyFill="1" applyAlignment="1">
      <alignment vertical="center"/>
    </xf>
    <xf numFmtId="43" fontId="19" fillId="6" borderId="34" xfId="1" applyFont="1" applyFill="1" applyBorder="1" applyAlignment="1">
      <alignment vertical="center"/>
    </xf>
    <xf numFmtId="43" fontId="19" fillId="6" borderId="33" xfId="1" applyFont="1" applyFill="1" applyBorder="1" applyAlignment="1">
      <alignment vertical="center"/>
    </xf>
    <xf numFmtId="0" fontId="19" fillId="6" borderId="13" xfId="0" applyFont="1" applyFill="1" applyBorder="1" applyAlignment="1">
      <alignment horizontal="right" vertical="center"/>
    </xf>
    <xf numFmtId="43" fontId="19" fillId="6" borderId="36" xfId="1" applyFont="1" applyFill="1" applyBorder="1" applyAlignment="1">
      <alignment horizontal="center" vertical="center"/>
    </xf>
    <xf numFmtId="0" fontId="19" fillId="6" borderId="47" xfId="0" applyFont="1" applyFill="1" applyBorder="1" applyAlignment="1">
      <alignment horizontal="left" vertical="center"/>
    </xf>
    <xf numFmtId="164" fontId="19" fillId="6" borderId="19" xfId="0" applyNumberFormat="1" applyFont="1" applyFill="1" applyBorder="1" applyAlignment="1">
      <alignment horizontal="right" vertical="center"/>
    </xf>
    <xf numFmtId="43" fontId="19" fillId="6" borderId="44" xfId="1" applyFont="1" applyFill="1" applyBorder="1" applyAlignment="1">
      <alignment horizontal="center" vertical="center"/>
    </xf>
    <xf numFmtId="0" fontId="27" fillId="6" borderId="13" xfId="0" applyFont="1" applyFill="1" applyBorder="1" applyAlignment="1">
      <alignment vertical="center"/>
    </xf>
    <xf numFmtId="0" fontId="19" fillId="6" borderId="15" xfId="0" applyFont="1" applyFill="1" applyBorder="1" applyAlignment="1">
      <alignment vertical="center"/>
    </xf>
    <xf numFmtId="43" fontId="19" fillId="6" borderId="52" xfId="1" applyFont="1" applyFill="1" applyBorder="1" applyAlignment="1">
      <alignment vertical="center"/>
    </xf>
    <xf numFmtId="0" fontId="27" fillId="6" borderId="0" xfId="0" applyFont="1" applyFill="1" applyAlignment="1">
      <alignment vertical="center"/>
    </xf>
    <xf numFmtId="43" fontId="19" fillId="6" borderId="36" xfId="1" applyFont="1" applyFill="1" applyBorder="1" applyAlignment="1">
      <alignment vertical="center"/>
    </xf>
    <xf numFmtId="43" fontId="19" fillId="6" borderId="19" xfId="1" applyFont="1" applyFill="1" applyBorder="1" applyAlignment="1">
      <alignment horizontal="center" vertical="center"/>
    </xf>
    <xf numFmtId="43" fontId="19" fillId="6" borderId="44" xfId="1" applyFont="1" applyFill="1" applyBorder="1" applyAlignment="1">
      <alignment vertical="center"/>
    </xf>
    <xf numFmtId="2" fontId="19" fillId="6" borderId="0" xfId="0" applyNumberFormat="1" applyFont="1" applyFill="1" applyAlignment="1">
      <alignment vertical="center"/>
    </xf>
    <xf numFmtId="0" fontId="23" fillId="6" borderId="0" xfId="0" applyFont="1" applyFill="1" applyAlignment="1">
      <alignment vertical="center"/>
    </xf>
    <xf numFmtId="0" fontId="19" fillId="6" borderId="6" xfId="0" applyFont="1" applyFill="1" applyBorder="1" applyAlignment="1">
      <alignment vertical="center"/>
    </xf>
    <xf numFmtId="43" fontId="19" fillId="6" borderId="6" xfId="1" applyFont="1" applyFill="1" applyBorder="1" applyAlignment="1">
      <alignment vertical="center"/>
    </xf>
    <xf numFmtId="0" fontId="19" fillId="6" borderId="5" xfId="0" applyFont="1" applyFill="1" applyBorder="1" applyAlignment="1">
      <alignment vertical="center"/>
    </xf>
    <xf numFmtId="43" fontId="19" fillId="6" borderId="5" xfId="1" applyFont="1" applyFill="1" applyBorder="1" applyAlignment="1">
      <alignment vertical="center"/>
    </xf>
    <xf numFmtId="43" fontId="19" fillId="6" borderId="49" xfId="1" applyFont="1" applyFill="1" applyBorder="1" applyAlignment="1">
      <alignment vertical="center"/>
    </xf>
    <xf numFmtId="0" fontId="19" fillId="6" borderId="17" xfId="0" applyFont="1" applyFill="1" applyBorder="1" applyAlignment="1">
      <alignment vertical="center"/>
    </xf>
    <xf numFmtId="43" fontId="19" fillId="6" borderId="17" xfId="1" applyFont="1" applyFill="1" applyBorder="1" applyAlignment="1">
      <alignment vertical="center"/>
    </xf>
    <xf numFmtId="43" fontId="19" fillId="6" borderId="50" xfId="1" applyFont="1" applyFill="1" applyBorder="1" applyAlignment="1">
      <alignment vertical="center"/>
    </xf>
    <xf numFmtId="0" fontId="25" fillId="6" borderId="27" xfId="0" applyFont="1" applyFill="1" applyBorder="1" applyAlignment="1">
      <alignment vertical="center"/>
    </xf>
    <xf numFmtId="43" fontId="25" fillId="6" borderId="28" xfId="1" applyFont="1" applyFill="1" applyBorder="1" applyAlignment="1">
      <alignment vertical="center"/>
    </xf>
    <xf numFmtId="0" fontId="19" fillId="6" borderId="24" xfId="0" applyFont="1" applyFill="1" applyBorder="1" applyAlignment="1">
      <alignment horizontal="right" vertical="center"/>
    </xf>
    <xf numFmtId="43" fontId="19" fillId="6" borderId="24" xfId="1" applyFont="1" applyFill="1" applyBorder="1" applyAlignment="1">
      <alignment vertical="center"/>
    </xf>
    <xf numFmtId="43" fontId="25" fillId="6" borderId="26" xfId="1" applyFont="1" applyFill="1" applyBorder="1" applyAlignment="1">
      <alignment vertical="center"/>
    </xf>
    <xf numFmtId="2" fontId="25" fillId="6" borderId="26" xfId="0" applyNumberFormat="1" applyFont="1" applyFill="1" applyBorder="1" applyAlignment="1">
      <alignment vertical="center"/>
    </xf>
    <xf numFmtId="43" fontId="19" fillId="6" borderId="32" xfId="1" applyFont="1" applyFill="1" applyBorder="1" applyAlignment="1">
      <alignment vertical="center"/>
    </xf>
    <xf numFmtId="43" fontId="19" fillId="6" borderId="28" xfId="0" applyNumberFormat="1" applyFont="1" applyFill="1" applyBorder="1" applyAlignment="1">
      <alignment vertical="center"/>
    </xf>
    <xf numFmtId="10" fontId="19" fillId="6" borderId="32" xfId="0" applyNumberFormat="1" applyFont="1" applyFill="1" applyBorder="1" applyAlignment="1">
      <alignment vertical="center"/>
    </xf>
    <xf numFmtId="43" fontId="25" fillId="6" borderId="32" xfId="1" applyFont="1" applyFill="1" applyBorder="1" applyAlignment="1">
      <alignment vertical="center"/>
    </xf>
    <xf numFmtId="0" fontId="25" fillId="11" borderId="23" xfId="0" applyFont="1" applyFill="1" applyBorder="1" applyAlignment="1">
      <alignment horizontal="center" vertical="center" wrapText="1"/>
    </xf>
    <xf numFmtId="0" fontId="25" fillId="11" borderId="24" xfId="0" applyFont="1" applyFill="1" applyBorder="1" applyAlignment="1">
      <alignment horizontal="center" vertical="center" wrapText="1"/>
    </xf>
    <xf numFmtId="0" fontId="25" fillId="11" borderId="26" xfId="0" applyFont="1" applyFill="1" applyBorder="1" applyAlignment="1">
      <alignment horizontal="center" vertical="center" wrapText="1"/>
    </xf>
    <xf numFmtId="0" fontId="0" fillId="0" borderId="84" xfId="0" applyBorder="1"/>
    <xf numFmtId="43" fontId="0" fillId="0" borderId="79" xfId="1" applyFont="1" applyBorder="1"/>
    <xf numFmtId="0" fontId="0" fillId="0" borderId="0" xfId="0" applyAlignment="1">
      <alignment horizontal="left"/>
    </xf>
    <xf numFmtId="0" fontId="13" fillId="0" borderId="56" xfId="0" applyFont="1" applyBorder="1" applyAlignment="1">
      <alignment horizontal="left" vertical="center"/>
    </xf>
    <xf numFmtId="0" fontId="13" fillId="0" borderId="55" xfId="0" applyFont="1" applyBorder="1" applyAlignment="1">
      <alignment horizontal="center" vertical="center"/>
    </xf>
    <xf numFmtId="166" fontId="13" fillId="0" borderId="54" xfId="3" applyFont="1" applyFill="1" applyBorder="1" applyAlignment="1">
      <alignment horizontal="center" vertical="center"/>
    </xf>
    <xf numFmtId="166" fontId="13" fillId="0" borderId="4" xfId="3" applyFont="1" applyFill="1" applyBorder="1" applyAlignment="1">
      <alignment horizontal="center" vertical="center"/>
    </xf>
    <xf numFmtId="0" fontId="10" fillId="0" borderId="27" xfId="0" applyFont="1" applyBorder="1" applyAlignment="1" applyProtection="1">
      <alignment vertical="center"/>
      <protection locked="0"/>
    </xf>
    <xf numFmtId="166" fontId="10" fillId="0" borderId="7" xfId="3" applyFont="1" applyFill="1" applyBorder="1" applyAlignment="1">
      <alignment horizontal="center" vertical="center"/>
    </xf>
    <xf numFmtId="166" fontId="10" fillId="0" borderId="8" xfId="3" applyFont="1" applyFill="1" applyBorder="1" applyAlignment="1">
      <alignment horizontal="center" vertical="center"/>
    </xf>
    <xf numFmtId="167" fontId="10" fillId="0" borderId="5" xfId="3" applyNumberFormat="1" applyFont="1" applyFill="1" applyBorder="1" applyAlignment="1">
      <alignment horizontal="center" vertical="center"/>
    </xf>
    <xf numFmtId="1" fontId="10" fillId="0" borderId="5" xfId="0" applyNumberFormat="1" applyFont="1" applyBorder="1" applyAlignment="1" applyProtection="1">
      <alignment horizontal="center" vertical="center"/>
      <protection locked="0"/>
    </xf>
    <xf numFmtId="166" fontId="10" fillId="0" borderId="5" xfId="3" applyFont="1" applyFill="1" applyBorder="1" applyAlignment="1" applyProtection="1">
      <alignment horizontal="center" vertical="center"/>
      <protection locked="0"/>
    </xf>
    <xf numFmtId="166" fontId="13" fillId="0" borderId="5" xfId="3" applyFont="1" applyFill="1" applyBorder="1" applyAlignment="1">
      <alignment horizontal="center" vertical="center"/>
    </xf>
    <xf numFmtId="166" fontId="13" fillId="0" borderId="8" xfId="3" applyFont="1" applyFill="1" applyBorder="1" applyAlignment="1">
      <alignment horizontal="center" vertical="center"/>
    </xf>
    <xf numFmtId="166" fontId="10" fillId="0" borderId="10" xfId="3" applyFont="1" applyFill="1" applyBorder="1" applyAlignment="1">
      <alignment horizontal="center" vertical="center"/>
    </xf>
    <xf numFmtId="166" fontId="13" fillId="0" borderId="11" xfId="3" applyFont="1" applyFill="1" applyBorder="1" applyAlignment="1">
      <alignment horizontal="center" vertical="center"/>
    </xf>
    <xf numFmtId="166" fontId="13" fillId="0" borderId="12" xfId="3" applyFont="1" applyFill="1" applyBorder="1" applyAlignment="1">
      <alignment horizontal="center" vertical="center"/>
    </xf>
    <xf numFmtId="0" fontId="13" fillId="0" borderId="27" xfId="0" applyFont="1" applyBorder="1"/>
    <xf numFmtId="0" fontId="10" fillId="0" borderId="13" xfId="0" applyFont="1" applyBorder="1"/>
    <xf numFmtId="0" fontId="10" fillId="0" borderId="14" xfId="0" applyFont="1" applyBorder="1"/>
    <xf numFmtId="166" fontId="10" fillId="0" borderId="15" xfId="3" applyFont="1" applyFill="1" applyBorder="1" applyAlignment="1">
      <alignment horizontal="center" vertical="center"/>
    </xf>
    <xf numFmtId="166" fontId="13" fillId="0" borderId="16" xfId="3" applyFont="1" applyFill="1" applyBorder="1" applyAlignment="1">
      <alignment horizontal="center" vertical="center"/>
    </xf>
    <xf numFmtId="166" fontId="10" fillId="0" borderId="17" xfId="3" applyFont="1" applyFill="1" applyBorder="1" applyAlignment="1">
      <alignment horizontal="center" vertical="center"/>
    </xf>
    <xf numFmtId="166" fontId="10" fillId="0" borderId="18" xfId="3" applyFont="1" applyFill="1" applyBorder="1" applyAlignment="1">
      <alignment horizontal="center" vertical="center"/>
    </xf>
    <xf numFmtId="166" fontId="10" fillId="0" borderId="16" xfId="3" applyFont="1" applyFill="1" applyBorder="1" applyAlignment="1">
      <alignment horizontal="center" vertical="center"/>
    </xf>
    <xf numFmtId="0" fontId="13" fillId="0" borderId="23" xfId="2" applyFont="1" applyBorder="1" applyAlignment="1">
      <alignment vertical="center"/>
    </xf>
    <xf numFmtId="0" fontId="10" fillId="0" borderId="24" xfId="2" applyFont="1" applyBorder="1" applyAlignment="1">
      <alignment vertical="center"/>
    </xf>
    <xf numFmtId="43" fontId="13" fillId="0" borderId="16" xfId="2" applyNumberFormat="1" applyFont="1" applyBorder="1" applyAlignment="1">
      <alignment vertical="center"/>
    </xf>
    <xf numFmtId="0" fontId="13" fillId="0" borderId="65" xfId="2" applyFont="1" applyBorder="1" applyAlignment="1">
      <alignment vertical="center"/>
    </xf>
    <xf numFmtId="0" fontId="10" fillId="0" borderId="62" xfId="2" applyFont="1" applyBorder="1" applyAlignment="1">
      <alignment vertical="center"/>
    </xf>
    <xf numFmtId="43" fontId="13" fillId="0" borderId="66" xfId="2" applyNumberFormat="1" applyFont="1" applyBorder="1" applyAlignment="1">
      <alignment vertical="center"/>
    </xf>
    <xf numFmtId="0" fontId="24" fillId="0" borderId="0" xfId="0" applyFont="1"/>
    <xf numFmtId="0" fontId="19" fillId="0" borderId="0" xfId="0" applyFont="1"/>
    <xf numFmtId="0" fontId="19" fillId="0" borderId="0" xfId="0" applyFont="1" applyAlignment="1">
      <alignment horizontal="right"/>
    </xf>
    <xf numFmtId="0" fontId="25" fillId="0" borderId="0" xfId="0" applyFont="1"/>
    <xf numFmtId="43" fontId="19" fillId="0" borderId="0" xfId="1" applyFont="1" applyFill="1"/>
    <xf numFmtId="0" fontId="19" fillId="0" borderId="23" xfId="0" applyFont="1" applyBorder="1"/>
    <xf numFmtId="0" fontId="19" fillId="0" borderId="24" xfId="0" applyFont="1" applyBorder="1"/>
    <xf numFmtId="43" fontId="19" fillId="0" borderId="0" xfId="0" applyNumberFormat="1" applyFont="1"/>
    <xf numFmtId="10" fontId="15" fillId="0" borderId="0" xfId="0" applyNumberFormat="1" applyFont="1"/>
    <xf numFmtId="0" fontId="19" fillId="0" borderId="27" xfId="0" applyFont="1" applyBorder="1"/>
    <xf numFmtId="0" fontId="19" fillId="0" borderId="13" xfId="0" applyFont="1" applyBorder="1"/>
    <xf numFmtId="43" fontId="19" fillId="0" borderId="34" xfId="1" applyFont="1" applyFill="1" applyBorder="1"/>
    <xf numFmtId="0" fontId="19" fillId="0" borderId="29" xfId="0" applyFont="1" applyBorder="1"/>
    <xf numFmtId="43" fontId="19" fillId="0" borderId="43" xfId="1" applyFont="1" applyFill="1" applyBorder="1"/>
    <xf numFmtId="0" fontId="19" fillId="0" borderId="31" xfId="0" applyFont="1" applyBorder="1"/>
    <xf numFmtId="0" fontId="19" fillId="0" borderId="19" xfId="0" applyFont="1" applyBorder="1"/>
    <xf numFmtId="0" fontId="25" fillId="0" borderId="0" xfId="0" applyFont="1" applyAlignment="1">
      <alignment horizontal="right"/>
    </xf>
    <xf numFmtId="43" fontId="25" fillId="0" borderId="22" xfId="1" applyFont="1" applyFill="1" applyBorder="1"/>
    <xf numFmtId="0" fontId="19" fillId="0" borderId="26" xfId="0" applyFont="1" applyBorder="1"/>
    <xf numFmtId="0" fontId="19" fillId="0" borderId="41" xfId="0" applyFont="1" applyBorder="1"/>
    <xf numFmtId="0" fontId="19" fillId="0" borderId="38" xfId="0" applyFont="1" applyBorder="1"/>
    <xf numFmtId="43" fontId="19" fillId="0" borderId="6" xfId="1" applyFont="1" applyFill="1" applyBorder="1"/>
    <xf numFmtId="0" fontId="19" fillId="0" borderId="28" xfId="0" applyFont="1" applyBorder="1"/>
    <xf numFmtId="0" fontId="19" fillId="0" borderId="39" xfId="0" applyFont="1" applyBorder="1"/>
    <xf numFmtId="43" fontId="19" fillId="0" borderId="5" xfId="1" applyFont="1" applyFill="1" applyBorder="1"/>
    <xf numFmtId="0" fontId="19" fillId="0" borderId="30" xfId="0" applyFont="1" applyBorder="1"/>
    <xf numFmtId="0" fontId="19" fillId="0" borderId="40" xfId="0" applyFont="1" applyBorder="1"/>
    <xf numFmtId="43" fontId="19" fillId="0" borderId="17" xfId="1" applyFont="1" applyFill="1" applyBorder="1"/>
    <xf numFmtId="0" fontId="19" fillId="0" borderId="32" xfId="0" applyFont="1" applyBorder="1"/>
    <xf numFmtId="43" fontId="19" fillId="0" borderId="44" xfId="1" applyFont="1" applyFill="1" applyBorder="1"/>
    <xf numFmtId="0" fontId="27" fillId="0" borderId="13" xfId="0" applyFont="1" applyBorder="1"/>
    <xf numFmtId="0" fontId="27" fillId="0" borderId="0" xfId="0" applyFont="1"/>
    <xf numFmtId="0" fontId="19" fillId="0" borderId="1" xfId="0" applyFont="1" applyBorder="1"/>
    <xf numFmtId="43" fontId="19" fillId="0" borderId="51" xfId="1" applyFont="1" applyFill="1" applyBorder="1"/>
    <xf numFmtId="0" fontId="19" fillId="0" borderId="45" xfId="0" applyFont="1" applyBorder="1"/>
    <xf numFmtId="0" fontId="19" fillId="0" borderId="28" xfId="0" applyFont="1" applyBorder="1" applyAlignment="1">
      <alignment horizontal="right"/>
    </xf>
    <xf numFmtId="43" fontId="19" fillId="0" borderId="36" xfId="1" applyFont="1" applyFill="1" applyBorder="1"/>
    <xf numFmtId="0" fontId="19" fillId="0" borderId="46" xfId="0" applyFont="1" applyBorder="1"/>
    <xf numFmtId="0" fontId="19" fillId="0" borderId="30" xfId="0" applyFont="1" applyBorder="1" applyAlignment="1">
      <alignment horizontal="right"/>
    </xf>
    <xf numFmtId="43" fontId="19" fillId="0" borderId="47" xfId="1" applyFont="1" applyFill="1" applyBorder="1" applyAlignment="1">
      <alignment horizontal="center"/>
    </xf>
    <xf numFmtId="0" fontId="19" fillId="0" borderId="47" xfId="0" applyFont="1" applyBorder="1"/>
    <xf numFmtId="0" fontId="23" fillId="0" borderId="0" xfId="0" applyFont="1"/>
    <xf numFmtId="0" fontId="25" fillId="0" borderId="23" xfId="0" applyFont="1" applyBorder="1"/>
    <xf numFmtId="43" fontId="25" fillId="0" borderId="22" xfId="0" applyNumberFormat="1" applyFont="1" applyBorder="1"/>
    <xf numFmtId="0" fontId="19" fillId="0" borderId="6" xfId="0" applyFont="1" applyBorder="1"/>
    <xf numFmtId="43" fontId="19" fillId="0" borderId="28" xfId="1" applyFont="1" applyFill="1" applyBorder="1"/>
    <xf numFmtId="43" fontId="19" fillId="0" borderId="48" xfId="1" applyFont="1" applyFill="1" applyBorder="1"/>
    <xf numFmtId="0" fontId="19" fillId="0" borderId="5" xfId="0" applyFont="1" applyBorder="1"/>
    <xf numFmtId="43" fontId="19" fillId="0" borderId="49" xfId="1" applyFont="1" applyFill="1" applyBorder="1"/>
    <xf numFmtId="0" fontId="19" fillId="0" borderId="17" xfId="0" applyFont="1" applyBorder="1"/>
    <xf numFmtId="43" fontId="19" fillId="0" borderId="50" xfId="1" applyFont="1" applyFill="1" applyBorder="1"/>
    <xf numFmtId="0" fontId="25" fillId="0" borderId="27" xfId="0" applyFont="1" applyBorder="1"/>
    <xf numFmtId="0" fontId="19" fillId="0" borderId="15" xfId="0" applyFont="1" applyBorder="1"/>
    <xf numFmtId="0" fontId="25" fillId="0" borderId="26" xfId="0" applyFont="1" applyBorder="1"/>
    <xf numFmtId="9" fontId="19" fillId="0" borderId="30" xfId="4" applyFont="1" applyFill="1" applyBorder="1"/>
    <xf numFmtId="2" fontId="19" fillId="0" borderId="30" xfId="0" applyNumberFormat="1" applyFont="1" applyBorder="1"/>
    <xf numFmtId="0" fontId="19" fillId="0" borderId="24" xfId="0" applyFont="1" applyBorder="1" applyAlignment="1">
      <alignment horizontal="right"/>
    </xf>
    <xf numFmtId="43" fontId="19" fillId="0" borderId="24" xfId="1" applyFont="1" applyFill="1" applyBorder="1" applyAlignment="1">
      <alignment vertical="center"/>
    </xf>
    <xf numFmtId="0" fontId="25" fillId="0" borderId="31" xfId="0" applyFont="1" applyBorder="1"/>
    <xf numFmtId="43" fontId="19" fillId="0" borderId="28" xfId="0" applyNumberFormat="1" applyFont="1" applyBorder="1"/>
    <xf numFmtId="10" fontId="19" fillId="0" borderId="32" xfId="0" applyNumberFormat="1" applyFont="1" applyBorder="1"/>
    <xf numFmtId="43" fontId="25" fillId="0" borderId="32" xfId="1" applyFont="1" applyFill="1" applyBorder="1"/>
    <xf numFmtId="43" fontId="19" fillId="0" borderId="32" xfId="1" applyFont="1" applyFill="1" applyBorder="1"/>
    <xf numFmtId="0" fontId="24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right" vertical="center"/>
    </xf>
    <xf numFmtId="0" fontId="25" fillId="0" borderId="0" xfId="0" applyFont="1" applyAlignment="1">
      <alignment vertical="center"/>
    </xf>
    <xf numFmtId="43" fontId="19" fillId="0" borderId="0" xfId="1" applyFont="1" applyFill="1" applyAlignment="1">
      <alignment vertical="center"/>
    </xf>
    <xf numFmtId="43" fontId="25" fillId="0" borderId="22" xfId="1" applyFont="1" applyFill="1" applyBorder="1" applyAlignment="1">
      <alignment vertical="center"/>
    </xf>
    <xf numFmtId="43" fontId="19" fillId="0" borderId="0" xfId="0" applyNumberFormat="1" applyFont="1" applyAlignment="1">
      <alignment vertical="center"/>
    </xf>
    <xf numFmtId="43" fontId="19" fillId="0" borderId="43" xfId="1" applyFont="1" applyFill="1" applyBorder="1" applyAlignment="1">
      <alignment vertical="center"/>
    </xf>
    <xf numFmtId="43" fontId="19" fillId="0" borderId="44" xfId="1" applyFont="1" applyFill="1" applyBorder="1" applyAlignment="1">
      <alignment vertical="center"/>
    </xf>
    <xf numFmtId="0" fontId="19" fillId="0" borderId="39" xfId="0" applyFont="1" applyBorder="1" applyAlignment="1">
      <alignment vertical="center"/>
    </xf>
    <xf numFmtId="43" fontId="19" fillId="0" borderId="6" xfId="1" applyFont="1" applyFill="1" applyBorder="1" applyAlignment="1">
      <alignment horizontal="center" vertical="center"/>
    </xf>
    <xf numFmtId="0" fontId="19" fillId="0" borderId="39" xfId="0" applyFont="1" applyBorder="1" applyAlignment="1">
      <alignment horizontal="left" vertical="center" wrapText="1"/>
    </xf>
    <xf numFmtId="0" fontId="19" fillId="0" borderId="46" xfId="0" applyFont="1" applyBorder="1" applyAlignment="1">
      <alignment vertical="center"/>
    </xf>
    <xf numFmtId="0" fontId="19" fillId="0" borderId="40" xfId="0" applyFont="1" applyBorder="1" applyAlignment="1">
      <alignment vertical="center"/>
    </xf>
    <xf numFmtId="43" fontId="19" fillId="0" borderId="17" xfId="1" applyFont="1" applyFill="1" applyBorder="1" applyAlignment="1">
      <alignment horizontal="center" vertical="center"/>
    </xf>
    <xf numFmtId="0" fontId="19" fillId="0" borderId="40" xfId="0" applyFont="1" applyBorder="1" applyAlignment="1">
      <alignment horizontal="left" vertical="center" wrapText="1"/>
    </xf>
    <xf numFmtId="0" fontId="19" fillId="0" borderId="47" xfId="0" applyFont="1" applyBorder="1" applyAlignment="1">
      <alignment vertical="center"/>
    </xf>
    <xf numFmtId="0" fontId="19" fillId="0" borderId="38" xfId="0" applyFont="1" applyBorder="1" applyAlignment="1">
      <alignment vertical="center"/>
    </xf>
    <xf numFmtId="43" fontId="19" fillId="0" borderId="21" xfId="1" applyFont="1" applyFill="1" applyBorder="1" applyAlignment="1">
      <alignment vertical="center"/>
    </xf>
    <xf numFmtId="43" fontId="19" fillId="0" borderId="5" xfId="1" applyFont="1" applyFill="1" applyBorder="1" applyAlignment="1">
      <alignment horizontal="center" vertical="center"/>
    </xf>
    <xf numFmtId="0" fontId="23" fillId="0" borderId="0" xfId="0" applyFont="1" applyAlignment="1">
      <alignment vertical="center"/>
    </xf>
    <xf numFmtId="43" fontId="25" fillId="0" borderId="22" xfId="0" applyNumberFormat="1" applyFont="1" applyBorder="1" applyAlignment="1">
      <alignment vertical="center"/>
    </xf>
    <xf numFmtId="0" fontId="19" fillId="0" borderId="6" xfId="0" applyFont="1" applyBorder="1" applyAlignment="1">
      <alignment vertical="center"/>
    </xf>
    <xf numFmtId="43" fontId="19" fillId="0" borderId="6" xfId="1" applyFont="1" applyFill="1" applyBorder="1" applyAlignment="1">
      <alignment vertical="center"/>
    </xf>
    <xf numFmtId="43" fontId="19" fillId="0" borderId="28" xfId="1" applyFont="1" applyFill="1" applyBorder="1" applyAlignment="1">
      <alignment vertical="center"/>
    </xf>
    <xf numFmtId="43" fontId="19" fillId="0" borderId="5" xfId="1" applyFont="1" applyFill="1" applyBorder="1" applyAlignment="1">
      <alignment vertical="center"/>
    </xf>
    <xf numFmtId="43" fontId="19" fillId="0" borderId="30" xfId="1" applyFont="1" applyFill="1" applyBorder="1" applyAlignment="1">
      <alignment vertical="center"/>
    </xf>
    <xf numFmtId="0" fontId="19" fillId="0" borderId="17" xfId="0" applyFont="1" applyBorder="1" applyAlignment="1">
      <alignment vertical="center"/>
    </xf>
    <xf numFmtId="43" fontId="19" fillId="0" borderId="17" xfId="1" applyFont="1" applyFill="1" applyBorder="1" applyAlignment="1">
      <alignment vertical="center"/>
    </xf>
    <xf numFmtId="43" fontId="19" fillId="0" borderId="32" xfId="1" applyFont="1" applyFill="1" applyBorder="1" applyAlignment="1">
      <alignment vertical="center"/>
    </xf>
    <xf numFmtId="0" fontId="19" fillId="0" borderId="15" xfId="0" applyFont="1" applyBorder="1" applyAlignment="1">
      <alignment vertical="center"/>
    </xf>
    <xf numFmtId="0" fontId="25" fillId="0" borderId="26" xfId="0" applyFont="1" applyBorder="1" applyAlignment="1">
      <alignment vertical="center"/>
    </xf>
    <xf numFmtId="9" fontId="19" fillId="0" borderId="30" xfId="4" applyFont="1" applyFill="1" applyBorder="1" applyAlignment="1">
      <alignment vertical="center"/>
    </xf>
    <xf numFmtId="0" fontId="19" fillId="0" borderId="24" xfId="0" applyFont="1" applyBorder="1" applyAlignment="1">
      <alignment horizontal="right" vertical="center"/>
    </xf>
    <xf numFmtId="43" fontId="19" fillId="0" borderId="28" xfId="0" applyNumberFormat="1" applyFont="1" applyBorder="1" applyAlignment="1">
      <alignment vertical="center"/>
    </xf>
    <xf numFmtId="10" fontId="19" fillId="0" borderId="32" xfId="0" applyNumberFormat="1" applyFont="1" applyBorder="1" applyAlignment="1">
      <alignment vertical="center"/>
    </xf>
    <xf numFmtId="43" fontId="25" fillId="0" borderId="32" xfId="1" applyFont="1" applyFill="1" applyBorder="1" applyAlignment="1">
      <alignment vertical="center"/>
    </xf>
    <xf numFmtId="170" fontId="19" fillId="0" borderId="0" xfId="1" applyNumberFormat="1" applyFont="1" applyFill="1"/>
    <xf numFmtId="0" fontId="19" fillId="0" borderId="51" xfId="0" applyFont="1" applyBorder="1"/>
    <xf numFmtId="0" fontId="19" fillId="0" borderId="52" xfId="0" applyFont="1" applyBorder="1"/>
    <xf numFmtId="2" fontId="19" fillId="0" borderId="36" xfId="0" applyNumberFormat="1" applyFont="1" applyBorder="1"/>
    <xf numFmtId="2" fontId="19" fillId="0" borderId="43" xfId="0" applyNumberFormat="1" applyFont="1" applyBorder="1"/>
    <xf numFmtId="2" fontId="19" fillId="0" borderId="44" xfId="0" applyNumberFormat="1" applyFont="1" applyBorder="1"/>
    <xf numFmtId="43" fontId="25" fillId="0" borderId="0" xfId="0" applyNumberFormat="1" applyFont="1"/>
    <xf numFmtId="43" fontId="19" fillId="0" borderId="82" xfId="1" applyFont="1" applyFill="1" applyBorder="1"/>
    <xf numFmtId="43" fontId="19" fillId="0" borderId="20" xfId="1" applyFont="1" applyFill="1" applyBorder="1"/>
    <xf numFmtId="43" fontId="19" fillId="0" borderId="0" xfId="1" applyFont="1" applyFill="1" applyBorder="1" applyAlignment="1">
      <alignment horizontal="center" vertical="center"/>
    </xf>
    <xf numFmtId="43" fontId="19" fillId="0" borderId="36" xfId="1" applyFont="1" applyFill="1" applyBorder="1" applyAlignment="1">
      <alignment vertical="center"/>
    </xf>
    <xf numFmtId="0" fontId="19" fillId="0" borderId="6" xfId="0" applyFont="1" applyBorder="1" applyAlignment="1">
      <alignment horizontal="center" vertical="center"/>
    </xf>
    <xf numFmtId="2" fontId="19" fillId="0" borderId="36" xfId="0" applyNumberFormat="1" applyFont="1" applyBorder="1" applyAlignment="1">
      <alignment vertical="center"/>
    </xf>
    <xf numFmtId="0" fontId="19" fillId="0" borderId="17" xfId="0" applyFont="1" applyBorder="1" applyAlignment="1">
      <alignment horizontal="center" vertical="center"/>
    </xf>
    <xf numFmtId="2" fontId="19" fillId="0" borderId="44" xfId="0" applyNumberFormat="1" applyFont="1" applyBorder="1" applyAlignment="1">
      <alignment vertical="center"/>
    </xf>
    <xf numFmtId="0" fontId="19" fillId="0" borderId="45" xfId="0" applyFont="1" applyBorder="1" applyAlignment="1">
      <alignment horizontal="left" vertical="center"/>
    </xf>
    <xf numFmtId="43" fontId="19" fillId="0" borderId="36" xfId="1" applyFont="1" applyFill="1" applyBorder="1" applyAlignment="1">
      <alignment horizontal="left" vertical="center"/>
    </xf>
    <xf numFmtId="0" fontId="19" fillId="0" borderId="46" xfId="0" applyFont="1" applyBorder="1" applyAlignment="1">
      <alignment horizontal="left" vertical="center"/>
    </xf>
    <xf numFmtId="43" fontId="19" fillId="0" borderId="43" xfId="1" applyFont="1" applyFill="1" applyBorder="1" applyAlignment="1">
      <alignment horizontal="left" vertical="center"/>
    </xf>
    <xf numFmtId="0" fontId="19" fillId="0" borderId="17" xfId="0" applyFont="1" applyBorder="1" applyAlignment="1">
      <alignment horizontal="left" vertical="center"/>
    </xf>
    <xf numFmtId="43" fontId="19" fillId="0" borderId="44" xfId="1" applyFont="1" applyFill="1" applyBorder="1" applyAlignment="1">
      <alignment horizontal="left" vertical="center"/>
    </xf>
    <xf numFmtId="43" fontId="19" fillId="0" borderId="13" xfId="1" applyFont="1" applyFill="1" applyBorder="1" applyAlignment="1">
      <alignment vertical="center"/>
    </xf>
    <xf numFmtId="43" fontId="19" fillId="0" borderId="0" xfId="1" applyFont="1" applyFill="1" applyBorder="1" applyAlignment="1">
      <alignment vertical="center"/>
    </xf>
    <xf numFmtId="43" fontId="19" fillId="0" borderId="19" xfId="1" applyFont="1" applyFill="1" applyBorder="1" applyAlignment="1">
      <alignment vertical="center"/>
    </xf>
    <xf numFmtId="43" fontId="19" fillId="0" borderId="48" xfId="1" applyFont="1" applyFill="1" applyBorder="1" applyAlignment="1">
      <alignment vertical="center"/>
    </xf>
    <xf numFmtId="43" fontId="19" fillId="0" borderId="49" xfId="1" applyFont="1" applyFill="1" applyBorder="1" applyAlignment="1">
      <alignment vertical="center"/>
    </xf>
    <xf numFmtId="43" fontId="19" fillId="0" borderId="50" xfId="1" applyFont="1" applyFill="1" applyBorder="1" applyAlignment="1">
      <alignment vertical="center"/>
    </xf>
    <xf numFmtId="43" fontId="13" fillId="0" borderId="3" xfId="1" applyFont="1" applyFill="1" applyBorder="1" applyAlignment="1">
      <alignment vertical="center"/>
    </xf>
    <xf numFmtId="0" fontId="13" fillId="0" borderId="3" xfId="0" applyFont="1" applyBorder="1" applyAlignment="1">
      <alignment vertical="center"/>
    </xf>
    <xf numFmtId="43" fontId="13" fillId="0" borderId="4" xfId="1" applyFont="1" applyFill="1" applyBorder="1" applyAlignment="1">
      <alignment vertical="center"/>
    </xf>
    <xf numFmtId="43" fontId="13" fillId="0" borderId="7" xfId="1" applyFont="1" applyFill="1" applyBorder="1" applyAlignment="1">
      <alignment horizontal="center" vertical="center"/>
    </xf>
    <xf numFmtId="9" fontId="10" fillId="0" borderId="8" xfId="4" applyFont="1" applyFill="1" applyBorder="1" applyAlignment="1">
      <alignment horizontal="right" vertical="center"/>
    </xf>
    <xf numFmtId="43" fontId="10" fillId="0" borderId="13" xfId="1" applyFont="1" applyFill="1" applyBorder="1" applyAlignment="1">
      <alignment horizontal="center" vertical="center"/>
    </xf>
    <xf numFmtId="43" fontId="13" fillId="0" borderId="16" xfId="1" applyFont="1" applyFill="1" applyBorder="1" applyAlignment="1">
      <alignment horizontal="center" vertical="center"/>
    </xf>
    <xf numFmtId="9" fontId="10" fillId="0" borderId="7" xfId="4" applyFont="1" applyFill="1" applyBorder="1" applyAlignment="1">
      <alignment horizontal="right" vertical="center"/>
    </xf>
    <xf numFmtId="43" fontId="10" fillId="0" borderId="18" xfId="1" applyFont="1" applyFill="1" applyBorder="1" applyAlignment="1">
      <alignment horizontal="right" vertical="center"/>
    </xf>
    <xf numFmtId="0" fontId="13" fillId="0" borderId="13" xfId="0" applyFont="1" applyBorder="1" applyAlignment="1">
      <alignment vertical="center"/>
    </xf>
    <xf numFmtId="43" fontId="10" fillId="0" borderId="6" xfId="1" applyFont="1" applyFill="1" applyBorder="1" applyAlignment="1">
      <alignment horizontal="right" vertical="center"/>
    </xf>
    <xf numFmtId="43" fontId="10" fillId="0" borderId="5" xfId="1" applyFont="1" applyFill="1" applyBorder="1" applyAlignment="1">
      <alignment horizontal="left" vertical="center"/>
    </xf>
    <xf numFmtId="43" fontId="10" fillId="0" borderId="5" xfId="1" applyFont="1" applyFill="1" applyBorder="1" applyAlignment="1">
      <alignment horizontal="center" vertical="center"/>
    </xf>
    <xf numFmtId="43" fontId="10" fillId="0" borderId="17" xfId="1" applyFont="1" applyFill="1" applyBorder="1" applyAlignment="1">
      <alignment horizontal="center" vertical="center"/>
    </xf>
    <xf numFmtId="43" fontId="10" fillId="0" borderId="5" xfId="1" applyFont="1" applyFill="1" applyBorder="1" applyAlignment="1">
      <alignment horizontal="right" vertical="center"/>
    </xf>
    <xf numFmtId="43" fontId="10" fillId="0" borderId="18" xfId="4" applyNumberFormat="1" applyFont="1" applyFill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43" fontId="13" fillId="0" borderId="25" xfId="1" applyFont="1" applyFill="1" applyBorder="1" applyAlignment="1">
      <alignment horizontal="center" vertical="center"/>
    </xf>
    <xf numFmtId="0" fontId="13" fillId="0" borderId="62" xfId="0" applyFont="1" applyBorder="1" applyAlignment="1">
      <alignment horizontal="center" vertical="center"/>
    </xf>
    <xf numFmtId="43" fontId="13" fillId="0" borderId="63" xfId="1" applyFont="1" applyFill="1" applyBorder="1" applyAlignment="1">
      <alignment horizontal="center" vertical="center"/>
    </xf>
    <xf numFmtId="43" fontId="19" fillId="0" borderId="34" xfId="0" applyNumberFormat="1" applyFont="1" applyBorder="1"/>
    <xf numFmtId="43" fontId="19" fillId="0" borderId="43" xfId="0" applyNumberFormat="1" applyFont="1" applyBorder="1"/>
    <xf numFmtId="43" fontId="19" fillId="0" borderId="6" xfId="1" applyFont="1" applyFill="1" applyBorder="1" applyAlignment="1">
      <alignment horizontal="center"/>
    </xf>
    <xf numFmtId="43" fontId="19" fillId="0" borderId="5" xfId="1" applyFont="1" applyFill="1" applyBorder="1" applyAlignment="1">
      <alignment horizontal="center"/>
    </xf>
    <xf numFmtId="43" fontId="19" fillId="0" borderId="17" xfId="1" applyFont="1" applyFill="1" applyBorder="1" applyAlignment="1">
      <alignment horizontal="center"/>
    </xf>
    <xf numFmtId="43" fontId="19" fillId="0" borderId="13" xfId="0" applyNumberFormat="1" applyFont="1" applyBorder="1"/>
    <xf numFmtId="0" fontId="19" fillId="0" borderId="49" xfId="0" applyFont="1" applyBorder="1"/>
    <xf numFmtId="43" fontId="19" fillId="0" borderId="36" xfId="0" applyNumberFormat="1" applyFont="1" applyBorder="1"/>
    <xf numFmtId="43" fontId="19" fillId="0" borderId="47" xfId="0" applyNumberFormat="1" applyFont="1" applyBorder="1"/>
    <xf numFmtId="0" fontId="19" fillId="0" borderId="50" xfId="0" applyFont="1" applyBorder="1"/>
    <xf numFmtId="43" fontId="19" fillId="0" borderId="30" xfId="1" applyFont="1" applyFill="1" applyBorder="1"/>
    <xf numFmtId="0" fontId="25" fillId="0" borderId="26" xfId="0" applyFont="1" applyBorder="1" applyAlignment="1">
      <alignment horizontal="right"/>
    </xf>
    <xf numFmtId="43" fontId="19" fillId="0" borderId="13" xfId="1" applyFont="1" applyFill="1" applyBorder="1"/>
    <xf numFmtId="43" fontId="19" fillId="0" borderId="0" xfId="1" applyFont="1" applyFill="1" applyBorder="1"/>
    <xf numFmtId="43" fontId="19" fillId="0" borderId="19" xfId="1" applyFont="1" applyFill="1" applyBorder="1"/>
    <xf numFmtId="0" fontId="19" fillId="0" borderId="18" xfId="0" applyFont="1" applyBorder="1"/>
    <xf numFmtId="9" fontId="19" fillId="0" borderId="17" xfId="4" applyFont="1" applyFill="1" applyBorder="1"/>
    <xf numFmtId="9" fontId="19" fillId="0" borderId="24" xfId="4" applyFont="1" applyFill="1" applyBorder="1"/>
    <xf numFmtId="43" fontId="19" fillId="0" borderId="83" xfId="1" applyFont="1" applyFill="1" applyBorder="1"/>
    <xf numFmtId="0" fontId="13" fillId="0" borderId="16" xfId="2" applyFont="1" applyBorder="1" applyAlignment="1">
      <alignment vertical="center"/>
    </xf>
    <xf numFmtId="43" fontId="10" fillId="0" borderId="14" xfId="1" applyFont="1" applyFill="1" applyBorder="1"/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left" vertical="center"/>
    </xf>
    <xf numFmtId="0" fontId="13" fillId="0" borderId="24" xfId="0" applyFont="1" applyBorder="1" applyAlignment="1">
      <alignment horizontal="left" vertical="center" wrapText="1"/>
    </xf>
    <xf numFmtId="165" fontId="19" fillId="0" borderId="0" xfId="0" applyNumberFormat="1" applyFont="1"/>
    <xf numFmtId="0" fontId="19" fillId="0" borderId="48" xfId="0" applyFont="1" applyBorder="1"/>
    <xf numFmtId="43" fontId="19" fillId="0" borderId="60" xfId="0" applyNumberFormat="1" applyFont="1" applyBorder="1"/>
    <xf numFmtId="43" fontId="19" fillId="0" borderId="42" xfId="1" applyFont="1" applyFill="1" applyBorder="1"/>
    <xf numFmtId="43" fontId="19" fillId="0" borderId="59" xfId="0" applyNumberFormat="1" applyFont="1" applyBorder="1"/>
    <xf numFmtId="43" fontId="25" fillId="0" borderId="26" xfId="0" applyNumberFormat="1" applyFont="1" applyBorder="1"/>
    <xf numFmtId="0" fontId="19" fillId="0" borderId="61" xfId="0" applyFont="1" applyBorder="1"/>
    <xf numFmtId="43" fontId="19" fillId="0" borderId="27" xfId="1" applyFont="1" applyFill="1" applyBorder="1"/>
    <xf numFmtId="43" fontId="19" fillId="0" borderId="29" xfId="1" applyFont="1" applyFill="1" applyBorder="1"/>
    <xf numFmtId="43" fontId="19" fillId="0" borderId="31" xfId="1" applyFont="1" applyFill="1" applyBorder="1"/>
    <xf numFmtId="43" fontId="13" fillId="0" borderId="14" xfId="1" applyFont="1" applyFill="1" applyBorder="1"/>
    <xf numFmtId="43" fontId="19" fillId="0" borderId="22" xfId="1" applyFont="1" applyFill="1" applyBorder="1"/>
    <xf numFmtId="43" fontId="19" fillId="0" borderId="15" xfId="1" applyFont="1" applyFill="1" applyBorder="1"/>
    <xf numFmtId="43" fontId="19" fillId="0" borderId="52" xfId="1" applyFont="1" applyFill="1" applyBorder="1"/>
    <xf numFmtId="43" fontId="19" fillId="0" borderId="45" xfId="1" applyFont="1" applyFill="1" applyBorder="1" applyAlignment="1">
      <alignment horizontal="center"/>
    </xf>
    <xf numFmtId="43" fontId="25" fillId="0" borderId="63" xfId="0" applyNumberFormat="1" applyFont="1" applyBorder="1"/>
    <xf numFmtId="0" fontId="19" fillId="0" borderId="47" xfId="0" applyFont="1" applyBorder="1" applyAlignment="1">
      <alignment horizontal="left"/>
    </xf>
    <xf numFmtId="0" fontId="19" fillId="0" borderId="24" xfId="0" applyFont="1" applyBorder="1" applyAlignment="1">
      <alignment horizontal="center" vertical="center"/>
    </xf>
    <xf numFmtId="0" fontId="19" fillId="0" borderId="51" xfId="0" applyFont="1" applyBorder="1" applyAlignment="1">
      <alignment horizontal="center" vertical="center"/>
    </xf>
    <xf numFmtId="43" fontId="19" fillId="0" borderId="52" xfId="1" applyFont="1" applyFill="1" applyBorder="1" applyAlignment="1">
      <alignment horizontal="right" vertical="center"/>
    </xf>
    <xf numFmtId="168" fontId="19" fillId="0" borderId="0" xfId="4" applyNumberFormat="1" applyFont="1" applyFill="1"/>
    <xf numFmtId="168" fontId="19" fillId="0" borderId="0" xfId="0" applyNumberFormat="1" applyFont="1"/>
    <xf numFmtId="43" fontId="19" fillId="0" borderId="30" xfId="0" applyNumberFormat="1" applyFont="1" applyBorder="1"/>
    <xf numFmtId="43" fontId="19" fillId="0" borderId="19" xfId="0" applyNumberFormat="1" applyFont="1" applyBorder="1"/>
    <xf numFmtId="43" fontId="19" fillId="0" borderId="32" xfId="0" applyNumberFormat="1" applyFont="1" applyBorder="1"/>
    <xf numFmtId="43" fontId="13" fillId="0" borderId="16" xfId="1" applyFont="1" applyFill="1" applyBorder="1" applyAlignment="1">
      <alignment vertical="center"/>
    </xf>
    <xf numFmtId="0" fontId="30" fillId="0" borderId="0" xfId="0" applyFont="1"/>
    <xf numFmtId="43" fontId="29" fillId="0" borderId="17" xfId="1" applyFont="1" applyFill="1" applyBorder="1"/>
    <xf numFmtId="3" fontId="30" fillId="0" borderId="0" xfId="0" applyNumberFormat="1" applyFont="1"/>
    <xf numFmtId="2" fontId="19" fillId="0" borderId="5" xfId="0" applyNumberFormat="1" applyFont="1" applyBorder="1"/>
    <xf numFmtId="9" fontId="30" fillId="0" borderId="0" xfId="0" applyNumberFormat="1" applyFont="1"/>
    <xf numFmtId="0" fontId="29" fillId="0" borderId="0" xfId="0" applyFont="1"/>
    <xf numFmtId="43" fontId="30" fillId="0" borderId="0" xfId="0" applyNumberFormat="1" applyFont="1"/>
    <xf numFmtId="43" fontId="25" fillId="0" borderId="71" xfId="1" applyFont="1" applyFill="1" applyBorder="1"/>
    <xf numFmtId="43" fontId="25" fillId="0" borderId="21" xfId="1" applyFont="1" applyFill="1" applyBorder="1"/>
    <xf numFmtId="43" fontId="25" fillId="0" borderId="33" xfId="1" applyFont="1" applyFill="1" applyBorder="1"/>
    <xf numFmtId="8" fontId="30" fillId="0" borderId="0" xfId="0" applyNumberFormat="1" applyFont="1"/>
    <xf numFmtId="0" fontId="32" fillId="0" borderId="86" xfId="0" applyFont="1" applyBorder="1" applyAlignment="1">
      <alignment horizontal="center" vertical="center" wrapText="1"/>
    </xf>
    <xf numFmtId="0" fontId="32" fillId="0" borderId="87" xfId="0" applyFont="1" applyBorder="1" applyAlignment="1">
      <alignment horizontal="center" vertical="center" wrapText="1"/>
    </xf>
    <xf numFmtId="0" fontId="32" fillId="0" borderId="88" xfId="0" applyFont="1" applyBorder="1" applyAlignment="1">
      <alignment horizontal="center" vertical="center" wrapText="1"/>
    </xf>
    <xf numFmtId="3" fontId="32" fillId="0" borderId="88" xfId="0" applyNumberFormat="1" applyFont="1" applyBorder="1" applyAlignment="1">
      <alignment horizontal="center" vertical="center" wrapText="1"/>
    </xf>
    <xf numFmtId="3" fontId="32" fillId="0" borderId="86" xfId="0" applyNumberFormat="1" applyFont="1" applyBorder="1" applyAlignment="1">
      <alignment horizontal="center" vertical="center" wrapText="1"/>
    </xf>
    <xf numFmtId="0" fontId="33" fillId="0" borderId="85" xfId="0" applyFont="1" applyBorder="1" applyAlignment="1">
      <alignment horizontal="left" vertical="center" wrapText="1" indent="1"/>
    </xf>
    <xf numFmtId="0" fontId="31" fillId="0" borderId="85" xfId="0" applyFont="1" applyBorder="1" applyAlignment="1">
      <alignment horizontal="center" vertical="center" wrapText="1"/>
    </xf>
    <xf numFmtId="43" fontId="29" fillId="0" borderId="0" xfId="1" applyFont="1"/>
    <xf numFmtId="0" fontId="29" fillId="0" borderId="0" xfId="0" applyFont="1" applyAlignment="1">
      <alignment vertical="center"/>
    </xf>
    <xf numFmtId="0" fontId="34" fillId="6" borderId="0" xfId="0" applyFont="1" applyFill="1" applyAlignment="1">
      <alignment vertical="center"/>
    </xf>
    <xf numFmtId="4" fontId="19" fillId="0" borderId="28" xfId="0" applyNumberFormat="1" applyFont="1" applyBorder="1"/>
    <xf numFmtId="4" fontId="25" fillId="0" borderId="26" xfId="0" applyNumberFormat="1" applyFont="1" applyBorder="1"/>
    <xf numFmtId="4" fontId="25" fillId="0" borderId="26" xfId="0" applyNumberFormat="1" applyFont="1" applyBorder="1" applyAlignment="1">
      <alignment horizontal="right" vertical="center"/>
    </xf>
    <xf numFmtId="4" fontId="19" fillId="0" borderId="28" xfId="1" applyNumberFormat="1" applyFont="1" applyFill="1" applyBorder="1" applyAlignment="1">
      <alignment vertical="center"/>
    </xf>
    <xf numFmtId="4" fontId="25" fillId="0" borderId="26" xfId="0" applyNumberFormat="1" applyFont="1" applyBorder="1" applyAlignment="1">
      <alignment vertical="center"/>
    </xf>
    <xf numFmtId="4" fontId="19" fillId="0" borderId="30" xfId="0" applyNumberFormat="1" applyFont="1" applyBorder="1" applyAlignment="1">
      <alignment vertical="center"/>
    </xf>
    <xf numFmtId="4" fontId="19" fillId="0" borderId="82" xfId="0" applyNumberFormat="1" applyFont="1" applyBorder="1" applyAlignment="1">
      <alignment vertical="center"/>
    </xf>
    <xf numFmtId="4" fontId="19" fillId="0" borderId="20" xfId="0" applyNumberFormat="1" applyFont="1" applyBorder="1" applyAlignment="1">
      <alignment vertical="center"/>
    </xf>
    <xf numFmtId="4" fontId="19" fillId="0" borderId="0" xfId="0" applyNumberFormat="1" applyFont="1"/>
    <xf numFmtId="0" fontId="10" fillId="0" borderId="29" xfId="0" applyFont="1" applyBorder="1" applyAlignment="1">
      <alignment horizontal="left" vertical="center"/>
    </xf>
    <xf numFmtId="172" fontId="0" fillId="0" borderId="0" xfId="0" applyNumberFormat="1"/>
    <xf numFmtId="0" fontId="13" fillId="8" borderId="3" xfId="0" applyFont="1" applyFill="1" applyBorder="1" applyAlignment="1">
      <alignment horizontal="center" vertical="center"/>
    </xf>
    <xf numFmtId="166" fontId="13" fillId="8" borderId="3" xfId="3" applyFont="1" applyFill="1" applyBorder="1" applyAlignment="1">
      <alignment horizontal="center" vertical="center"/>
    </xf>
    <xf numFmtId="2" fontId="10" fillId="0" borderId="5" xfId="0" applyNumberFormat="1" applyFont="1" applyBorder="1" applyAlignment="1">
      <alignment horizontal="right" vertical="center"/>
    </xf>
    <xf numFmtId="2" fontId="10" fillId="9" borderId="5" xfId="0" applyNumberFormat="1" applyFont="1" applyFill="1" applyBorder="1" applyAlignment="1">
      <alignment horizontal="center" vertical="center"/>
    </xf>
    <xf numFmtId="166" fontId="13" fillId="0" borderId="18" xfId="3" applyFont="1" applyBorder="1" applyAlignment="1">
      <alignment horizontal="center" vertical="center"/>
    </xf>
    <xf numFmtId="0" fontId="13" fillId="8" borderId="64" xfId="0" applyFont="1" applyFill="1" applyBorder="1" applyAlignment="1">
      <alignment horizontal="left" vertical="center"/>
    </xf>
    <xf numFmtId="0" fontId="13" fillId="0" borderId="90" xfId="0" applyFont="1" applyBorder="1" applyAlignment="1">
      <alignment horizontal="left" vertical="center"/>
    </xf>
    <xf numFmtId="0" fontId="13" fillId="11" borderId="29" xfId="0" applyFont="1" applyFill="1" applyBorder="1" applyAlignment="1">
      <alignment horizontal="left"/>
    </xf>
    <xf numFmtId="0" fontId="13" fillId="0" borderId="91" xfId="0" applyFont="1" applyBorder="1" applyAlignment="1">
      <alignment horizontal="left" vertical="center"/>
    </xf>
    <xf numFmtId="0" fontId="10" fillId="0" borderId="91" xfId="0" applyFont="1" applyBorder="1" applyAlignment="1">
      <alignment horizontal="left" vertical="center"/>
    </xf>
    <xf numFmtId="0" fontId="13" fillId="0" borderId="92" xfId="0" applyFont="1" applyBorder="1" applyAlignment="1">
      <alignment horizontal="left" vertical="center"/>
    </xf>
    <xf numFmtId="0" fontId="29" fillId="6" borderId="0" xfId="0" applyFont="1" applyFill="1" applyAlignment="1">
      <alignment vertical="center"/>
    </xf>
    <xf numFmtId="0" fontId="19" fillId="0" borderId="45" xfId="0" applyFont="1" applyBorder="1" applyAlignment="1">
      <alignment vertical="center"/>
    </xf>
    <xf numFmtId="0" fontId="19" fillId="6" borderId="46" xfId="0" applyFont="1" applyFill="1" applyBorder="1" applyAlignment="1">
      <alignment vertical="center"/>
    </xf>
    <xf numFmtId="0" fontId="19" fillId="6" borderId="30" xfId="0" applyFont="1" applyFill="1" applyBorder="1" applyAlignment="1">
      <alignment vertical="center"/>
    </xf>
    <xf numFmtId="0" fontId="19" fillId="6" borderId="32" xfId="0" applyFont="1" applyFill="1" applyBorder="1" applyAlignment="1">
      <alignment vertical="center"/>
    </xf>
    <xf numFmtId="0" fontId="19" fillId="6" borderId="31" xfId="0" applyFont="1" applyFill="1" applyBorder="1" applyAlignment="1">
      <alignment vertical="center"/>
    </xf>
    <xf numFmtId="0" fontId="19" fillId="6" borderId="19" xfId="0" applyFont="1" applyFill="1" applyBorder="1" applyAlignment="1">
      <alignment vertical="center"/>
    </xf>
    <xf numFmtId="0" fontId="19" fillId="6" borderId="23" xfId="0" applyFont="1" applyFill="1" applyBorder="1" applyAlignment="1">
      <alignment vertical="center"/>
    </xf>
    <xf numFmtId="0" fontId="19" fillId="6" borderId="24" xfId="0" applyFont="1" applyFill="1" applyBorder="1" applyAlignment="1">
      <alignment vertical="center"/>
    </xf>
    <xf numFmtId="0" fontId="19" fillId="6" borderId="26" xfId="0" applyFont="1" applyFill="1" applyBorder="1" applyAlignment="1">
      <alignment vertical="center"/>
    </xf>
    <xf numFmtId="0" fontId="19" fillId="6" borderId="27" xfId="0" applyFont="1" applyFill="1" applyBorder="1" applyAlignment="1">
      <alignment vertical="center"/>
    </xf>
    <xf numFmtId="0" fontId="19" fillId="6" borderId="13" xfId="0" applyFont="1" applyFill="1" applyBorder="1" applyAlignment="1">
      <alignment vertical="center"/>
    </xf>
    <xf numFmtId="0" fontId="19" fillId="6" borderId="29" xfId="0" applyFont="1" applyFill="1" applyBorder="1" applyAlignment="1">
      <alignment vertical="center"/>
    </xf>
    <xf numFmtId="0" fontId="19" fillId="0" borderId="0" xfId="0" applyFont="1" applyAlignment="1">
      <alignment horizontal="left" vertical="center"/>
    </xf>
    <xf numFmtId="0" fontId="19" fillId="0" borderId="23" xfId="0" applyFont="1" applyBorder="1" applyAlignment="1">
      <alignment vertical="center"/>
    </xf>
    <xf numFmtId="0" fontId="19" fillId="0" borderId="24" xfId="0" applyFont="1" applyBorder="1" applyAlignment="1">
      <alignment vertical="center"/>
    </xf>
    <xf numFmtId="0" fontId="19" fillId="0" borderId="27" xfId="0" applyFont="1" applyBorder="1" applyAlignment="1">
      <alignment vertical="center"/>
    </xf>
    <xf numFmtId="0" fontId="19" fillId="0" borderId="13" xfId="0" applyFont="1" applyBorder="1" applyAlignment="1">
      <alignment vertical="center"/>
    </xf>
    <xf numFmtId="0" fontId="19" fillId="0" borderId="29" xfId="0" applyFont="1" applyBorder="1" applyAlignment="1">
      <alignment vertical="center"/>
    </xf>
    <xf numFmtId="0" fontId="19" fillId="0" borderId="30" xfId="0" applyFont="1" applyBorder="1" applyAlignment="1">
      <alignment vertical="center"/>
    </xf>
    <xf numFmtId="0" fontId="19" fillId="0" borderId="31" xfId="0" applyFont="1" applyBorder="1" applyAlignment="1">
      <alignment vertical="center"/>
    </xf>
    <xf numFmtId="0" fontId="19" fillId="0" borderId="19" xfId="0" applyFont="1" applyBorder="1" applyAlignment="1">
      <alignment vertical="center"/>
    </xf>
    <xf numFmtId="43" fontId="25" fillId="6" borderId="26" xfId="0" applyNumberFormat="1" applyFont="1" applyFill="1" applyBorder="1" applyAlignment="1">
      <alignment horizontal="right" vertical="center"/>
    </xf>
    <xf numFmtId="0" fontId="25" fillId="6" borderId="23" xfId="0" applyFont="1" applyFill="1" applyBorder="1" applyAlignment="1">
      <alignment vertical="center"/>
    </xf>
    <xf numFmtId="0" fontId="25" fillId="6" borderId="24" xfId="0" applyFont="1" applyFill="1" applyBorder="1" applyAlignment="1">
      <alignment vertical="center"/>
    </xf>
    <xf numFmtId="0" fontId="25" fillId="6" borderId="26" xfId="0" applyFont="1" applyFill="1" applyBorder="1" applyAlignment="1">
      <alignment vertical="center"/>
    </xf>
    <xf numFmtId="0" fontId="25" fillId="6" borderId="74" xfId="0" applyFont="1" applyFill="1" applyBorder="1" applyAlignment="1">
      <alignment vertical="center"/>
    </xf>
    <xf numFmtId="0" fontId="25" fillId="6" borderId="23" xfId="0" applyFont="1" applyFill="1" applyBorder="1" applyAlignment="1">
      <alignment horizontal="left" vertical="center"/>
    </xf>
    <xf numFmtId="0" fontId="25" fillId="6" borderId="26" xfId="0" applyFont="1" applyFill="1" applyBorder="1" applyAlignment="1">
      <alignment horizontal="center" vertical="center"/>
    </xf>
    <xf numFmtId="0" fontId="25" fillId="6" borderId="41" xfId="0" applyFont="1" applyFill="1" applyBorder="1" applyAlignment="1">
      <alignment vertical="center"/>
    </xf>
    <xf numFmtId="0" fontId="19" fillId="0" borderId="28" xfId="0" applyFont="1" applyBorder="1" applyAlignment="1">
      <alignment vertical="center"/>
    </xf>
    <xf numFmtId="0" fontId="19" fillId="0" borderId="32" xfId="0" applyFont="1" applyBorder="1" applyAlignment="1">
      <alignment vertical="center"/>
    </xf>
    <xf numFmtId="0" fontId="27" fillId="6" borderId="0" xfId="0" applyFont="1" applyFill="1"/>
    <xf numFmtId="0" fontId="19" fillId="6" borderId="23" xfId="0" applyFont="1" applyFill="1" applyBorder="1" applyAlignment="1">
      <alignment horizontal="right" vertical="center"/>
    </xf>
    <xf numFmtId="0" fontId="19" fillId="6" borderId="25" xfId="0" applyFont="1" applyFill="1" applyBorder="1" applyAlignment="1">
      <alignment vertical="center"/>
    </xf>
    <xf numFmtId="0" fontId="19" fillId="6" borderId="26" xfId="0" applyFont="1" applyFill="1" applyBorder="1" applyAlignment="1">
      <alignment horizontal="right" vertical="center"/>
    </xf>
    <xf numFmtId="0" fontId="38" fillId="6" borderId="56" xfId="0" applyFont="1" applyFill="1" applyBorder="1" applyAlignment="1">
      <alignment horizontal="left" vertical="center"/>
    </xf>
    <xf numFmtId="0" fontId="38" fillId="6" borderId="55" xfId="0" applyFont="1" applyFill="1" applyBorder="1" applyAlignment="1">
      <alignment horizontal="center" vertical="center"/>
    </xf>
    <xf numFmtId="166" fontId="38" fillId="6" borderId="54" xfId="3" applyFont="1" applyFill="1" applyBorder="1" applyAlignment="1">
      <alignment horizontal="center" vertical="center"/>
    </xf>
    <xf numFmtId="166" fontId="38" fillId="6" borderId="4" xfId="3" applyFont="1" applyFill="1" applyBorder="1" applyAlignment="1">
      <alignment horizontal="center" vertical="center"/>
    </xf>
    <xf numFmtId="0" fontId="27" fillId="6" borderId="27" xfId="0" applyFont="1" applyFill="1" applyBorder="1" applyAlignment="1" applyProtection="1">
      <alignment vertical="center"/>
      <protection locked="0"/>
    </xf>
    <xf numFmtId="0" fontId="27" fillId="6" borderId="13" xfId="0" applyFont="1" applyFill="1" applyBorder="1" applyAlignment="1">
      <alignment horizontal="center" vertical="center"/>
    </xf>
    <xf numFmtId="0" fontId="27" fillId="6" borderId="38" xfId="0" applyFont="1" applyFill="1" applyBorder="1" applyAlignment="1">
      <alignment horizontal="center" vertical="center"/>
    </xf>
    <xf numFmtId="0" fontId="27" fillId="6" borderId="6" xfId="0" applyFont="1" applyFill="1" applyBorder="1" applyAlignment="1">
      <alignment horizontal="center" vertical="center"/>
    </xf>
    <xf numFmtId="166" fontId="27" fillId="6" borderId="5" xfId="3" applyFont="1" applyFill="1" applyBorder="1" applyAlignment="1">
      <alignment horizontal="center" vertical="center"/>
    </xf>
    <xf numFmtId="166" fontId="27" fillId="6" borderId="7" xfId="3" applyFont="1" applyFill="1" applyBorder="1" applyAlignment="1">
      <alignment horizontal="center" vertical="center"/>
    </xf>
    <xf numFmtId="0" fontId="27" fillId="6" borderId="29" xfId="0" applyFont="1" applyFill="1" applyBorder="1" applyAlignment="1">
      <alignment vertical="center"/>
    </xf>
    <xf numFmtId="0" fontId="27" fillId="6" borderId="0" xfId="2" applyFont="1" applyFill="1" applyAlignment="1">
      <alignment vertical="center"/>
    </xf>
    <xf numFmtId="0" fontId="27" fillId="6" borderId="5" xfId="0" applyFont="1" applyFill="1" applyBorder="1" applyAlignment="1">
      <alignment horizontal="center" vertical="center"/>
    </xf>
    <xf numFmtId="166" fontId="27" fillId="6" borderId="8" xfId="3" applyFont="1" applyFill="1" applyBorder="1" applyAlignment="1">
      <alignment horizontal="center" vertical="center"/>
    </xf>
    <xf numFmtId="2" fontId="27" fillId="16" borderId="5" xfId="0" applyNumberFormat="1" applyFont="1" applyFill="1" applyBorder="1" applyAlignment="1">
      <alignment horizontal="center" vertical="center"/>
    </xf>
    <xf numFmtId="0" fontId="27" fillId="6" borderId="5" xfId="0" applyFont="1" applyFill="1" applyBorder="1" applyAlignment="1">
      <alignment vertical="center"/>
    </xf>
    <xf numFmtId="0" fontId="27" fillId="6" borderId="8" xfId="0" applyFont="1" applyFill="1" applyBorder="1" applyAlignment="1">
      <alignment vertical="center"/>
    </xf>
    <xf numFmtId="167" fontId="27" fillId="6" borderId="5" xfId="3" applyNumberFormat="1" applyFont="1" applyFill="1" applyBorder="1" applyAlignment="1">
      <alignment horizontal="center" vertical="center"/>
    </xf>
    <xf numFmtId="2" fontId="27" fillId="6" borderId="5" xfId="0" applyNumberFormat="1" applyFont="1" applyFill="1" applyBorder="1" applyAlignment="1">
      <alignment horizontal="center" vertical="center"/>
    </xf>
    <xf numFmtId="1" fontId="27" fillId="6" borderId="5" xfId="0" applyNumberFormat="1" applyFont="1" applyFill="1" applyBorder="1" applyAlignment="1" applyProtection="1">
      <alignment horizontal="center" vertical="center"/>
      <protection locked="0"/>
    </xf>
    <xf numFmtId="166" fontId="27" fillId="6" borderId="5" xfId="3" applyFont="1" applyFill="1" applyBorder="1" applyAlignment="1" applyProtection="1">
      <alignment horizontal="center" vertical="center"/>
      <protection locked="0"/>
    </xf>
    <xf numFmtId="0" fontId="38" fillId="6" borderId="29" xfId="0" applyFont="1" applyFill="1" applyBorder="1" applyAlignment="1">
      <alignment vertical="center"/>
    </xf>
    <xf numFmtId="0" fontId="38" fillId="6" borderId="5" xfId="0" applyFont="1" applyFill="1" applyBorder="1" applyAlignment="1">
      <alignment horizontal="center" vertical="center"/>
    </xf>
    <xf numFmtId="166" fontId="38" fillId="6" borderId="5" xfId="3" applyFont="1" applyFill="1" applyBorder="1" applyAlignment="1">
      <alignment horizontal="center" vertical="center"/>
    </xf>
    <xf numFmtId="166" fontId="38" fillId="6" borderId="8" xfId="3" applyFont="1" applyFill="1" applyBorder="1" applyAlignment="1">
      <alignment horizontal="center" vertical="center"/>
    </xf>
    <xf numFmtId="0" fontId="27" fillId="6" borderId="57" xfId="0" applyFont="1" applyFill="1" applyBorder="1" applyAlignment="1">
      <alignment vertical="center"/>
    </xf>
    <xf numFmtId="0" fontId="27" fillId="6" borderId="58" xfId="0" applyFont="1" applyFill="1" applyBorder="1" applyAlignment="1">
      <alignment horizontal="center" vertical="center"/>
    </xf>
    <xf numFmtId="0" fontId="27" fillId="6" borderId="53" xfId="0" applyFont="1" applyFill="1" applyBorder="1" applyAlignment="1">
      <alignment horizontal="center" vertical="center"/>
    </xf>
    <xf numFmtId="0" fontId="27" fillId="6" borderId="9" xfId="0" applyFont="1" applyFill="1" applyBorder="1" applyAlignment="1">
      <alignment horizontal="center" vertical="center"/>
    </xf>
    <xf numFmtId="166" fontId="27" fillId="6" borderId="9" xfId="3" applyFont="1" applyFill="1" applyBorder="1" applyAlignment="1">
      <alignment horizontal="center" vertical="center"/>
    </xf>
    <xf numFmtId="166" fontId="27" fillId="6" borderId="10" xfId="3" applyFont="1" applyFill="1" applyBorder="1" applyAlignment="1">
      <alignment horizontal="center" vertical="center"/>
    </xf>
    <xf numFmtId="0" fontId="38" fillId="6" borderId="67" xfId="0" applyFont="1" applyFill="1" applyBorder="1" applyAlignment="1">
      <alignment vertical="center"/>
    </xf>
    <xf numFmtId="0" fontId="38" fillId="6" borderId="11" xfId="0" applyFont="1" applyFill="1" applyBorder="1" applyAlignment="1">
      <alignment horizontal="center" vertical="center"/>
    </xf>
    <xf numFmtId="166" fontId="38" fillId="6" borderId="11" xfId="3" applyFont="1" applyFill="1" applyBorder="1" applyAlignment="1">
      <alignment horizontal="center" vertical="center"/>
    </xf>
    <xf numFmtId="166" fontId="38" fillId="6" borderId="12" xfId="3" applyFont="1" applyFill="1" applyBorder="1" applyAlignment="1">
      <alignment horizontal="center" vertical="center"/>
    </xf>
    <xf numFmtId="0" fontId="38" fillId="6" borderId="27" xfId="0" applyFont="1" applyFill="1" applyBorder="1" applyAlignment="1">
      <alignment vertical="center"/>
    </xf>
    <xf numFmtId="0" fontId="27" fillId="6" borderId="14" xfId="0" applyFont="1" applyFill="1" applyBorder="1" applyAlignment="1">
      <alignment vertical="center"/>
    </xf>
    <xf numFmtId="0" fontId="38" fillId="6" borderId="23" xfId="0" applyFont="1" applyFill="1" applyBorder="1" applyAlignment="1">
      <alignment vertical="center"/>
    </xf>
    <xf numFmtId="0" fontId="38" fillId="6" borderId="24" xfId="0" applyFont="1" applyFill="1" applyBorder="1" applyAlignment="1">
      <alignment horizontal="center" vertical="center"/>
    </xf>
    <xf numFmtId="0" fontId="38" fillId="6" borderId="37" xfId="0" applyFont="1" applyFill="1" applyBorder="1" applyAlignment="1">
      <alignment horizontal="center" vertical="center"/>
    </xf>
    <xf numFmtId="0" fontId="38" fillId="6" borderId="15" xfId="0" applyFont="1" applyFill="1" applyBorder="1" applyAlignment="1">
      <alignment horizontal="center" vertical="center"/>
    </xf>
    <xf numFmtId="166" fontId="27" fillId="6" borderId="15" xfId="3" applyFont="1" applyFill="1" applyBorder="1" applyAlignment="1">
      <alignment horizontal="center" vertical="center"/>
    </xf>
    <xf numFmtId="166" fontId="38" fillId="6" borderId="16" xfId="3" applyFont="1" applyFill="1" applyBorder="1" applyAlignment="1">
      <alignment horizontal="center" vertical="center"/>
    </xf>
    <xf numFmtId="166" fontId="27" fillId="0" borderId="5" xfId="3" applyFont="1" applyFill="1" applyBorder="1" applyAlignment="1">
      <alignment horizontal="center" vertical="center"/>
    </xf>
    <xf numFmtId="0" fontId="27" fillId="6" borderId="31" xfId="0" applyFont="1" applyFill="1" applyBorder="1" applyAlignment="1">
      <alignment vertical="center"/>
    </xf>
    <xf numFmtId="0" fontId="27" fillId="6" borderId="17" xfId="0" applyFont="1" applyFill="1" applyBorder="1" applyAlignment="1">
      <alignment horizontal="center" vertical="center"/>
    </xf>
    <xf numFmtId="166" fontId="27" fillId="6" borderId="17" xfId="3" applyFont="1" applyFill="1" applyBorder="1" applyAlignment="1">
      <alignment horizontal="center" vertical="center"/>
    </xf>
    <xf numFmtId="166" fontId="27" fillId="6" borderId="18" xfId="3" applyFont="1" applyFill="1" applyBorder="1" applyAlignment="1">
      <alignment horizontal="center" vertical="center"/>
    </xf>
    <xf numFmtId="0" fontId="27" fillId="6" borderId="23" xfId="0" applyFont="1" applyFill="1" applyBorder="1" applyAlignment="1">
      <alignment vertical="center"/>
    </xf>
    <xf numFmtId="0" fontId="27" fillId="6" borderId="24" xfId="0" applyFont="1" applyFill="1" applyBorder="1" applyAlignment="1">
      <alignment horizontal="center" vertical="center"/>
    </xf>
    <xf numFmtId="0" fontId="27" fillId="6" borderId="37" xfId="0" applyFont="1" applyFill="1" applyBorder="1" applyAlignment="1">
      <alignment horizontal="center" vertical="center"/>
    </xf>
    <xf numFmtId="0" fontId="27" fillId="6" borderId="15" xfId="0" applyFont="1" applyFill="1" applyBorder="1" applyAlignment="1">
      <alignment horizontal="center" vertical="center"/>
    </xf>
    <xf numFmtId="166" fontId="27" fillId="6" borderId="16" xfId="3" applyFont="1" applyFill="1" applyBorder="1" applyAlignment="1">
      <alignment horizontal="center" vertical="center"/>
    </xf>
    <xf numFmtId="0" fontId="38" fillId="6" borderId="31" xfId="0" applyFont="1" applyFill="1" applyBorder="1" applyAlignment="1">
      <alignment vertical="center"/>
    </xf>
    <xf numFmtId="0" fontId="38" fillId="6" borderId="19" xfId="0" applyFont="1" applyFill="1" applyBorder="1" applyAlignment="1">
      <alignment horizontal="center" vertical="center"/>
    </xf>
    <xf numFmtId="0" fontId="38" fillId="6" borderId="40" xfId="0" applyFont="1" applyFill="1" applyBorder="1" applyAlignment="1">
      <alignment horizontal="center" vertical="center"/>
    </xf>
    <xf numFmtId="0" fontId="38" fillId="6" borderId="23" xfId="2" applyFont="1" applyFill="1" applyBorder="1" applyAlignment="1">
      <alignment vertical="center"/>
    </xf>
    <xf numFmtId="0" fontId="27" fillId="6" borderId="24" xfId="2" applyFont="1" applyFill="1" applyBorder="1" applyAlignment="1">
      <alignment vertical="center"/>
    </xf>
    <xf numFmtId="43" fontId="38" fillId="6" borderId="16" xfId="2" applyNumberFormat="1" applyFont="1" applyFill="1" applyBorder="1" applyAlignment="1">
      <alignment vertical="center"/>
    </xf>
    <xf numFmtId="0" fontId="38" fillId="6" borderId="65" xfId="2" applyFont="1" applyFill="1" applyBorder="1" applyAlignment="1">
      <alignment vertical="center"/>
    </xf>
    <xf numFmtId="0" fontId="27" fillId="6" borderId="62" xfId="2" applyFont="1" applyFill="1" applyBorder="1" applyAlignment="1">
      <alignment vertical="center"/>
    </xf>
    <xf numFmtId="43" fontId="38" fillId="6" borderId="66" xfId="2" applyNumberFormat="1" applyFont="1" applyFill="1" applyBorder="1" applyAlignment="1">
      <alignment vertical="center"/>
    </xf>
    <xf numFmtId="0" fontId="25" fillId="6" borderId="23" xfId="0" applyFont="1" applyFill="1" applyBorder="1" applyAlignment="1">
      <alignment vertical="top"/>
    </xf>
    <xf numFmtId="0" fontId="25" fillId="6" borderId="24" xfId="0" applyFont="1" applyFill="1" applyBorder="1" applyAlignment="1">
      <alignment vertical="top"/>
    </xf>
    <xf numFmtId="43" fontId="25" fillId="6" borderId="94" xfId="0" applyNumberFormat="1" applyFont="1" applyFill="1" applyBorder="1" applyAlignment="1">
      <alignment vertical="center"/>
    </xf>
    <xf numFmtId="0" fontId="25" fillId="6" borderId="37" xfId="0" applyFont="1" applyFill="1" applyBorder="1" applyAlignment="1">
      <alignment vertical="top"/>
    </xf>
    <xf numFmtId="0" fontId="25" fillId="6" borderId="15" xfId="0" applyFont="1" applyFill="1" applyBorder="1" applyAlignment="1">
      <alignment vertical="top"/>
    </xf>
    <xf numFmtId="0" fontId="25" fillId="6" borderId="15" xfId="0" applyFont="1" applyFill="1" applyBorder="1" applyAlignment="1">
      <alignment vertical="top" wrapText="1"/>
    </xf>
    <xf numFmtId="0" fontId="25" fillId="6" borderId="51" xfId="0" applyFont="1" applyFill="1" applyBorder="1" applyAlignment="1">
      <alignment vertical="top" wrapText="1"/>
    </xf>
    <xf numFmtId="0" fontId="19" fillId="6" borderId="39" xfId="0" applyFont="1" applyFill="1" applyBorder="1" applyAlignment="1">
      <alignment vertical="center"/>
    </xf>
    <xf numFmtId="43" fontId="19" fillId="6" borderId="48" xfId="1" applyFont="1" applyFill="1" applyBorder="1" applyAlignment="1">
      <alignment vertical="center"/>
    </xf>
    <xf numFmtId="0" fontId="19" fillId="6" borderId="40" xfId="0" applyFont="1" applyFill="1" applyBorder="1" applyAlignment="1">
      <alignment vertical="center"/>
    </xf>
    <xf numFmtId="0" fontId="38" fillId="0" borderId="56" xfId="0" applyFont="1" applyBorder="1" applyAlignment="1">
      <alignment horizontal="left" vertical="center"/>
    </xf>
    <xf numFmtId="0" fontId="38" fillId="0" borderId="55" xfId="0" applyFont="1" applyBorder="1" applyAlignment="1">
      <alignment horizontal="center" vertical="center"/>
    </xf>
    <xf numFmtId="166" fontId="38" fillId="0" borderId="54" xfId="3" applyFont="1" applyFill="1" applyBorder="1" applyAlignment="1">
      <alignment horizontal="center" vertical="center"/>
    </xf>
    <xf numFmtId="166" fontId="38" fillId="0" borderId="4" xfId="3" applyFont="1" applyFill="1" applyBorder="1" applyAlignment="1">
      <alignment horizontal="center" vertical="center"/>
    </xf>
    <xf numFmtId="0" fontId="27" fillId="0" borderId="27" xfId="0" applyFont="1" applyBorder="1" applyAlignment="1" applyProtection="1">
      <alignment vertical="center"/>
      <protection locked="0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166" fontId="27" fillId="0" borderId="7" xfId="3" applyFont="1" applyFill="1" applyBorder="1" applyAlignment="1">
      <alignment horizontal="center" vertical="center"/>
    </xf>
    <xf numFmtId="0" fontId="27" fillId="0" borderId="29" xfId="0" applyFont="1" applyBorder="1" applyAlignment="1">
      <alignment vertical="center"/>
    </xf>
    <xf numFmtId="0" fontId="27" fillId="0" borderId="0" xfId="2" applyFont="1" applyAlignment="1">
      <alignment vertical="center"/>
    </xf>
    <xf numFmtId="0" fontId="27" fillId="0" borderId="5" xfId="0" applyFont="1" applyBorder="1" applyAlignment="1">
      <alignment horizontal="center" vertical="center"/>
    </xf>
    <xf numFmtId="166" fontId="27" fillId="0" borderId="8" xfId="3" applyFont="1" applyFill="1" applyBorder="1" applyAlignment="1">
      <alignment horizontal="center" vertical="center"/>
    </xf>
    <xf numFmtId="2" fontId="27" fillId="0" borderId="5" xfId="0" applyNumberFormat="1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7" fillId="0" borderId="8" xfId="0" applyFont="1" applyBorder="1" applyAlignment="1">
      <alignment vertical="center"/>
    </xf>
    <xf numFmtId="167" fontId="27" fillId="0" borderId="5" xfId="3" applyNumberFormat="1" applyFont="1" applyFill="1" applyBorder="1" applyAlignment="1">
      <alignment horizontal="center" vertical="center"/>
    </xf>
    <xf numFmtId="1" fontId="27" fillId="0" borderId="5" xfId="0" applyNumberFormat="1" applyFont="1" applyBorder="1" applyAlignment="1" applyProtection="1">
      <alignment horizontal="center" vertical="center"/>
      <protection locked="0"/>
    </xf>
    <xf numFmtId="166" fontId="27" fillId="0" borderId="5" xfId="3" applyFont="1" applyFill="1" applyBorder="1" applyAlignment="1" applyProtection="1">
      <alignment horizontal="center" vertical="center"/>
      <protection locked="0"/>
    </xf>
    <xf numFmtId="0" fontId="38" fillId="0" borderId="29" xfId="0" applyFont="1" applyBorder="1" applyAlignment="1">
      <alignment vertical="center"/>
    </xf>
    <xf numFmtId="0" fontId="38" fillId="0" borderId="5" xfId="0" applyFont="1" applyBorder="1" applyAlignment="1">
      <alignment horizontal="center" vertical="center"/>
    </xf>
    <xf numFmtId="166" fontId="38" fillId="0" borderId="5" xfId="3" applyFont="1" applyFill="1" applyBorder="1" applyAlignment="1">
      <alignment horizontal="center" vertical="center"/>
    </xf>
    <xf numFmtId="166" fontId="38" fillId="0" borderId="8" xfId="3" applyFont="1" applyFill="1" applyBorder="1" applyAlignment="1">
      <alignment horizontal="center" vertical="center"/>
    </xf>
    <xf numFmtId="0" fontId="27" fillId="0" borderId="57" xfId="0" applyFont="1" applyBorder="1" applyAlignment="1">
      <alignment vertical="center"/>
    </xf>
    <xf numFmtId="0" fontId="27" fillId="0" borderId="58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166" fontId="27" fillId="0" borderId="9" xfId="3" applyFont="1" applyFill="1" applyBorder="1" applyAlignment="1">
      <alignment horizontal="center" vertical="center"/>
    </xf>
    <xf numFmtId="166" fontId="27" fillId="0" borderId="10" xfId="3" applyFont="1" applyFill="1" applyBorder="1" applyAlignment="1">
      <alignment horizontal="center" vertical="center"/>
    </xf>
    <xf numFmtId="0" fontId="38" fillId="0" borderId="67" xfId="0" applyFont="1" applyBorder="1" applyAlignment="1">
      <alignment vertical="center"/>
    </xf>
    <xf numFmtId="0" fontId="38" fillId="0" borderId="11" xfId="0" applyFont="1" applyBorder="1" applyAlignment="1">
      <alignment horizontal="center" vertical="center"/>
    </xf>
    <xf numFmtId="166" fontId="38" fillId="0" borderId="11" xfId="3" applyFont="1" applyFill="1" applyBorder="1" applyAlignment="1">
      <alignment horizontal="center" vertical="center"/>
    </xf>
    <xf numFmtId="166" fontId="38" fillId="0" borderId="12" xfId="3" applyFont="1" applyFill="1" applyBorder="1" applyAlignment="1">
      <alignment horizontal="center" vertical="center"/>
    </xf>
    <xf numFmtId="0" fontId="38" fillId="0" borderId="27" xfId="0" applyFont="1" applyBorder="1"/>
    <xf numFmtId="0" fontId="27" fillId="0" borderId="14" xfId="0" applyFont="1" applyBorder="1"/>
    <xf numFmtId="0" fontId="38" fillId="0" borderId="23" xfId="0" applyFont="1" applyBorder="1" applyAlignment="1">
      <alignment vertical="center"/>
    </xf>
    <xf numFmtId="0" fontId="38" fillId="0" borderId="24" xfId="0" applyFont="1" applyBorder="1" applyAlignment="1">
      <alignment horizontal="center" vertical="center"/>
    </xf>
    <xf numFmtId="0" fontId="38" fillId="0" borderId="37" xfId="0" applyFont="1" applyBorder="1" applyAlignment="1">
      <alignment horizontal="center" vertical="center"/>
    </xf>
    <xf numFmtId="0" fontId="38" fillId="0" borderId="15" xfId="0" applyFont="1" applyBorder="1" applyAlignment="1">
      <alignment horizontal="center" vertical="center"/>
    </xf>
    <xf numFmtId="166" fontId="27" fillId="0" borderId="15" xfId="3" applyFont="1" applyFill="1" applyBorder="1" applyAlignment="1">
      <alignment horizontal="center" vertical="center"/>
    </xf>
    <xf numFmtId="166" fontId="38" fillId="0" borderId="16" xfId="3" applyFont="1" applyFill="1" applyBorder="1" applyAlignment="1">
      <alignment horizontal="center" vertical="center"/>
    </xf>
    <xf numFmtId="0" fontId="27" fillId="0" borderId="31" xfId="0" applyFont="1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166" fontId="27" fillId="0" borderId="17" xfId="3" applyFont="1" applyFill="1" applyBorder="1" applyAlignment="1">
      <alignment horizontal="center" vertical="center"/>
    </xf>
    <xf numFmtId="166" fontId="27" fillId="0" borderId="18" xfId="3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24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166" fontId="27" fillId="0" borderId="16" xfId="3" applyFont="1" applyFill="1" applyBorder="1" applyAlignment="1">
      <alignment horizontal="center" vertical="center"/>
    </xf>
    <xf numFmtId="0" fontId="38" fillId="0" borderId="31" xfId="0" applyFont="1" applyBorder="1" applyAlignment="1">
      <alignment vertical="center"/>
    </xf>
    <xf numFmtId="0" fontId="38" fillId="0" borderId="19" xfId="0" applyFont="1" applyBorder="1" applyAlignment="1">
      <alignment horizontal="center" vertical="center"/>
    </xf>
    <xf numFmtId="0" fontId="38" fillId="0" borderId="40" xfId="0" applyFont="1" applyBorder="1" applyAlignment="1">
      <alignment horizontal="center" vertical="center"/>
    </xf>
    <xf numFmtId="0" fontId="38" fillId="0" borderId="23" xfId="2" applyFont="1" applyBorder="1" applyAlignment="1">
      <alignment vertical="center"/>
    </xf>
    <xf numFmtId="0" fontId="27" fillId="0" borderId="24" xfId="2" applyFont="1" applyBorder="1" applyAlignment="1">
      <alignment vertical="center"/>
    </xf>
    <xf numFmtId="0" fontId="38" fillId="0" borderId="65" xfId="2" applyFont="1" applyBorder="1" applyAlignment="1">
      <alignment vertical="center"/>
    </xf>
    <xf numFmtId="0" fontId="27" fillId="0" borderId="62" xfId="2" applyFont="1" applyBorder="1" applyAlignment="1">
      <alignment vertical="center"/>
    </xf>
    <xf numFmtId="43" fontId="38" fillId="0" borderId="66" xfId="2" applyNumberFormat="1" applyFont="1" applyBorder="1" applyAlignment="1">
      <alignment vertical="center"/>
    </xf>
    <xf numFmtId="0" fontId="38" fillId="0" borderId="0" xfId="2" applyFont="1" applyAlignment="1">
      <alignment vertical="center"/>
    </xf>
    <xf numFmtId="0" fontId="38" fillId="0" borderId="0" xfId="2" applyFont="1" applyAlignment="1">
      <alignment horizontal="center" vertical="center"/>
    </xf>
    <xf numFmtId="166" fontId="38" fillId="0" borderId="0" xfId="3" applyFont="1" applyFill="1" applyBorder="1" applyAlignment="1">
      <alignment horizontal="center" vertical="center"/>
    </xf>
    <xf numFmtId="0" fontId="19" fillId="0" borderId="95" xfId="0" applyFont="1" applyBorder="1"/>
    <xf numFmtId="0" fontId="19" fillId="0" borderId="46" xfId="0" applyFont="1" applyBorder="1" applyAlignment="1">
      <alignment horizontal="right"/>
    </xf>
    <xf numFmtId="0" fontId="19" fillId="0" borderId="36" xfId="0" applyFont="1" applyBorder="1"/>
    <xf numFmtId="0" fontId="19" fillId="0" borderId="43" xfId="0" applyFont="1" applyBorder="1"/>
    <xf numFmtId="0" fontId="19" fillId="0" borderId="44" xfId="0" applyFont="1" applyBorder="1"/>
    <xf numFmtId="43" fontId="19" fillId="6" borderId="6" xfId="0" applyNumberFormat="1" applyFont="1" applyFill="1" applyBorder="1" applyAlignment="1">
      <alignment vertical="center"/>
    </xf>
    <xf numFmtId="43" fontId="19" fillId="6" borderId="17" xfId="0" applyNumberFormat="1" applyFont="1" applyFill="1" applyBorder="1" applyAlignment="1">
      <alignment vertical="center"/>
    </xf>
    <xf numFmtId="0" fontId="19" fillId="6" borderId="19" xfId="0" applyFont="1" applyFill="1" applyBorder="1"/>
    <xf numFmtId="43" fontId="25" fillId="6" borderId="93" xfId="1" applyFont="1" applyFill="1" applyBorder="1" applyAlignment="1">
      <alignment vertical="center"/>
    </xf>
    <xf numFmtId="43" fontId="38" fillId="0" borderId="16" xfId="2" applyNumberFormat="1" applyFont="1" applyBorder="1" applyAlignment="1">
      <alignment vertical="center"/>
    </xf>
    <xf numFmtId="0" fontId="36" fillId="0" borderId="0" xfId="0" applyFont="1"/>
    <xf numFmtId="0" fontId="39" fillId="0" borderId="0" xfId="0" applyFont="1"/>
    <xf numFmtId="43" fontId="36" fillId="0" borderId="0" xfId="1" applyFont="1" applyFill="1"/>
    <xf numFmtId="0" fontId="25" fillId="0" borderId="23" xfId="0" applyFont="1" applyBorder="1" applyAlignment="1">
      <alignment horizontal="left"/>
    </xf>
    <xf numFmtId="43" fontId="19" fillId="0" borderId="34" xfId="0" applyNumberFormat="1" applyFont="1" applyBorder="1" applyAlignment="1">
      <alignment vertical="center"/>
    </xf>
    <xf numFmtId="43" fontId="19" fillId="0" borderId="44" xfId="1" applyFont="1" applyFill="1" applyBorder="1" applyAlignment="1">
      <alignment horizontal="right" vertical="center"/>
    </xf>
    <xf numFmtId="0" fontId="25" fillId="0" borderId="24" xfId="0" applyFont="1" applyBorder="1"/>
    <xf numFmtId="0" fontId="25" fillId="0" borderId="41" xfId="0" applyFont="1" applyBorder="1"/>
    <xf numFmtId="43" fontId="19" fillId="0" borderId="91" xfId="1" applyFont="1" applyFill="1" applyBorder="1" applyAlignment="1">
      <alignment horizontal="center"/>
    </xf>
    <xf numFmtId="43" fontId="19" fillId="0" borderId="68" xfId="1" applyFont="1" applyFill="1" applyBorder="1"/>
    <xf numFmtId="43" fontId="19" fillId="0" borderId="95" xfId="1" applyFont="1" applyFill="1" applyBorder="1"/>
    <xf numFmtId="43" fontId="19" fillId="0" borderId="92" xfId="1" applyFont="1" applyFill="1" applyBorder="1"/>
    <xf numFmtId="43" fontId="19" fillId="0" borderId="68" xfId="1" applyFont="1" applyFill="1" applyBorder="1" applyAlignment="1">
      <alignment horizontal="center"/>
    </xf>
    <xf numFmtId="43" fontId="19" fillId="0" borderId="95" xfId="1" applyFont="1" applyFill="1" applyBorder="1" applyAlignment="1">
      <alignment horizontal="center"/>
    </xf>
    <xf numFmtId="43" fontId="19" fillId="0" borderId="92" xfId="1" applyFont="1" applyFill="1" applyBorder="1" applyAlignment="1">
      <alignment horizontal="center"/>
    </xf>
    <xf numFmtId="0" fontId="19" fillId="0" borderId="92" xfId="0" applyFont="1" applyBorder="1"/>
    <xf numFmtId="0" fontId="19" fillId="0" borderId="68" xfId="1" applyNumberFormat="1" applyFont="1" applyFill="1" applyBorder="1" applyAlignment="1">
      <alignment horizontal="right"/>
    </xf>
    <xf numFmtId="2" fontId="19" fillId="0" borderId="95" xfId="1" applyNumberFormat="1" applyFont="1" applyFill="1" applyBorder="1" applyAlignment="1">
      <alignment horizontal="right"/>
    </xf>
    <xf numFmtId="0" fontId="19" fillId="6" borderId="42" xfId="0" applyFont="1" applyFill="1" applyBorder="1" applyAlignment="1">
      <alignment vertical="center"/>
    </xf>
    <xf numFmtId="0" fontId="37" fillId="6" borderId="51" xfId="0" applyFont="1" applyFill="1" applyBorder="1" applyAlignment="1">
      <alignment horizontal="center" vertical="center" wrapText="1"/>
    </xf>
    <xf numFmtId="0" fontId="19" fillId="6" borderId="51" xfId="0" applyFont="1" applyFill="1" applyBorder="1" applyAlignment="1">
      <alignment horizontal="center" vertical="center"/>
    </xf>
    <xf numFmtId="0" fontId="37" fillId="0" borderId="51" xfId="0" applyFont="1" applyBorder="1"/>
    <xf numFmtId="43" fontId="19" fillId="0" borderId="95" xfId="1" applyFont="1" applyFill="1" applyBorder="1" applyAlignment="1">
      <alignment horizontal="center" vertical="center"/>
    </xf>
    <xf numFmtId="0" fontId="19" fillId="0" borderId="30" xfId="0" applyFont="1" applyBorder="1" applyAlignment="1">
      <alignment horizontal="right" vertical="center"/>
    </xf>
    <xf numFmtId="0" fontId="25" fillId="6" borderId="26" xfId="0" applyFont="1" applyFill="1" applyBorder="1" applyAlignment="1">
      <alignment horizontal="right" vertical="center"/>
    </xf>
    <xf numFmtId="0" fontId="38" fillId="0" borderId="27" xfId="0" applyFont="1" applyBorder="1" applyAlignment="1">
      <alignment vertical="center"/>
    </xf>
    <xf numFmtId="0" fontId="27" fillId="0" borderId="14" xfId="0" applyFont="1" applyBorder="1" applyAlignment="1">
      <alignment vertical="center"/>
    </xf>
    <xf numFmtId="0" fontId="38" fillId="0" borderId="3" xfId="0" applyFont="1" applyBorder="1" applyAlignment="1">
      <alignment vertical="center"/>
    </xf>
    <xf numFmtId="43" fontId="38" fillId="0" borderId="4" xfId="1" applyFont="1" applyFill="1" applyBorder="1" applyAlignment="1">
      <alignment vertical="center"/>
    </xf>
    <xf numFmtId="43" fontId="27" fillId="0" borderId="8" xfId="1" applyFont="1" applyFill="1" applyBorder="1" applyAlignment="1">
      <alignment horizontal="center" vertical="center"/>
    </xf>
    <xf numFmtId="0" fontId="38" fillId="0" borderId="13" xfId="0" applyFont="1" applyBorder="1" applyAlignment="1">
      <alignment horizontal="center" vertical="center"/>
    </xf>
    <xf numFmtId="0" fontId="38" fillId="0" borderId="23" xfId="0" applyFont="1" applyBorder="1" applyAlignment="1">
      <alignment horizontal="left" vertical="center"/>
    </xf>
    <xf numFmtId="43" fontId="38" fillId="0" borderId="25" xfId="1" applyFont="1" applyFill="1" applyBorder="1" applyAlignment="1">
      <alignment horizontal="center" vertical="center"/>
    </xf>
    <xf numFmtId="8" fontId="27" fillId="0" borderId="0" xfId="0" applyNumberFormat="1" applyFont="1"/>
    <xf numFmtId="0" fontId="38" fillId="0" borderId="62" xfId="0" applyFont="1" applyBorder="1" applyAlignment="1">
      <alignment horizontal="center" vertical="center"/>
    </xf>
    <xf numFmtId="43" fontId="38" fillId="0" borderId="63" xfId="1" applyFont="1" applyFill="1" applyBorder="1" applyAlignment="1">
      <alignment horizontal="center" vertical="center"/>
    </xf>
    <xf numFmtId="43" fontId="38" fillId="0" borderId="3" xfId="1" applyFont="1" applyFill="1" applyBorder="1" applyAlignment="1">
      <alignment horizontal="center" vertical="center"/>
    </xf>
    <xf numFmtId="8" fontId="40" fillId="0" borderId="0" xfId="0" applyNumberFormat="1" applyFont="1"/>
    <xf numFmtId="0" fontId="19" fillId="6" borderId="47" xfId="0" applyFont="1" applyFill="1" applyBorder="1" applyAlignment="1">
      <alignment vertical="center"/>
    </xf>
    <xf numFmtId="0" fontId="19" fillId="0" borderId="13" xfId="0" applyFont="1" applyBorder="1" applyAlignment="1">
      <alignment horizontal="left" vertical="center"/>
    </xf>
    <xf numFmtId="0" fontId="41" fillId="0" borderId="0" xfId="0" applyFont="1" applyAlignment="1">
      <alignment horizontal="left" vertical="center"/>
    </xf>
    <xf numFmtId="0" fontId="41" fillId="6" borderId="0" xfId="0" applyFont="1" applyFill="1" applyAlignment="1">
      <alignment vertical="center"/>
    </xf>
    <xf numFmtId="0" fontId="41" fillId="6" borderId="0" xfId="0" applyFont="1" applyFill="1" applyAlignment="1">
      <alignment horizontal="left" vertical="center"/>
    </xf>
    <xf numFmtId="0" fontId="41" fillId="6" borderId="0" xfId="0" applyFont="1" applyFill="1"/>
    <xf numFmtId="0" fontId="19" fillId="0" borderId="0" xfId="0" applyFont="1" applyAlignment="1">
      <alignment horizontal="left"/>
    </xf>
    <xf numFmtId="0" fontId="36" fillId="0" borderId="0" xfId="0" applyFont="1" applyAlignment="1">
      <alignment horizontal="left"/>
    </xf>
    <xf numFmtId="0" fontId="36" fillId="0" borderId="0" xfId="0" applyFont="1" applyAlignment="1">
      <alignment horizontal="right"/>
    </xf>
    <xf numFmtId="2" fontId="36" fillId="0" borderId="0" xfId="0" applyNumberFormat="1" applyFont="1"/>
    <xf numFmtId="43" fontId="19" fillId="0" borderId="59" xfId="1" applyFont="1" applyFill="1" applyBorder="1" applyAlignment="1">
      <alignment vertical="center"/>
    </xf>
    <xf numFmtId="43" fontId="19" fillId="6" borderId="25" xfId="1" applyFont="1" applyFill="1" applyBorder="1" applyAlignment="1">
      <alignment vertical="center"/>
    </xf>
    <xf numFmtId="0" fontId="19" fillId="0" borderId="0" xfId="0" applyFont="1" applyAlignment="1">
      <alignment horizontal="center"/>
    </xf>
    <xf numFmtId="0" fontId="25" fillId="6" borderId="35" xfId="0" applyFont="1" applyFill="1" applyBorder="1" applyAlignment="1">
      <alignment horizontal="left" vertical="center"/>
    </xf>
    <xf numFmtId="43" fontId="25" fillId="0" borderId="26" xfId="1" applyFont="1" applyFill="1" applyBorder="1" applyAlignment="1">
      <alignment horizontal="right"/>
    </xf>
    <xf numFmtId="0" fontId="42" fillId="0" borderId="0" xfId="0" applyFont="1"/>
    <xf numFmtId="43" fontId="25" fillId="0" borderId="0" xfId="1" applyFont="1" applyFill="1" applyBorder="1" applyAlignment="1">
      <alignment vertical="center"/>
    </xf>
    <xf numFmtId="43" fontId="36" fillId="0" borderId="0" xfId="1" applyFont="1" applyFill="1" applyAlignment="1">
      <alignment horizontal="left"/>
    </xf>
    <xf numFmtId="43" fontId="36" fillId="0" borderId="0" xfId="1" applyFont="1" applyFill="1" applyBorder="1" applyAlignment="1">
      <alignment vertical="center"/>
    </xf>
    <xf numFmtId="43" fontId="36" fillId="0" borderId="0" xfId="1" applyFont="1" applyFill="1" applyAlignment="1">
      <alignment horizontal="right"/>
    </xf>
    <xf numFmtId="0" fontId="36" fillId="0" borderId="0" xfId="0" applyFont="1" applyAlignment="1">
      <alignment vertical="center"/>
    </xf>
    <xf numFmtId="43" fontId="36" fillId="0" borderId="0" xfId="1" applyFont="1" applyFill="1" applyAlignment="1">
      <alignment vertical="center"/>
    </xf>
    <xf numFmtId="0" fontId="25" fillId="0" borderId="23" xfId="0" applyFont="1" applyBorder="1" applyAlignment="1">
      <alignment horizontal="left" vertical="center"/>
    </xf>
    <xf numFmtId="43" fontId="19" fillId="0" borderId="41" xfId="1" applyFont="1" applyFill="1" applyBorder="1" applyAlignment="1">
      <alignment vertical="center"/>
    </xf>
    <xf numFmtId="43" fontId="25" fillId="0" borderId="93" xfId="1" applyFont="1" applyFill="1" applyBorder="1" applyAlignment="1">
      <alignment vertical="center"/>
    </xf>
    <xf numFmtId="171" fontId="36" fillId="0" borderId="0" xfId="1" applyNumberFormat="1" applyFont="1" applyFill="1" applyAlignment="1">
      <alignment vertical="center"/>
    </xf>
    <xf numFmtId="10" fontId="36" fillId="0" borderId="0" xfId="0" applyNumberFormat="1" applyFont="1" applyAlignment="1">
      <alignment vertical="center"/>
    </xf>
    <xf numFmtId="0" fontId="25" fillId="0" borderId="24" xfId="0" applyFont="1" applyBorder="1" applyAlignment="1">
      <alignment vertical="center"/>
    </xf>
    <xf numFmtId="0" fontId="25" fillId="0" borderId="41" xfId="0" applyFont="1" applyBorder="1" applyAlignment="1">
      <alignment vertical="center"/>
    </xf>
    <xf numFmtId="43" fontId="19" fillId="0" borderId="59" xfId="0" applyNumberFormat="1" applyFont="1" applyBorder="1" applyAlignment="1">
      <alignment vertical="center"/>
    </xf>
    <xf numFmtId="43" fontId="19" fillId="0" borderId="38" xfId="1" applyFont="1" applyFill="1" applyBorder="1"/>
    <xf numFmtId="43" fontId="19" fillId="0" borderId="39" xfId="1" applyFont="1" applyFill="1" applyBorder="1"/>
    <xf numFmtId="43" fontId="19" fillId="0" borderId="40" xfId="1" applyFont="1" applyFill="1" applyBorder="1"/>
    <xf numFmtId="43" fontId="19" fillId="0" borderId="38" xfId="1" applyFont="1" applyFill="1" applyBorder="1" applyAlignment="1">
      <alignment horizontal="center" vertical="center"/>
    </xf>
    <xf numFmtId="43" fontId="19" fillId="0" borderId="39" xfId="1" applyFont="1" applyFill="1" applyBorder="1" applyAlignment="1">
      <alignment horizontal="center" vertical="center"/>
    </xf>
    <xf numFmtId="43" fontId="19" fillId="0" borderId="40" xfId="1" applyFont="1" applyFill="1" applyBorder="1" applyAlignment="1">
      <alignment horizontal="center" vertical="center"/>
    </xf>
    <xf numFmtId="0" fontId="37" fillId="0" borderId="51" xfId="0" applyFont="1" applyBorder="1" applyAlignment="1">
      <alignment vertical="center" wrapText="1"/>
    </xf>
    <xf numFmtId="0" fontId="19" fillId="0" borderId="28" xfId="0" applyFont="1" applyBorder="1" applyAlignment="1">
      <alignment horizontal="right" vertical="center"/>
    </xf>
    <xf numFmtId="0" fontId="19" fillId="6" borderId="28" xfId="0" applyFont="1" applyFill="1" applyBorder="1" applyAlignment="1">
      <alignment vertical="center"/>
    </xf>
    <xf numFmtId="0" fontId="19" fillId="0" borderId="13" xfId="0" applyFont="1" applyBorder="1" applyAlignment="1">
      <alignment horizontal="right" vertical="center"/>
    </xf>
    <xf numFmtId="0" fontId="19" fillId="0" borderId="43" xfId="0" applyFont="1" applyBorder="1" applyAlignment="1">
      <alignment vertical="center"/>
    </xf>
    <xf numFmtId="0" fontId="19" fillId="0" borderId="44" xfId="0" applyFont="1" applyBorder="1" applyAlignment="1">
      <alignment vertical="center"/>
    </xf>
    <xf numFmtId="43" fontId="19" fillId="0" borderId="68" xfId="1" applyFont="1" applyFill="1" applyBorder="1" applyAlignment="1">
      <alignment horizontal="center" vertical="center"/>
    </xf>
    <xf numFmtId="0" fontId="19" fillId="0" borderId="95" xfId="0" applyFont="1" applyBorder="1" applyAlignment="1">
      <alignment vertical="center"/>
    </xf>
    <xf numFmtId="0" fontId="19" fillId="0" borderId="92" xfId="0" applyFont="1" applyBorder="1" applyAlignment="1">
      <alignment vertical="center"/>
    </xf>
    <xf numFmtId="43" fontId="25" fillId="0" borderId="0" xfId="0" applyNumberFormat="1" applyFont="1" applyAlignment="1">
      <alignment vertical="center"/>
    </xf>
    <xf numFmtId="43" fontId="19" fillId="0" borderId="6" xfId="0" applyNumberFormat="1" applyFont="1" applyBorder="1" applyAlignment="1">
      <alignment vertical="center"/>
    </xf>
    <xf numFmtId="43" fontId="19" fillId="0" borderId="5" xfId="0" applyNumberFormat="1" applyFont="1" applyBorder="1" applyAlignment="1">
      <alignment vertical="center"/>
    </xf>
    <xf numFmtId="43" fontId="19" fillId="0" borderId="17" xfId="0" applyNumberFormat="1" applyFont="1" applyBorder="1" applyAlignment="1">
      <alignment vertical="center"/>
    </xf>
    <xf numFmtId="43" fontId="19" fillId="6" borderId="45" xfId="1" applyFont="1" applyFill="1" applyBorder="1" applyAlignment="1">
      <alignment vertical="center"/>
    </xf>
    <xf numFmtId="43" fontId="19" fillId="6" borderId="46" xfId="1" applyFont="1" applyFill="1" applyBorder="1" applyAlignment="1">
      <alignment vertical="center"/>
    </xf>
    <xf numFmtId="43" fontId="19" fillId="6" borderId="47" xfId="1" applyFont="1" applyFill="1" applyBorder="1" applyAlignment="1">
      <alignment vertical="center"/>
    </xf>
    <xf numFmtId="43" fontId="19" fillId="0" borderId="48" xfId="0" applyNumberFormat="1" applyFont="1" applyBorder="1"/>
    <xf numFmtId="43" fontId="25" fillId="0" borderId="49" xfId="0" applyNumberFormat="1" applyFont="1" applyBorder="1" applyAlignment="1">
      <alignment vertical="center"/>
    </xf>
    <xf numFmtId="43" fontId="25" fillId="0" borderId="50" xfId="0" applyNumberFormat="1" applyFont="1" applyBorder="1" applyAlignment="1">
      <alignment vertical="center"/>
    </xf>
    <xf numFmtId="173" fontId="19" fillId="0" borderId="0" xfId="0" applyNumberFormat="1" applyFont="1"/>
    <xf numFmtId="0" fontId="25" fillId="0" borderId="22" xfId="0" applyFont="1" applyBorder="1"/>
    <xf numFmtId="10" fontId="36" fillId="0" borderId="0" xfId="0" applyNumberFormat="1" applyFont="1"/>
    <xf numFmtId="43" fontId="19" fillId="0" borderId="59" xfId="1" applyFont="1" applyFill="1" applyBorder="1"/>
    <xf numFmtId="0" fontId="19" fillId="0" borderId="42" xfId="0" applyFont="1" applyBorder="1"/>
    <xf numFmtId="2" fontId="19" fillId="0" borderId="59" xfId="0" applyNumberFormat="1" applyFont="1" applyBorder="1"/>
    <xf numFmtId="0" fontId="19" fillId="0" borderId="91" xfId="0" applyFont="1" applyBorder="1"/>
    <xf numFmtId="2" fontId="19" fillId="0" borderId="43" xfId="0" applyNumberFormat="1" applyFont="1" applyBorder="1" applyAlignment="1">
      <alignment vertical="center"/>
    </xf>
    <xf numFmtId="2" fontId="19" fillId="0" borderId="15" xfId="0" applyNumberFormat="1" applyFont="1" applyBorder="1"/>
    <xf numFmtId="43" fontId="19" fillId="6" borderId="15" xfId="1" applyFont="1" applyFill="1" applyBorder="1" applyAlignment="1">
      <alignment vertical="center"/>
    </xf>
    <xf numFmtId="43" fontId="19" fillId="0" borderId="51" xfId="0" applyNumberFormat="1" applyFont="1" applyBorder="1"/>
    <xf numFmtId="0" fontId="19" fillId="0" borderId="72" xfId="0" applyFont="1" applyBorder="1" applyAlignment="1">
      <alignment vertical="center"/>
    </xf>
    <xf numFmtId="0" fontId="19" fillId="0" borderId="60" xfId="0" applyFont="1" applyBorder="1"/>
    <xf numFmtId="0" fontId="19" fillId="0" borderId="68" xfId="0" applyFont="1" applyBorder="1" applyAlignment="1">
      <alignment vertical="center"/>
    </xf>
    <xf numFmtId="2" fontId="19" fillId="0" borderId="17" xfId="0" applyNumberFormat="1" applyFont="1" applyBorder="1" applyAlignment="1">
      <alignment vertical="center"/>
    </xf>
    <xf numFmtId="0" fontId="36" fillId="6" borderId="0" xfId="0" applyFont="1" applyFill="1"/>
    <xf numFmtId="0" fontId="19" fillId="0" borderId="72" xfId="0" applyFont="1" applyBorder="1"/>
    <xf numFmtId="43" fontId="19" fillId="0" borderId="41" xfId="0" applyNumberFormat="1" applyFont="1" applyBorder="1" applyAlignment="1">
      <alignment vertical="center"/>
    </xf>
    <xf numFmtId="43" fontId="19" fillId="0" borderId="52" xfId="1" applyFont="1" applyFill="1" applyBorder="1" applyAlignment="1">
      <alignment vertical="center"/>
    </xf>
    <xf numFmtId="43" fontId="19" fillId="0" borderId="35" xfId="1" applyFont="1" applyFill="1" applyBorder="1" applyAlignment="1">
      <alignment vertical="center"/>
    </xf>
    <xf numFmtId="43" fontId="19" fillId="0" borderId="25" xfId="1" applyFont="1" applyFill="1" applyBorder="1" applyAlignment="1">
      <alignment vertical="center"/>
    </xf>
    <xf numFmtId="43" fontId="19" fillId="0" borderId="63" xfId="1" applyFont="1" applyFill="1" applyBorder="1" applyAlignment="1">
      <alignment vertical="center"/>
    </xf>
    <xf numFmtId="10" fontId="36" fillId="0" borderId="0" xfId="4" applyNumberFormat="1" applyFont="1" applyFill="1"/>
    <xf numFmtId="10" fontId="41" fillId="6" borderId="0" xfId="4" applyNumberFormat="1" applyFont="1" applyFill="1" applyAlignment="1">
      <alignment horizontal="center" vertical="center"/>
    </xf>
    <xf numFmtId="43" fontId="19" fillId="0" borderId="92" xfId="1" applyFont="1" applyFill="1" applyBorder="1" applyAlignment="1">
      <alignment horizontal="center" vertical="center"/>
    </xf>
    <xf numFmtId="43" fontId="19" fillId="0" borderId="91" xfId="1" applyFont="1" applyFill="1" applyBorder="1" applyAlignment="1">
      <alignment horizontal="center" vertical="center"/>
    </xf>
    <xf numFmtId="0" fontId="19" fillId="6" borderId="92" xfId="0" applyFont="1" applyFill="1" applyBorder="1" applyAlignment="1">
      <alignment vertical="center"/>
    </xf>
    <xf numFmtId="0" fontId="19" fillId="6" borderId="68" xfId="0" applyFont="1" applyFill="1" applyBorder="1" applyAlignment="1">
      <alignment vertical="center"/>
    </xf>
    <xf numFmtId="43" fontId="38" fillId="0" borderId="16" xfId="1" applyFont="1" applyFill="1" applyBorder="1" applyAlignment="1">
      <alignment vertical="center"/>
    </xf>
    <xf numFmtId="0" fontId="19" fillId="0" borderId="68" xfId="0" applyFont="1" applyBorder="1"/>
    <xf numFmtId="43" fontId="19" fillId="0" borderId="6" xfId="0" applyNumberFormat="1" applyFont="1" applyBorder="1"/>
    <xf numFmtId="43" fontId="19" fillId="0" borderId="17" xfId="0" applyNumberFormat="1" applyFont="1" applyBorder="1"/>
    <xf numFmtId="43" fontId="25" fillId="0" borderId="0" xfId="1" applyFont="1" applyFill="1" applyBorder="1"/>
    <xf numFmtId="2" fontId="19" fillId="0" borderId="22" xfId="0" applyNumberFormat="1" applyFont="1" applyBorder="1"/>
    <xf numFmtId="0" fontId="0" fillId="0" borderId="28" xfId="0" applyBorder="1"/>
    <xf numFmtId="43" fontId="4" fillId="0" borderId="17" xfId="1" applyFont="1" applyFill="1" applyBorder="1"/>
    <xf numFmtId="0" fontId="19" fillId="6" borderId="60" xfId="0" applyFont="1" applyFill="1" applyBorder="1" applyAlignment="1">
      <alignment vertical="center"/>
    </xf>
    <xf numFmtId="0" fontId="38" fillId="0" borderId="24" xfId="0" applyFont="1" applyBorder="1" applyAlignment="1">
      <alignment horizontal="left" vertical="center" wrapText="1"/>
    </xf>
    <xf numFmtId="43" fontId="19" fillId="0" borderId="19" xfId="1" applyFont="1" applyFill="1" applyBorder="1" applyAlignment="1">
      <alignment horizontal="center" vertical="center"/>
    </xf>
    <xf numFmtId="3" fontId="41" fillId="0" borderId="0" xfId="0" applyNumberFormat="1" applyFont="1" applyAlignment="1">
      <alignment horizontal="center" vertical="center"/>
    </xf>
    <xf numFmtId="165" fontId="41" fillId="0" borderId="0" xfId="0" applyNumberFormat="1" applyFont="1" applyAlignment="1">
      <alignment horizontal="center" vertical="center"/>
    </xf>
    <xf numFmtId="43" fontId="19" fillId="0" borderId="41" xfId="1" applyFont="1" applyFill="1" applyBorder="1"/>
    <xf numFmtId="43" fontId="19" fillId="0" borderId="37" xfId="1" applyFont="1" applyFill="1" applyBorder="1" applyAlignment="1">
      <alignment horizontal="center" vertical="center"/>
    </xf>
    <xf numFmtId="43" fontId="19" fillId="0" borderId="38" xfId="1" applyFont="1" applyFill="1" applyBorder="1" applyAlignment="1">
      <alignment horizontal="center"/>
    </xf>
    <xf numFmtId="43" fontId="19" fillId="0" borderId="39" xfId="1" applyFont="1" applyFill="1" applyBorder="1" applyAlignment="1">
      <alignment horizontal="center"/>
    </xf>
    <xf numFmtId="43" fontId="19" fillId="0" borderId="40" xfId="1" applyFont="1" applyFill="1" applyBorder="1" applyAlignment="1">
      <alignment horizontal="center"/>
    </xf>
    <xf numFmtId="0" fontId="0" fillId="0" borderId="32" xfId="0" applyBorder="1"/>
    <xf numFmtId="43" fontId="19" fillId="6" borderId="82" xfId="0" applyNumberFormat="1" applyFont="1" applyFill="1" applyBorder="1" applyAlignment="1">
      <alignment vertical="center"/>
    </xf>
    <xf numFmtId="43" fontId="19" fillId="6" borderId="20" xfId="0" applyNumberFormat="1" applyFont="1" applyFill="1" applyBorder="1" applyAlignment="1">
      <alignment vertical="center"/>
    </xf>
    <xf numFmtId="43" fontId="29" fillId="6" borderId="0" xfId="0" applyNumberFormat="1" applyFont="1" applyFill="1" applyAlignment="1">
      <alignment vertical="center"/>
    </xf>
    <xf numFmtId="43" fontId="19" fillId="6" borderId="0" xfId="0" applyNumberFormat="1" applyFont="1" applyFill="1"/>
    <xf numFmtId="43" fontId="25" fillId="6" borderId="93" xfId="0" applyNumberFormat="1" applyFont="1" applyFill="1" applyBorder="1" applyAlignment="1">
      <alignment vertical="center"/>
    </xf>
    <xf numFmtId="43" fontId="25" fillId="0" borderId="94" xfId="0" applyNumberFormat="1" applyFont="1" applyBorder="1"/>
    <xf numFmtId="43" fontId="25" fillId="0" borderId="94" xfId="0" applyNumberFormat="1" applyFont="1" applyBorder="1" applyAlignment="1">
      <alignment vertical="center"/>
    </xf>
    <xf numFmtId="10" fontId="19" fillId="6" borderId="0" xfId="4" applyNumberFormat="1" applyFont="1" applyFill="1" applyAlignment="1">
      <alignment vertical="center"/>
    </xf>
    <xf numFmtId="12" fontId="19" fillId="6" borderId="0" xfId="0" applyNumberFormat="1" applyFont="1" applyFill="1" applyAlignment="1">
      <alignment vertical="center"/>
    </xf>
    <xf numFmtId="13" fontId="19" fillId="6" borderId="0" xfId="1" applyNumberFormat="1" applyFont="1" applyFill="1" applyAlignment="1">
      <alignment vertical="center"/>
    </xf>
    <xf numFmtId="43" fontId="19" fillId="0" borderId="15" xfId="0" applyNumberFormat="1" applyFont="1" applyBorder="1"/>
    <xf numFmtId="0" fontId="19" fillId="0" borderId="37" xfId="0" applyFont="1" applyBorder="1"/>
    <xf numFmtId="0" fontId="19" fillId="0" borderId="25" xfId="0" applyFont="1" applyBorder="1"/>
    <xf numFmtId="0" fontId="19" fillId="6" borderId="29" xfId="0" applyFont="1" applyFill="1" applyBorder="1"/>
    <xf numFmtId="0" fontId="19" fillId="17" borderId="29" xfId="0" applyFont="1" applyFill="1" applyBorder="1"/>
    <xf numFmtId="0" fontId="34" fillId="0" borderId="0" xfId="0" applyFont="1" applyAlignment="1">
      <alignment vertical="center"/>
    </xf>
    <xf numFmtId="43" fontId="36" fillId="0" borderId="0" xfId="0" applyNumberFormat="1" applyFont="1" applyAlignment="1">
      <alignment vertical="center"/>
    </xf>
    <xf numFmtId="0" fontId="29" fillId="0" borderId="29" xfId="0" applyFont="1" applyBorder="1"/>
    <xf numFmtId="0" fontId="25" fillId="6" borderId="29" xfId="0" applyFont="1" applyFill="1" applyBorder="1"/>
    <xf numFmtId="0" fontId="19" fillId="6" borderId="44" xfId="0" applyFont="1" applyFill="1" applyBorder="1" applyAlignment="1">
      <alignment vertical="center"/>
    </xf>
    <xf numFmtId="0" fontId="19" fillId="17" borderId="0" xfId="0" applyFont="1" applyFill="1" applyAlignment="1">
      <alignment vertical="center"/>
    </xf>
    <xf numFmtId="9" fontId="19" fillId="6" borderId="30" xfId="4" applyFont="1" applyFill="1" applyBorder="1" applyAlignment="1">
      <alignment vertical="center"/>
    </xf>
    <xf numFmtId="0" fontId="42" fillId="6" borderId="0" xfId="0" applyFont="1" applyFill="1" applyAlignment="1">
      <alignment vertical="center"/>
    </xf>
    <xf numFmtId="43" fontId="19" fillId="0" borderId="24" xfId="1" applyFont="1" applyFill="1" applyBorder="1" applyAlignment="1">
      <alignment horizontal="left" vertical="center"/>
    </xf>
    <xf numFmtId="0" fontId="19" fillId="17" borderId="29" xfId="0" applyFont="1" applyFill="1" applyBorder="1" applyAlignment="1">
      <alignment vertical="center"/>
    </xf>
    <xf numFmtId="43" fontId="25" fillId="0" borderId="28" xfId="1" applyFont="1" applyFill="1" applyBorder="1"/>
    <xf numFmtId="0" fontId="30" fillId="0" borderId="29" xfId="0" applyFont="1" applyBorder="1"/>
    <xf numFmtId="0" fontId="40" fillId="0" borderId="29" xfId="0" applyFont="1" applyBorder="1"/>
    <xf numFmtId="0" fontId="43" fillId="0" borderId="29" xfId="0" applyFont="1" applyBorder="1"/>
    <xf numFmtId="43" fontId="0" fillId="0" borderId="79" xfId="1" applyFont="1" applyFill="1" applyBorder="1" applyAlignment="1">
      <alignment horizontal="left"/>
    </xf>
    <xf numFmtId="43" fontId="4" fillId="0" borderId="68" xfId="1" applyFont="1" applyFill="1" applyBorder="1" applyAlignment="1">
      <alignment horizontal="center"/>
    </xf>
    <xf numFmtId="0" fontId="4" fillId="0" borderId="0" xfId="0" applyFont="1"/>
    <xf numFmtId="0" fontId="4" fillId="0" borderId="48" xfId="0" applyFont="1" applyBorder="1"/>
    <xf numFmtId="43" fontId="4" fillId="0" borderId="95" xfId="1" applyFont="1" applyFill="1" applyBorder="1" applyAlignment="1">
      <alignment horizontal="center"/>
    </xf>
    <xf numFmtId="0" fontId="4" fillId="0" borderId="49" xfId="0" applyFont="1" applyBorder="1"/>
    <xf numFmtId="43" fontId="4" fillId="0" borderId="92" xfId="1" applyFont="1" applyFill="1" applyBorder="1" applyAlignment="1">
      <alignment horizontal="center"/>
    </xf>
    <xf numFmtId="0" fontId="4" fillId="0" borderId="19" xfId="0" applyFont="1" applyBorder="1"/>
    <xf numFmtId="0" fontId="4" fillId="0" borderId="50" xfId="0" applyFont="1" applyBorder="1"/>
    <xf numFmtId="0" fontId="44" fillId="0" borderId="0" xfId="0" applyFont="1"/>
    <xf numFmtId="0" fontId="19" fillId="0" borderId="23" xfId="0" applyFont="1" applyBorder="1" applyAlignment="1">
      <alignment vertical="center" wrapText="1"/>
    </xf>
    <xf numFmtId="0" fontId="19" fillId="0" borderId="24" xfId="0" applyFont="1" applyBorder="1" applyAlignment="1">
      <alignment vertical="center" wrapText="1"/>
    </xf>
    <xf numFmtId="0" fontId="19" fillId="0" borderId="19" xfId="0" applyFont="1" applyBorder="1" applyAlignment="1">
      <alignment horizontal="left" vertical="center"/>
    </xf>
    <xf numFmtId="0" fontId="19" fillId="0" borderId="5" xfId="0" applyFont="1" applyBorder="1" applyAlignment="1">
      <alignment horizontal="left" vertical="center"/>
    </xf>
    <xf numFmtId="43" fontId="19" fillId="6" borderId="82" xfId="1" applyFont="1" applyFill="1" applyBorder="1" applyAlignment="1">
      <alignment vertical="center"/>
    </xf>
    <xf numFmtId="10" fontId="19" fillId="6" borderId="28" xfId="4" applyNumberFormat="1" applyFont="1" applyFill="1" applyBorder="1" applyAlignment="1">
      <alignment vertical="center"/>
    </xf>
    <xf numFmtId="0" fontId="27" fillId="0" borderId="2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0" fillId="18" borderId="0" xfId="0" applyFill="1"/>
    <xf numFmtId="43" fontId="29" fillId="18" borderId="0" xfId="1" applyFont="1" applyFill="1"/>
    <xf numFmtId="43" fontId="4" fillId="18" borderId="0" xfId="1" applyFont="1" applyFill="1"/>
    <xf numFmtId="43" fontId="4" fillId="0" borderId="0" xfId="1" applyFont="1"/>
    <xf numFmtId="43" fontId="19" fillId="18" borderId="0" xfId="1" applyFont="1" applyFill="1"/>
    <xf numFmtId="43" fontId="19" fillId="0" borderId="0" xfId="1" applyFont="1"/>
    <xf numFmtId="0" fontId="19" fillId="18" borderId="0" xfId="0" applyFont="1" applyFill="1"/>
    <xf numFmtId="0" fontId="6" fillId="5" borderId="96" xfId="0" applyFont="1" applyFill="1" applyBorder="1"/>
    <xf numFmtId="0" fontId="6" fillId="5" borderId="1" xfId="0" applyFont="1" applyFill="1" applyBorder="1"/>
    <xf numFmtId="43" fontId="6" fillId="5" borderId="97" xfId="1" applyFont="1" applyFill="1" applyBorder="1"/>
    <xf numFmtId="0" fontId="0" fillId="6" borderId="1" xfId="0" applyFill="1" applyBorder="1"/>
    <xf numFmtId="43" fontId="0" fillId="0" borderId="1" xfId="1" applyFont="1" applyBorder="1"/>
    <xf numFmtId="43" fontId="29" fillId="0" borderId="1" xfId="1" applyFont="1" applyBorder="1"/>
    <xf numFmtId="10" fontId="19" fillId="0" borderId="1" xfId="4" applyNumberFormat="1" applyFont="1" applyBorder="1"/>
    <xf numFmtId="43" fontId="19" fillId="0" borderId="1" xfId="1" applyFont="1" applyBorder="1"/>
    <xf numFmtId="0" fontId="29" fillId="6" borderId="1" xfId="0" applyFont="1" applyFill="1" applyBorder="1"/>
    <xf numFmtId="43" fontId="0" fillId="18" borderId="0" xfId="1" applyFont="1" applyFill="1"/>
    <xf numFmtId="2" fontId="19" fillId="0" borderId="0" xfId="0" applyNumberFormat="1" applyFont="1"/>
    <xf numFmtId="2" fontId="19" fillId="0" borderId="17" xfId="0" applyNumberFormat="1" applyFont="1" applyBorder="1"/>
    <xf numFmtId="0" fontId="19" fillId="6" borderId="1" xfId="0" applyFont="1" applyFill="1" applyBorder="1"/>
    <xf numFmtId="0" fontId="19" fillId="0" borderId="0" xfId="0" applyFont="1" applyAlignment="1">
      <alignment vertical="top" wrapText="1"/>
    </xf>
    <xf numFmtId="0" fontId="19" fillId="0" borderId="0" xfId="0" applyFont="1" applyAlignment="1">
      <alignment vertical="center" wrapText="1"/>
    </xf>
    <xf numFmtId="0" fontId="19" fillId="0" borderId="0" xfId="0" applyFont="1" applyAlignment="1">
      <alignment wrapText="1"/>
    </xf>
    <xf numFmtId="0" fontId="42" fillId="0" borderId="0" xfId="0" applyFont="1" applyAlignment="1">
      <alignment horizontal="left" vertical="center"/>
    </xf>
    <xf numFmtId="43" fontId="0" fillId="0" borderId="79" xfId="1" applyFont="1" applyFill="1" applyBorder="1"/>
    <xf numFmtId="43" fontId="0" fillId="0" borderId="83" xfId="0" applyNumberFormat="1" applyBorder="1"/>
    <xf numFmtId="43" fontId="19" fillId="0" borderId="79" xfId="0" applyNumberFormat="1" applyFont="1" applyBorder="1"/>
    <xf numFmtId="0" fontId="45" fillId="0" borderId="0" xfId="0" applyFont="1"/>
    <xf numFmtId="0" fontId="16" fillId="0" borderId="0" xfId="0" applyFont="1"/>
    <xf numFmtId="0" fontId="45" fillId="0" borderId="29" xfId="0" applyFont="1" applyBorder="1"/>
    <xf numFmtId="0" fontId="46" fillId="0" borderId="0" xfId="0" applyFont="1"/>
    <xf numFmtId="0" fontId="47" fillId="0" borderId="0" xfId="0" applyFont="1"/>
    <xf numFmtId="0" fontId="48" fillId="0" borderId="0" xfId="0" applyFont="1"/>
    <xf numFmtId="4" fontId="48" fillId="0" borderId="0" xfId="0" applyNumberFormat="1" applyFont="1"/>
    <xf numFmtId="3" fontId="48" fillId="0" borderId="0" xfId="0" applyNumberFormat="1" applyFont="1"/>
    <xf numFmtId="43" fontId="48" fillId="0" borderId="0" xfId="0" applyNumberFormat="1" applyFont="1"/>
    <xf numFmtId="0" fontId="16" fillId="17" borderId="29" xfId="0" applyFont="1" applyFill="1" applyBorder="1"/>
    <xf numFmtId="0" fontId="16" fillId="6" borderId="29" xfId="0" applyFont="1" applyFill="1" applyBorder="1"/>
    <xf numFmtId="0" fontId="50" fillId="0" borderId="0" xfId="0" applyFont="1"/>
    <xf numFmtId="9" fontId="48" fillId="0" borderId="0" xfId="0" applyNumberFormat="1" applyFont="1"/>
    <xf numFmtId="8" fontId="49" fillId="0" borderId="0" xfId="0" applyNumberFormat="1" applyFont="1"/>
    <xf numFmtId="0" fontId="31" fillId="0" borderId="0" xfId="0" applyFont="1"/>
    <xf numFmtId="0" fontId="61" fillId="0" borderId="0" xfId="0" applyFont="1"/>
    <xf numFmtId="0" fontId="62" fillId="0" borderId="0" xfId="2" applyFont="1"/>
    <xf numFmtId="0" fontId="62" fillId="0" borderId="0" xfId="2" applyFont="1" applyAlignment="1">
      <alignment horizontal="center"/>
    </xf>
    <xf numFmtId="0" fontId="56" fillId="0" borderId="72" xfId="2" applyFont="1" applyBorder="1" applyAlignment="1">
      <alignment horizontal="center" vertical="center"/>
    </xf>
    <xf numFmtId="0" fontId="56" fillId="0" borderId="0" xfId="2" applyFont="1" applyAlignment="1">
      <alignment horizontal="center" vertical="center"/>
    </xf>
    <xf numFmtId="0" fontId="56" fillId="0" borderId="21" xfId="2" applyFont="1" applyBorder="1" applyAlignment="1">
      <alignment horizontal="center" vertical="center"/>
    </xf>
    <xf numFmtId="0" fontId="56" fillId="0" borderId="72" xfId="2" applyFont="1" applyBorder="1" applyAlignment="1">
      <alignment horizontal="left" vertical="center"/>
    </xf>
    <xf numFmtId="0" fontId="54" fillId="0" borderId="0" xfId="2" applyFont="1" applyAlignment="1">
      <alignment vertical="center"/>
    </xf>
    <xf numFmtId="0" fontId="54" fillId="0" borderId="72" xfId="2" applyFont="1" applyBorder="1"/>
    <xf numFmtId="0" fontId="54" fillId="0" borderId="0" xfId="2" applyFont="1"/>
    <xf numFmtId="9" fontId="54" fillId="0" borderId="75" xfId="5" applyFont="1" applyFill="1" applyBorder="1"/>
    <xf numFmtId="9" fontId="54" fillId="0" borderId="1" xfId="5" applyFont="1" applyFill="1" applyBorder="1" applyAlignment="1">
      <alignment horizontal="center"/>
    </xf>
    <xf numFmtId="9" fontId="54" fillId="0" borderId="59" xfId="5" applyFont="1" applyFill="1" applyBorder="1"/>
    <xf numFmtId="0" fontId="54" fillId="0" borderId="73" xfId="2" applyFont="1" applyBorder="1" applyAlignment="1">
      <alignment horizontal="left" vertical="center"/>
    </xf>
    <xf numFmtId="0" fontId="54" fillId="0" borderId="74" xfId="2" applyFont="1" applyBorder="1" applyAlignment="1">
      <alignment horizontal="center" vertical="center"/>
    </xf>
    <xf numFmtId="10" fontId="54" fillId="0" borderId="75" xfId="5" applyNumberFormat="1" applyFont="1" applyFill="1" applyBorder="1" applyAlignment="1">
      <alignment horizontal="right"/>
    </xf>
    <xf numFmtId="10" fontId="54" fillId="0" borderId="1" xfId="5" applyNumberFormat="1" applyFont="1" applyFill="1" applyBorder="1" applyAlignment="1">
      <alignment horizontal="right"/>
    </xf>
    <xf numFmtId="10" fontId="54" fillId="0" borderId="59" xfId="5" applyNumberFormat="1" applyFont="1" applyFill="1" applyBorder="1" applyAlignment="1">
      <alignment horizontal="right"/>
    </xf>
    <xf numFmtId="0" fontId="54" fillId="0" borderId="75" xfId="2" applyFont="1" applyBorder="1" applyAlignment="1">
      <alignment horizontal="left" vertical="center"/>
    </xf>
    <xf numFmtId="0" fontId="54" fillId="0" borderId="1" xfId="2" applyFont="1" applyBorder="1" applyAlignment="1">
      <alignment horizontal="center" vertical="center"/>
    </xf>
    <xf numFmtId="10" fontId="54" fillId="0" borderId="1" xfId="5" applyNumberFormat="1" applyFont="1" applyFill="1" applyBorder="1" applyAlignment="1">
      <alignment horizontal="center"/>
    </xf>
    <xf numFmtId="10" fontId="54" fillId="0" borderId="59" xfId="5" applyNumberFormat="1" applyFont="1" applyFill="1" applyBorder="1"/>
    <xf numFmtId="0" fontId="54" fillId="0" borderId="75" xfId="2" applyFont="1" applyBorder="1" applyAlignment="1">
      <alignment horizontal="right"/>
    </xf>
    <xf numFmtId="0" fontId="54" fillId="0" borderId="1" xfId="2" applyFont="1" applyBorder="1" applyAlignment="1">
      <alignment horizontal="center"/>
    </xf>
    <xf numFmtId="0" fontId="54" fillId="0" borderId="59" xfId="2" applyFont="1" applyBorder="1"/>
    <xf numFmtId="0" fontId="54" fillId="0" borderId="76" xfId="2" applyFont="1" applyBorder="1" applyAlignment="1">
      <alignment horizontal="left" vertical="center"/>
    </xf>
    <xf numFmtId="0" fontId="54" fillId="0" borderId="75" xfId="2" applyFont="1" applyBorder="1"/>
    <xf numFmtId="0" fontId="54" fillId="0" borderId="69" xfId="2" applyFont="1" applyBorder="1" applyAlignment="1">
      <alignment vertical="center"/>
    </xf>
    <xf numFmtId="0" fontId="54" fillId="0" borderId="70" xfId="2" applyFont="1" applyBorder="1" applyAlignment="1">
      <alignment vertical="center"/>
    </xf>
    <xf numFmtId="10" fontId="54" fillId="0" borderId="71" xfId="2" applyNumberFormat="1" applyFont="1" applyBorder="1" applyAlignment="1">
      <alignment vertical="center"/>
    </xf>
    <xf numFmtId="0" fontId="54" fillId="0" borderId="78" xfId="2" applyFont="1" applyBorder="1" applyAlignment="1">
      <alignment horizontal="left" vertical="center"/>
    </xf>
    <xf numFmtId="0" fontId="54" fillId="0" borderId="79" xfId="2" applyFont="1" applyBorder="1" applyAlignment="1">
      <alignment horizontal="left" vertical="center"/>
    </xf>
    <xf numFmtId="0" fontId="54" fillId="0" borderId="33" xfId="2" applyFont="1" applyBorder="1" applyAlignment="1">
      <alignment vertical="center"/>
    </xf>
    <xf numFmtId="0" fontId="56" fillId="0" borderId="80" xfId="2" applyFont="1" applyBorder="1" applyAlignment="1">
      <alignment vertical="center" wrapText="1"/>
    </xf>
    <xf numFmtId="0" fontId="54" fillId="0" borderId="81" xfId="2" applyFont="1" applyBorder="1" applyAlignment="1">
      <alignment vertical="center"/>
    </xf>
    <xf numFmtId="10" fontId="56" fillId="0" borderId="22" xfId="2" applyNumberFormat="1" applyFont="1" applyBorder="1" applyAlignment="1">
      <alignment horizontal="center" vertical="center" wrapText="1"/>
    </xf>
    <xf numFmtId="10" fontId="54" fillId="0" borderId="76" xfId="5" applyNumberFormat="1" applyFont="1" applyFill="1" applyBorder="1" applyAlignment="1">
      <alignment horizontal="right"/>
    </xf>
    <xf numFmtId="10" fontId="54" fillId="0" borderId="77" xfId="5" applyNumberFormat="1" applyFont="1" applyFill="1" applyBorder="1" applyAlignment="1">
      <alignment horizontal="right"/>
    </xf>
    <xf numFmtId="10" fontId="54" fillId="0" borderId="52" xfId="5" applyNumberFormat="1" applyFont="1" applyFill="1" applyBorder="1" applyAlignment="1">
      <alignment horizontal="right"/>
    </xf>
    <xf numFmtId="0" fontId="54" fillId="0" borderId="0" xfId="2" applyFont="1" applyAlignment="1">
      <alignment horizontal="center"/>
    </xf>
    <xf numFmtId="0" fontId="63" fillId="0" borderId="0" xfId="2" applyFont="1"/>
    <xf numFmtId="0" fontId="31" fillId="0" borderId="72" xfId="0" applyFont="1" applyBorder="1"/>
    <xf numFmtId="0" fontId="31" fillId="0" borderId="21" xfId="0" applyFont="1" applyBorder="1"/>
    <xf numFmtId="0" fontId="66" fillId="0" borderId="72" xfId="0" applyFont="1" applyBorder="1"/>
    <xf numFmtId="0" fontId="66" fillId="0" borderId="0" xfId="0" applyFont="1"/>
    <xf numFmtId="10" fontId="66" fillId="0" borderId="21" xfId="4" applyNumberFormat="1" applyFont="1" applyBorder="1"/>
    <xf numFmtId="0" fontId="67" fillId="0" borderId="0" xfId="0" applyFont="1" applyAlignment="1">
      <alignment horizontal="right"/>
    </xf>
    <xf numFmtId="10" fontId="67" fillId="0" borderId="21" xfId="0" applyNumberFormat="1" applyFont="1" applyBorder="1"/>
    <xf numFmtId="168" fontId="31" fillId="0" borderId="21" xfId="4" applyNumberFormat="1" applyFont="1" applyBorder="1"/>
    <xf numFmtId="0" fontId="66" fillId="0" borderId="0" xfId="0" applyFont="1" applyAlignment="1">
      <alignment wrapText="1"/>
    </xf>
    <xf numFmtId="0" fontId="31" fillId="0" borderId="78" xfId="0" applyFont="1" applyBorder="1"/>
    <xf numFmtId="0" fontId="65" fillId="0" borderId="79" xfId="0" applyFont="1" applyBorder="1" applyAlignment="1">
      <alignment horizontal="right"/>
    </xf>
    <xf numFmtId="10" fontId="65" fillId="0" borderId="33" xfId="0" applyNumberFormat="1" applyFont="1" applyBorder="1"/>
    <xf numFmtId="168" fontId="31" fillId="0" borderId="0" xfId="4" applyNumberFormat="1" applyFont="1"/>
    <xf numFmtId="2" fontId="68" fillId="0" borderId="0" xfId="7" applyNumberFormat="1" applyFont="1"/>
    <xf numFmtId="2" fontId="68" fillId="0" borderId="0" xfId="7" applyNumberFormat="1" applyFont="1" applyAlignment="1">
      <alignment horizontal="centerContinuous"/>
    </xf>
    <xf numFmtId="2" fontId="69" fillId="0" borderId="0" xfId="7" applyNumberFormat="1" applyFont="1" applyAlignment="1">
      <alignment horizontal="centerContinuous"/>
    </xf>
    <xf numFmtId="0" fontId="62" fillId="0" borderId="0" xfId="8" applyFont="1" applyAlignment="1">
      <alignment horizontal="centerContinuous"/>
    </xf>
    <xf numFmtId="2" fontId="70" fillId="0" borderId="0" xfId="7" applyNumberFormat="1" applyFont="1" applyAlignment="1">
      <alignment horizontal="centerContinuous"/>
    </xf>
    <xf numFmtId="2" fontId="68" fillId="0" borderId="0" xfId="7" applyNumberFormat="1" applyFont="1" applyAlignment="1">
      <alignment horizontal="center"/>
    </xf>
    <xf numFmtId="2" fontId="59" fillId="0" borderId="0" xfId="7" applyNumberFormat="1" applyFont="1" applyAlignment="1">
      <alignment horizontal="centerContinuous"/>
    </xf>
    <xf numFmtId="4" fontId="59" fillId="20" borderId="0" xfId="7" applyNumberFormat="1" applyFont="1" applyFill="1"/>
    <xf numFmtId="2" fontId="68" fillId="20" borderId="0" xfId="7" applyNumberFormat="1" applyFont="1" applyFill="1" applyAlignment="1">
      <alignment horizontal="centerContinuous"/>
    </xf>
    <xf numFmtId="2" fontId="59" fillId="20" borderId="0" xfId="7" applyNumberFormat="1" applyFont="1" applyFill="1"/>
    <xf numFmtId="10" fontId="54" fillId="13" borderId="41" xfId="2" applyNumberFormat="1" applyFont="1" applyFill="1" applyBorder="1" applyAlignment="1">
      <alignment horizontal="center" vertical="center"/>
    </xf>
    <xf numFmtId="10" fontId="54" fillId="13" borderId="59" xfId="2" applyNumberFormat="1" applyFont="1" applyFill="1" applyBorder="1" applyAlignment="1">
      <alignment horizontal="center" vertical="center"/>
    </xf>
    <xf numFmtId="10" fontId="54" fillId="13" borderId="52" xfId="2" applyNumberFormat="1" applyFont="1" applyFill="1" applyBorder="1" applyAlignment="1">
      <alignment horizontal="center" vertical="center"/>
    </xf>
    <xf numFmtId="10" fontId="66" fillId="13" borderId="21" xfId="4" applyNumberFormat="1" applyFont="1" applyFill="1" applyBorder="1"/>
    <xf numFmtId="0" fontId="31" fillId="0" borderId="0" xfId="0" applyFont="1" applyProtection="1">
      <protection hidden="1"/>
    </xf>
    <xf numFmtId="0" fontId="54" fillId="0" borderId="0" xfId="0" applyFont="1" applyProtection="1">
      <protection hidden="1"/>
    </xf>
    <xf numFmtId="0" fontId="55" fillId="0" borderId="0" xfId="0" applyFont="1" applyProtection="1">
      <protection hidden="1"/>
    </xf>
    <xf numFmtId="0" fontId="56" fillId="0" borderId="0" xfId="0" applyFont="1" applyProtection="1">
      <protection hidden="1"/>
    </xf>
    <xf numFmtId="0" fontId="54" fillId="0" borderId="0" xfId="0" applyFont="1" applyAlignment="1" applyProtection="1">
      <alignment horizontal="right"/>
      <protection hidden="1"/>
    </xf>
    <xf numFmtId="2" fontId="54" fillId="0" borderId="0" xfId="0" applyNumberFormat="1" applyFont="1" applyProtection="1">
      <protection hidden="1"/>
    </xf>
    <xf numFmtId="0" fontId="54" fillId="0" borderId="27" xfId="0" applyFont="1" applyBorder="1" applyProtection="1">
      <protection hidden="1"/>
    </xf>
    <xf numFmtId="0" fontId="54" fillId="0" borderId="13" xfId="0" applyFont="1" applyBorder="1" applyProtection="1">
      <protection hidden="1"/>
    </xf>
    <xf numFmtId="3" fontId="54" fillId="0" borderId="28" xfId="0" applyNumberFormat="1" applyFont="1" applyBorder="1" applyProtection="1">
      <protection hidden="1"/>
    </xf>
    <xf numFmtId="0" fontId="54" fillId="0" borderId="29" xfId="0" applyFont="1" applyBorder="1" applyProtection="1">
      <protection hidden="1"/>
    </xf>
    <xf numFmtId="3" fontId="54" fillId="0" borderId="30" xfId="0" applyNumberFormat="1" applyFont="1" applyBorder="1" applyProtection="1">
      <protection hidden="1"/>
    </xf>
    <xf numFmtId="0" fontId="54" fillId="0" borderId="31" xfId="0" applyFont="1" applyBorder="1" applyProtection="1">
      <protection hidden="1"/>
    </xf>
    <xf numFmtId="0" fontId="54" fillId="0" borderId="19" xfId="0" applyFont="1" applyBorder="1" applyProtection="1">
      <protection hidden="1"/>
    </xf>
    <xf numFmtId="0" fontId="57" fillId="0" borderId="0" xfId="0" applyFont="1" applyProtection="1">
      <protection hidden="1"/>
    </xf>
    <xf numFmtId="4" fontId="54" fillId="0" borderId="0" xfId="0" applyNumberFormat="1" applyFont="1" applyProtection="1">
      <protection hidden="1"/>
    </xf>
    <xf numFmtId="0" fontId="54" fillId="0" borderId="23" xfId="0" applyFont="1" applyBorder="1" applyProtection="1">
      <protection hidden="1"/>
    </xf>
    <xf numFmtId="0" fontId="54" fillId="0" borderId="24" xfId="0" applyFont="1" applyBorder="1" applyProtection="1">
      <protection hidden="1"/>
    </xf>
    <xf numFmtId="43" fontId="56" fillId="0" borderId="22" xfId="1" applyFont="1" applyFill="1" applyBorder="1" applyProtection="1">
      <protection hidden="1"/>
    </xf>
    <xf numFmtId="43" fontId="31" fillId="0" borderId="0" xfId="0" applyNumberFormat="1" applyFont="1" applyProtection="1">
      <protection hidden="1"/>
    </xf>
    <xf numFmtId="10" fontId="57" fillId="0" borderId="0" xfId="0" applyNumberFormat="1" applyFont="1" applyProtection="1">
      <protection hidden="1"/>
    </xf>
    <xf numFmtId="43" fontId="54" fillId="0" borderId="43" xfId="1" applyFont="1" applyFill="1" applyBorder="1" applyProtection="1">
      <protection hidden="1"/>
    </xf>
    <xf numFmtId="0" fontId="56" fillId="0" borderId="23" xfId="0" applyFont="1" applyBorder="1" applyProtection="1">
      <protection hidden="1"/>
    </xf>
    <xf numFmtId="0" fontId="56" fillId="0" borderId="24" xfId="0" applyFont="1" applyBorder="1" applyProtection="1">
      <protection hidden="1"/>
    </xf>
    <xf numFmtId="0" fontId="56" fillId="0" borderId="26" xfId="0" applyFont="1" applyBorder="1" applyProtection="1">
      <protection hidden="1"/>
    </xf>
    <xf numFmtId="0" fontId="56" fillId="0" borderId="41" xfId="0" applyFont="1" applyBorder="1" applyProtection="1">
      <protection hidden="1"/>
    </xf>
    <xf numFmtId="0" fontId="54" fillId="0" borderId="45" xfId="0" applyFont="1" applyBorder="1" applyProtection="1">
      <protection hidden="1"/>
    </xf>
    <xf numFmtId="43" fontId="54" fillId="0" borderId="36" xfId="1" applyFont="1" applyFill="1" applyBorder="1" applyProtection="1">
      <protection hidden="1"/>
    </xf>
    <xf numFmtId="0" fontId="54" fillId="0" borderId="46" xfId="0" applyFont="1" applyBorder="1" applyProtection="1">
      <protection hidden="1"/>
    </xf>
    <xf numFmtId="0" fontId="54" fillId="0" borderId="30" xfId="0" applyFont="1" applyBorder="1" applyProtection="1">
      <protection hidden="1"/>
    </xf>
    <xf numFmtId="0" fontId="54" fillId="0" borderId="46" xfId="0" applyFont="1" applyBorder="1" applyAlignment="1" applyProtection="1">
      <alignment horizontal="left"/>
      <protection hidden="1"/>
    </xf>
    <xf numFmtId="0" fontId="54" fillId="0" borderId="19" xfId="0" applyFont="1" applyBorder="1" applyAlignment="1" applyProtection="1">
      <alignment horizontal="left" vertical="center"/>
      <protection hidden="1"/>
    </xf>
    <xf numFmtId="0" fontId="54" fillId="0" borderId="50" xfId="0" applyFont="1" applyBorder="1" applyAlignment="1" applyProtection="1">
      <alignment horizontal="center" vertical="center"/>
      <protection hidden="1"/>
    </xf>
    <xf numFmtId="43" fontId="54" fillId="0" borderId="44" xfId="1" applyFont="1" applyFill="1" applyBorder="1" applyAlignment="1" applyProtection="1">
      <alignment horizontal="right" vertical="center"/>
      <protection hidden="1"/>
    </xf>
    <xf numFmtId="0" fontId="58" fillId="0" borderId="0" xfId="0" applyFont="1" applyProtection="1">
      <protection hidden="1"/>
    </xf>
    <xf numFmtId="0" fontId="59" fillId="0" borderId="51" xfId="0" applyFont="1" applyBorder="1" applyProtection="1">
      <protection hidden="1"/>
    </xf>
    <xf numFmtId="43" fontId="54" fillId="0" borderId="91" xfId="1" applyFont="1" applyFill="1" applyBorder="1" applyAlignment="1" applyProtection="1">
      <alignment horizontal="center" vertical="center"/>
      <protection hidden="1"/>
    </xf>
    <xf numFmtId="0" fontId="54" fillId="0" borderId="24" xfId="0" applyFont="1" applyBorder="1" applyAlignment="1" applyProtection="1">
      <alignment horizontal="center" vertical="center"/>
      <protection hidden="1"/>
    </xf>
    <xf numFmtId="0" fontId="54" fillId="0" borderId="51" xfId="0" applyFont="1" applyBorder="1" applyAlignment="1" applyProtection="1">
      <alignment horizontal="center" vertical="center"/>
      <protection hidden="1"/>
    </xf>
    <xf numFmtId="43" fontId="54" fillId="0" borderId="52" xfId="1" applyFont="1" applyFill="1" applyBorder="1" applyAlignment="1" applyProtection="1">
      <alignment horizontal="right" vertical="center"/>
      <protection hidden="1"/>
    </xf>
    <xf numFmtId="0" fontId="54" fillId="0" borderId="47" xfId="0" applyFont="1" applyBorder="1" applyProtection="1">
      <protection hidden="1"/>
    </xf>
    <xf numFmtId="0" fontId="54" fillId="0" borderId="32" xfId="0" applyFont="1" applyBorder="1" applyProtection="1">
      <protection hidden="1"/>
    </xf>
    <xf numFmtId="43" fontId="54" fillId="0" borderId="44" xfId="1" applyFont="1" applyFill="1" applyBorder="1" applyProtection="1">
      <protection hidden="1"/>
    </xf>
    <xf numFmtId="43" fontId="54" fillId="0" borderId="45" xfId="1" applyFont="1" applyFill="1" applyBorder="1" applyAlignment="1" applyProtection="1">
      <alignment horizontal="center"/>
      <protection hidden="1"/>
    </xf>
    <xf numFmtId="43" fontId="54" fillId="0" borderId="47" xfId="1" applyFont="1" applyFill="1" applyBorder="1" applyAlignment="1" applyProtection="1">
      <alignment horizontal="center"/>
      <protection hidden="1"/>
    </xf>
    <xf numFmtId="0" fontId="54" fillId="0" borderId="50" xfId="0" applyFont="1" applyBorder="1" applyProtection="1">
      <protection hidden="1"/>
    </xf>
    <xf numFmtId="0" fontId="60" fillId="0" borderId="56" xfId="0" applyFont="1" applyBorder="1" applyAlignment="1" applyProtection="1">
      <alignment horizontal="left" vertical="center"/>
      <protection hidden="1"/>
    </xf>
    <xf numFmtId="0" fontId="60" fillId="0" borderId="55" xfId="0" applyFont="1" applyBorder="1" applyAlignment="1" applyProtection="1">
      <alignment horizontal="center" vertical="center"/>
      <protection hidden="1"/>
    </xf>
    <xf numFmtId="166" fontId="60" fillId="0" borderId="54" xfId="3" applyFont="1" applyFill="1" applyBorder="1" applyAlignment="1" applyProtection="1">
      <alignment horizontal="center" vertical="center"/>
      <protection hidden="1"/>
    </xf>
    <xf numFmtId="166" fontId="60" fillId="0" borderId="4" xfId="3" applyFont="1" applyFill="1" applyBorder="1" applyAlignment="1" applyProtection="1">
      <alignment horizontal="center" vertical="center"/>
      <protection hidden="1"/>
    </xf>
    <xf numFmtId="0" fontId="58" fillId="0" borderId="27" xfId="0" applyFont="1" applyBorder="1" applyAlignment="1" applyProtection="1">
      <alignment vertical="center"/>
      <protection locked="0" hidden="1"/>
    </xf>
    <xf numFmtId="0" fontId="58" fillId="0" borderId="13" xfId="0" applyFont="1" applyBorder="1" applyAlignment="1" applyProtection="1">
      <alignment horizontal="center" vertical="center"/>
      <protection hidden="1"/>
    </xf>
    <xf numFmtId="0" fontId="58" fillId="0" borderId="38" xfId="0" applyFont="1" applyBorder="1" applyAlignment="1" applyProtection="1">
      <alignment horizontal="center" vertical="center"/>
      <protection hidden="1"/>
    </xf>
    <xf numFmtId="0" fontId="58" fillId="0" borderId="6" xfId="0" applyFont="1" applyBorder="1" applyAlignment="1" applyProtection="1">
      <alignment horizontal="center" vertical="center"/>
      <protection hidden="1"/>
    </xf>
    <xf numFmtId="166" fontId="58" fillId="0" borderId="7" xfId="3" applyFont="1" applyFill="1" applyBorder="1" applyAlignment="1" applyProtection="1">
      <alignment horizontal="center" vertical="center"/>
      <protection hidden="1"/>
    </xf>
    <xf numFmtId="0" fontId="58" fillId="0" borderId="29" xfId="0" applyFont="1" applyBorder="1" applyAlignment="1" applyProtection="1">
      <alignment vertical="center"/>
      <protection hidden="1"/>
    </xf>
    <xf numFmtId="0" fontId="58" fillId="0" borderId="0" xfId="2" applyFont="1" applyAlignment="1" applyProtection="1">
      <alignment vertical="center"/>
      <protection hidden="1"/>
    </xf>
    <xf numFmtId="0" fontId="58" fillId="0" borderId="5" xfId="0" applyFont="1" applyBorder="1" applyAlignment="1" applyProtection="1">
      <alignment horizontal="center" vertical="center"/>
      <protection hidden="1"/>
    </xf>
    <xf numFmtId="166" fontId="58" fillId="0" borderId="5" xfId="3" applyFont="1" applyFill="1" applyBorder="1" applyAlignment="1" applyProtection="1">
      <alignment horizontal="center" vertical="center"/>
      <protection hidden="1"/>
    </xf>
    <xf numFmtId="166" fontId="58" fillId="0" borderId="8" xfId="3" applyFont="1" applyFill="1" applyBorder="1" applyAlignment="1" applyProtection="1">
      <alignment horizontal="center" vertical="center"/>
      <protection hidden="1"/>
    </xf>
    <xf numFmtId="2" fontId="58" fillId="0" borderId="5" xfId="0" applyNumberFormat="1" applyFont="1" applyBorder="1" applyAlignment="1" applyProtection="1">
      <alignment horizontal="center" vertical="center"/>
      <protection hidden="1"/>
    </xf>
    <xf numFmtId="0" fontId="58" fillId="0" borderId="5" xfId="0" applyFont="1" applyBorder="1" applyAlignment="1" applyProtection="1">
      <alignment vertical="center"/>
      <protection hidden="1"/>
    </xf>
    <xf numFmtId="0" fontId="58" fillId="0" borderId="8" xfId="0" applyFont="1" applyBorder="1" applyAlignment="1" applyProtection="1">
      <alignment vertical="center"/>
      <protection hidden="1"/>
    </xf>
    <xf numFmtId="167" fontId="58" fillId="0" borderId="5" xfId="3" applyNumberFormat="1" applyFont="1" applyFill="1" applyBorder="1" applyAlignment="1" applyProtection="1">
      <alignment horizontal="center" vertical="center"/>
      <protection hidden="1"/>
    </xf>
    <xf numFmtId="1" fontId="58" fillId="0" borderId="5" xfId="0" applyNumberFormat="1" applyFont="1" applyBorder="1" applyAlignment="1" applyProtection="1">
      <alignment horizontal="center" vertical="center"/>
      <protection locked="0" hidden="1"/>
    </xf>
    <xf numFmtId="0" fontId="60" fillId="0" borderId="29" xfId="0" applyFont="1" applyBorder="1" applyAlignment="1" applyProtection="1">
      <alignment vertical="center"/>
      <protection hidden="1"/>
    </xf>
    <xf numFmtId="0" fontId="60" fillId="0" borderId="5" xfId="0" applyFont="1" applyBorder="1" applyAlignment="1" applyProtection="1">
      <alignment horizontal="center" vertical="center"/>
      <protection hidden="1"/>
    </xf>
    <xf numFmtId="166" fontId="60" fillId="0" borderId="5" xfId="3" applyFont="1" applyFill="1" applyBorder="1" applyAlignment="1" applyProtection="1">
      <alignment horizontal="center" vertical="center"/>
      <protection hidden="1"/>
    </xf>
    <xf numFmtId="166" fontId="60" fillId="0" borderId="8" xfId="3" applyFont="1" applyFill="1" applyBorder="1" applyAlignment="1" applyProtection="1">
      <alignment horizontal="center" vertical="center"/>
      <protection hidden="1"/>
    </xf>
    <xf numFmtId="0" fontId="58" fillId="0" borderId="57" xfId="0" applyFont="1" applyBorder="1" applyAlignment="1" applyProtection="1">
      <alignment vertical="center"/>
      <protection hidden="1"/>
    </xf>
    <xf numFmtId="0" fontId="58" fillId="0" borderId="58" xfId="0" applyFont="1" applyBorder="1" applyAlignment="1" applyProtection="1">
      <alignment horizontal="center" vertical="center"/>
      <protection hidden="1"/>
    </xf>
    <xf numFmtId="0" fontId="58" fillId="0" borderId="53" xfId="0" applyFont="1" applyBorder="1" applyAlignment="1" applyProtection="1">
      <alignment horizontal="center" vertical="center"/>
      <protection hidden="1"/>
    </xf>
    <xf numFmtId="0" fontId="58" fillId="0" borderId="9" xfId="0" applyFont="1" applyBorder="1" applyAlignment="1" applyProtection="1">
      <alignment horizontal="center" vertical="center"/>
      <protection hidden="1"/>
    </xf>
    <xf numFmtId="166" fontId="58" fillId="0" borderId="9" xfId="3" applyFont="1" applyFill="1" applyBorder="1" applyAlignment="1" applyProtection="1">
      <alignment horizontal="center" vertical="center"/>
      <protection hidden="1"/>
    </xf>
    <xf numFmtId="166" fontId="58" fillId="0" borderId="10" xfId="3" applyFont="1" applyFill="1" applyBorder="1" applyAlignment="1" applyProtection="1">
      <alignment horizontal="center" vertical="center"/>
      <protection hidden="1"/>
    </xf>
    <xf numFmtId="0" fontId="60" fillId="0" borderId="67" xfId="0" applyFont="1" applyBorder="1" applyAlignment="1" applyProtection="1">
      <alignment vertical="center"/>
      <protection hidden="1"/>
    </xf>
    <xf numFmtId="0" fontId="60" fillId="0" borderId="11" xfId="0" applyFont="1" applyBorder="1" applyAlignment="1" applyProtection="1">
      <alignment horizontal="center" vertical="center"/>
      <protection hidden="1"/>
    </xf>
    <xf numFmtId="166" fontId="60" fillId="0" borderId="11" xfId="3" applyFont="1" applyFill="1" applyBorder="1" applyAlignment="1" applyProtection="1">
      <alignment horizontal="center" vertical="center"/>
      <protection hidden="1"/>
    </xf>
    <xf numFmtId="166" fontId="60" fillId="0" borderId="12" xfId="3" applyFont="1" applyFill="1" applyBorder="1" applyAlignment="1" applyProtection="1">
      <alignment horizontal="center" vertical="center"/>
      <protection hidden="1"/>
    </xf>
    <xf numFmtId="0" fontId="60" fillId="0" borderId="27" xfId="0" applyFont="1" applyBorder="1" applyProtection="1">
      <protection hidden="1"/>
    </xf>
    <xf numFmtId="0" fontId="58" fillId="0" borderId="13" xfId="0" applyFont="1" applyBorder="1" applyProtection="1">
      <protection hidden="1"/>
    </xf>
    <xf numFmtId="0" fontId="58" fillId="0" borderId="14" xfId="0" applyFont="1" applyBorder="1" applyProtection="1">
      <protection hidden="1"/>
    </xf>
    <xf numFmtId="0" fontId="60" fillId="0" borderId="23" xfId="0" applyFont="1" applyBorder="1" applyAlignment="1" applyProtection="1">
      <alignment vertical="center"/>
      <protection hidden="1"/>
    </xf>
    <xf numFmtId="0" fontId="60" fillId="0" borderId="24" xfId="0" applyFont="1" applyBorder="1" applyAlignment="1" applyProtection="1">
      <alignment horizontal="center" vertical="center"/>
      <protection hidden="1"/>
    </xf>
    <xf numFmtId="0" fontId="60" fillId="0" borderId="37" xfId="0" applyFont="1" applyBorder="1" applyAlignment="1" applyProtection="1">
      <alignment horizontal="center" vertical="center"/>
      <protection hidden="1"/>
    </xf>
    <xf numFmtId="0" fontId="60" fillId="0" borderId="15" xfId="0" applyFont="1" applyBorder="1" applyAlignment="1" applyProtection="1">
      <alignment horizontal="center" vertical="center"/>
      <protection hidden="1"/>
    </xf>
    <xf numFmtId="166" fontId="58" fillId="0" borderId="15" xfId="3" applyFont="1" applyFill="1" applyBorder="1" applyAlignment="1" applyProtection="1">
      <alignment horizontal="center" vertical="center"/>
      <protection hidden="1"/>
    </xf>
    <xf numFmtId="166" fontId="60" fillId="0" borderId="16" xfId="3" applyFont="1" applyFill="1" applyBorder="1" applyAlignment="1" applyProtection="1">
      <alignment horizontal="center" vertical="center"/>
      <protection hidden="1"/>
    </xf>
    <xf numFmtId="0" fontId="58" fillId="0" borderId="31" xfId="0" applyFont="1" applyBorder="1" applyAlignment="1" applyProtection="1">
      <alignment vertical="center"/>
      <protection hidden="1"/>
    </xf>
    <xf numFmtId="0" fontId="58" fillId="0" borderId="17" xfId="0" applyFont="1" applyBorder="1" applyAlignment="1" applyProtection="1">
      <alignment horizontal="center" vertical="center"/>
      <protection hidden="1"/>
    </xf>
    <xf numFmtId="166" fontId="58" fillId="0" borderId="17" xfId="3" applyFont="1" applyFill="1" applyBorder="1" applyAlignment="1" applyProtection="1">
      <alignment horizontal="center" vertical="center"/>
      <protection hidden="1"/>
    </xf>
    <xf numFmtId="166" fontId="58" fillId="0" borderId="18" xfId="3" applyFont="1" applyFill="1" applyBorder="1" applyAlignment="1" applyProtection="1">
      <alignment horizontal="center" vertical="center"/>
      <protection hidden="1"/>
    </xf>
    <xf numFmtId="0" fontId="58" fillId="0" borderId="23" xfId="0" applyFont="1" applyBorder="1" applyAlignment="1" applyProtection="1">
      <alignment vertical="center"/>
      <protection hidden="1"/>
    </xf>
    <xf numFmtId="0" fontId="58" fillId="0" borderId="24" xfId="0" applyFont="1" applyBorder="1" applyAlignment="1" applyProtection="1">
      <alignment horizontal="center" vertical="center"/>
      <protection hidden="1"/>
    </xf>
    <xf numFmtId="0" fontId="58" fillId="0" borderId="37" xfId="0" applyFont="1" applyBorder="1" applyAlignment="1" applyProtection="1">
      <alignment horizontal="center" vertical="center"/>
      <protection hidden="1"/>
    </xf>
    <xf numFmtId="0" fontId="58" fillId="0" borderId="15" xfId="0" applyFont="1" applyBorder="1" applyAlignment="1" applyProtection="1">
      <alignment horizontal="center" vertical="center"/>
      <protection hidden="1"/>
    </xf>
    <xf numFmtId="166" fontId="58" fillId="0" borderId="16" xfId="3" applyFont="1" applyFill="1" applyBorder="1" applyAlignment="1" applyProtection="1">
      <alignment horizontal="center" vertical="center"/>
      <protection hidden="1"/>
    </xf>
    <xf numFmtId="0" fontId="61" fillId="0" borderId="0" xfId="0" applyFont="1" applyProtection="1">
      <protection hidden="1"/>
    </xf>
    <xf numFmtId="0" fontId="60" fillId="0" borderId="0" xfId="0" applyFont="1" applyProtection="1">
      <protection hidden="1"/>
    </xf>
    <xf numFmtId="0" fontId="60" fillId="6" borderId="23" xfId="0" applyFont="1" applyFill="1" applyBorder="1" applyAlignment="1" applyProtection="1">
      <alignment vertical="top"/>
      <protection hidden="1"/>
    </xf>
    <xf numFmtId="0" fontId="60" fillId="6" borderId="24" xfId="0" applyFont="1" applyFill="1" applyBorder="1" applyAlignment="1" applyProtection="1">
      <alignment vertical="top"/>
      <protection hidden="1"/>
    </xf>
    <xf numFmtId="0" fontId="60" fillId="6" borderId="37" xfId="0" applyFont="1" applyFill="1" applyBorder="1" applyAlignment="1" applyProtection="1">
      <alignment vertical="top"/>
      <protection hidden="1"/>
    </xf>
    <xf numFmtId="0" fontId="60" fillId="6" borderId="15" xfId="0" applyFont="1" applyFill="1" applyBorder="1" applyAlignment="1" applyProtection="1">
      <alignment vertical="top"/>
      <protection hidden="1"/>
    </xf>
    <xf numFmtId="0" fontId="60" fillId="6" borderId="15" xfId="0" applyFont="1" applyFill="1" applyBorder="1" applyAlignment="1" applyProtection="1">
      <alignment vertical="top" wrapText="1"/>
      <protection hidden="1"/>
    </xf>
    <xf numFmtId="0" fontId="60" fillId="6" borderId="16" xfId="0" applyFont="1" applyFill="1" applyBorder="1" applyAlignment="1" applyProtection="1">
      <alignment vertical="top" wrapText="1"/>
      <protection hidden="1"/>
    </xf>
    <xf numFmtId="0" fontId="58" fillId="0" borderId="27" xfId="0" applyFont="1" applyBorder="1" applyAlignment="1" applyProtection="1">
      <alignment vertical="center"/>
      <protection hidden="1"/>
    </xf>
    <xf numFmtId="0" fontId="58" fillId="0" borderId="13" xfId="0" applyFont="1" applyBorder="1" applyAlignment="1" applyProtection="1">
      <alignment vertical="center"/>
      <protection hidden="1"/>
    </xf>
    <xf numFmtId="0" fontId="58" fillId="0" borderId="38" xfId="0" applyFont="1" applyBorder="1" applyAlignment="1" applyProtection="1">
      <alignment vertical="center"/>
      <protection hidden="1"/>
    </xf>
    <xf numFmtId="0" fontId="58" fillId="0" borderId="6" xfId="0" applyFont="1" applyBorder="1" applyAlignment="1" applyProtection="1">
      <alignment vertical="center"/>
      <protection hidden="1"/>
    </xf>
    <xf numFmtId="43" fontId="58" fillId="0" borderId="7" xfId="1" applyFont="1" applyFill="1" applyBorder="1" applyAlignment="1" applyProtection="1">
      <alignment vertical="center"/>
      <protection hidden="1"/>
    </xf>
    <xf numFmtId="43" fontId="58" fillId="0" borderId="8" xfId="1" applyFont="1" applyFill="1" applyBorder="1" applyAlignment="1" applyProtection="1">
      <alignment vertical="center"/>
      <protection hidden="1"/>
    </xf>
    <xf numFmtId="0" fontId="58" fillId="0" borderId="0" xfId="0" applyFont="1" applyAlignment="1" applyProtection="1">
      <alignment vertical="center"/>
      <protection hidden="1"/>
    </xf>
    <xf numFmtId="0" fontId="58" fillId="0" borderId="39" xfId="0" applyFont="1" applyBorder="1" applyAlignment="1" applyProtection="1">
      <alignment vertical="center"/>
      <protection hidden="1"/>
    </xf>
    <xf numFmtId="0" fontId="58" fillId="0" borderId="19" xfId="0" applyFont="1" applyBorder="1" applyAlignment="1" applyProtection="1">
      <alignment vertical="center"/>
      <protection hidden="1"/>
    </xf>
    <xf numFmtId="0" fontId="58" fillId="0" borderId="40" xfId="0" applyFont="1" applyBorder="1" applyAlignment="1" applyProtection="1">
      <alignment vertical="center"/>
      <protection hidden="1"/>
    </xf>
    <xf numFmtId="0" fontId="58" fillId="0" borderId="17" xfId="0" applyFont="1" applyBorder="1" applyAlignment="1" applyProtection="1">
      <alignment vertical="center"/>
      <protection hidden="1"/>
    </xf>
    <xf numFmtId="43" fontId="58" fillId="0" borderId="18" xfId="1" applyFont="1" applyFill="1" applyBorder="1" applyAlignment="1" applyProtection="1">
      <alignment vertical="center"/>
      <protection hidden="1"/>
    </xf>
    <xf numFmtId="0" fontId="60" fillId="0" borderId="23" xfId="0" applyFont="1" applyBorder="1" applyProtection="1">
      <protection hidden="1"/>
    </xf>
    <xf numFmtId="0" fontId="58" fillId="0" borderId="24" xfId="0" applyFont="1" applyBorder="1" applyProtection="1">
      <protection hidden="1"/>
    </xf>
    <xf numFmtId="43" fontId="60" fillId="0" borderId="22" xfId="0" applyNumberFormat="1" applyFont="1" applyBorder="1" applyProtection="1">
      <protection hidden="1"/>
    </xf>
    <xf numFmtId="0" fontId="58" fillId="0" borderId="31" xfId="0" applyFont="1" applyBorder="1" applyProtection="1">
      <protection hidden="1"/>
    </xf>
    <xf numFmtId="0" fontId="58" fillId="0" borderId="19" xfId="0" applyFont="1" applyBorder="1" applyProtection="1">
      <protection hidden="1"/>
    </xf>
    <xf numFmtId="43" fontId="58" fillId="0" borderId="19" xfId="1" applyFont="1" applyFill="1" applyBorder="1" applyProtection="1">
      <protection hidden="1"/>
    </xf>
    <xf numFmtId="43" fontId="58" fillId="0" borderId="47" xfId="1" applyFont="1" applyFill="1" applyBorder="1" applyProtection="1">
      <protection hidden="1"/>
    </xf>
    <xf numFmtId="0" fontId="60" fillId="0" borderId="23" xfId="2" applyFont="1" applyBorder="1" applyAlignment="1" applyProtection="1">
      <alignment vertical="center"/>
      <protection hidden="1"/>
    </xf>
    <xf numFmtId="0" fontId="58" fillId="0" borderId="24" xfId="2" applyFont="1" applyBorder="1" applyAlignment="1" applyProtection="1">
      <alignment vertical="center"/>
      <protection hidden="1"/>
    </xf>
    <xf numFmtId="43" fontId="60" fillId="0" borderId="16" xfId="2" applyNumberFormat="1" applyFont="1" applyBorder="1" applyAlignment="1" applyProtection="1">
      <alignment vertical="center"/>
      <protection hidden="1"/>
    </xf>
    <xf numFmtId="0" fontId="60" fillId="0" borderId="65" xfId="2" applyFont="1" applyBorder="1" applyAlignment="1" applyProtection="1">
      <alignment vertical="center"/>
      <protection hidden="1"/>
    </xf>
    <xf numFmtId="0" fontId="58" fillId="0" borderId="62" xfId="2" applyFont="1" applyBorder="1" applyAlignment="1" applyProtection="1">
      <alignment vertical="center"/>
      <protection hidden="1"/>
    </xf>
    <xf numFmtId="43" fontId="60" fillId="0" borderId="66" xfId="2" applyNumberFormat="1" applyFont="1" applyBorder="1" applyAlignment="1" applyProtection="1">
      <alignment vertical="center"/>
      <protection hidden="1"/>
    </xf>
    <xf numFmtId="0" fontId="60" fillId="6" borderId="51" xfId="0" applyFont="1" applyFill="1" applyBorder="1" applyAlignment="1" applyProtection="1">
      <alignment vertical="top" wrapText="1"/>
      <protection hidden="1"/>
    </xf>
    <xf numFmtId="43" fontId="58" fillId="0" borderId="49" xfId="1" applyFont="1" applyFill="1" applyBorder="1" applyAlignment="1" applyProtection="1">
      <alignment vertical="center"/>
      <protection hidden="1"/>
    </xf>
    <xf numFmtId="43" fontId="56" fillId="0" borderId="22" xfId="0" applyNumberFormat="1" applyFont="1" applyBorder="1" applyProtection="1">
      <protection hidden="1"/>
    </xf>
    <xf numFmtId="0" fontId="56" fillId="6" borderId="23" xfId="0" applyFont="1" applyFill="1" applyBorder="1" applyAlignment="1" applyProtection="1">
      <alignment vertical="top"/>
      <protection hidden="1"/>
    </xf>
    <xf numFmtId="0" fontId="56" fillId="6" borderId="24" xfId="0" applyFont="1" applyFill="1" applyBorder="1" applyAlignment="1" applyProtection="1">
      <alignment vertical="top"/>
      <protection hidden="1"/>
    </xf>
    <xf numFmtId="0" fontId="56" fillId="6" borderId="37" xfId="0" applyFont="1" applyFill="1" applyBorder="1" applyAlignment="1" applyProtection="1">
      <alignment vertical="top"/>
      <protection hidden="1"/>
    </xf>
    <xf numFmtId="0" fontId="56" fillId="6" borderId="15" xfId="0" applyFont="1" applyFill="1" applyBorder="1" applyAlignment="1" applyProtection="1">
      <alignment vertical="top"/>
      <protection hidden="1"/>
    </xf>
    <xf numFmtId="0" fontId="56" fillId="6" borderId="15" xfId="0" applyFont="1" applyFill="1" applyBorder="1" applyAlignment="1" applyProtection="1">
      <alignment vertical="top" wrapText="1"/>
      <protection hidden="1"/>
    </xf>
    <xf numFmtId="0" fontId="56" fillId="6" borderId="51" xfId="0" applyFont="1" applyFill="1" applyBorder="1" applyAlignment="1" applyProtection="1">
      <alignment vertical="top" wrapText="1"/>
      <protection hidden="1"/>
    </xf>
    <xf numFmtId="0" fontId="54" fillId="0" borderId="6" xfId="0" applyFont="1" applyBorder="1" applyProtection="1">
      <protection hidden="1"/>
    </xf>
    <xf numFmtId="43" fontId="54" fillId="0" borderId="13" xfId="1" applyFont="1" applyFill="1" applyBorder="1" applyProtection="1">
      <protection hidden="1"/>
    </xf>
    <xf numFmtId="43" fontId="54" fillId="0" borderId="28" xfId="1" applyFont="1" applyFill="1" applyBorder="1" applyProtection="1">
      <protection hidden="1"/>
    </xf>
    <xf numFmtId="0" fontId="54" fillId="0" borderId="5" xfId="0" applyFont="1" applyBorder="1" applyProtection="1">
      <protection hidden="1"/>
    </xf>
    <xf numFmtId="43" fontId="54" fillId="0" borderId="0" xfId="1" applyFont="1" applyFill="1" applyBorder="1" applyProtection="1">
      <protection hidden="1"/>
    </xf>
    <xf numFmtId="43" fontId="54" fillId="0" borderId="30" xfId="1" applyFont="1" applyFill="1" applyBorder="1" applyProtection="1">
      <protection hidden="1"/>
    </xf>
    <xf numFmtId="0" fontId="54" fillId="0" borderId="17" xfId="0" applyFont="1" applyBorder="1" applyProtection="1">
      <protection hidden="1"/>
    </xf>
    <xf numFmtId="43" fontId="54" fillId="0" borderId="19" xfId="1" applyFont="1" applyFill="1" applyBorder="1" applyProtection="1">
      <protection hidden="1"/>
    </xf>
    <xf numFmtId="43" fontId="54" fillId="0" borderId="32" xfId="1" applyFont="1" applyFill="1" applyBorder="1" applyProtection="1">
      <protection hidden="1"/>
    </xf>
    <xf numFmtId="43" fontId="56" fillId="0" borderId="0" xfId="0" applyNumberFormat="1" applyFont="1" applyProtection="1">
      <protection hidden="1"/>
    </xf>
    <xf numFmtId="43" fontId="54" fillId="0" borderId="13" xfId="0" applyNumberFormat="1" applyFont="1" applyBorder="1" applyProtection="1">
      <protection hidden="1"/>
    </xf>
    <xf numFmtId="43" fontId="54" fillId="0" borderId="48" xfId="1" applyFont="1" applyFill="1" applyBorder="1" applyProtection="1">
      <protection hidden="1"/>
    </xf>
    <xf numFmtId="43" fontId="54" fillId="0" borderId="0" xfId="0" applyNumberFormat="1" applyFont="1" applyProtection="1">
      <protection hidden="1"/>
    </xf>
    <xf numFmtId="43" fontId="54" fillId="0" borderId="49" xfId="1" applyFont="1" applyFill="1" applyBorder="1" applyProtection="1">
      <protection hidden="1"/>
    </xf>
    <xf numFmtId="43" fontId="54" fillId="0" borderId="19" xfId="0" applyNumberFormat="1" applyFont="1" applyBorder="1" applyProtection="1">
      <protection hidden="1"/>
    </xf>
    <xf numFmtId="43" fontId="54" fillId="0" borderId="50" xfId="1" applyFont="1" applyFill="1" applyBorder="1" applyProtection="1">
      <protection hidden="1"/>
    </xf>
    <xf numFmtId="43" fontId="60" fillId="0" borderId="3" xfId="1" applyFont="1" applyFill="1" applyBorder="1" applyAlignment="1" applyProtection="1">
      <alignment vertical="center"/>
      <protection hidden="1"/>
    </xf>
    <xf numFmtId="0" fontId="60" fillId="0" borderId="3" xfId="0" applyFont="1" applyBorder="1" applyAlignment="1" applyProtection="1">
      <alignment vertical="center"/>
      <protection hidden="1"/>
    </xf>
    <xf numFmtId="43" fontId="60" fillId="0" borderId="4" xfId="1" applyFont="1" applyFill="1" applyBorder="1" applyAlignment="1" applyProtection="1">
      <alignment vertical="center"/>
      <protection hidden="1"/>
    </xf>
    <xf numFmtId="43" fontId="58" fillId="0" borderId="8" xfId="1" applyFont="1" applyFill="1" applyBorder="1" applyAlignment="1" applyProtection="1">
      <alignment horizontal="center" vertical="center"/>
      <protection hidden="1"/>
    </xf>
    <xf numFmtId="43" fontId="58" fillId="0" borderId="13" xfId="1" applyFont="1" applyFill="1" applyBorder="1" applyAlignment="1" applyProtection="1">
      <alignment horizontal="center" vertical="center"/>
      <protection hidden="1"/>
    </xf>
    <xf numFmtId="43" fontId="60" fillId="0" borderId="16" xfId="1" applyFont="1" applyFill="1" applyBorder="1" applyAlignment="1" applyProtection="1">
      <alignment horizontal="center" vertical="center"/>
      <protection hidden="1"/>
    </xf>
    <xf numFmtId="9" fontId="58" fillId="0" borderId="7" xfId="4" applyFont="1" applyFill="1" applyBorder="1" applyAlignment="1" applyProtection="1">
      <alignment horizontal="right" vertical="center"/>
      <protection hidden="1"/>
    </xf>
    <xf numFmtId="43" fontId="58" fillId="0" borderId="18" xfId="1" applyFont="1" applyFill="1" applyBorder="1" applyAlignment="1" applyProtection="1">
      <alignment horizontal="right" vertical="center"/>
      <protection hidden="1"/>
    </xf>
    <xf numFmtId="0" fontId="58" fillId="0" borderId="5" xfId="0" applyFont="1" applyBorder="1" applyAlignment="1" applyProtection="1">
      <alignment horizontal="left" vertical="center"/>
      <protection hidden="1"/>
    </xf>
    <xf numFmtId="0" fontId="58" fillId="0" borderId="17" xfId="0" applyFont="1" applyBorder="1" applyAlignment="1" applyProtection="1">
      <alignment horizontal="left" vertical="center"/>
      <protection hidden="1"/>
    </xf>
    <xf numFmtId="43" fontId="58" fillId="0" borderId="18" xfId="1" applyFont="1" applyFill="1" applyBorder="1" applyAlignment="1" applyProtection="1">
      <alignment horizontal="center" vertical="center"/>
      <protection hidden="1"/>
    </xf>
    <xf numFmtId="0" fontId="60" fillId="0" borderId="13" xfId="0" applyFont="1" applyBorder="1" applyAlignment="1" applyProtection="1">
      <alignment vertical="center"/>
      <protection hidden="1"/>
    </xf>
    <xf numFmtId="43" fontId="60" fillId="0" borderId="7" xfId="1" applyFont="1" applyFill="1" applyBorder="1" applyAlignment="1" applyProtection="1">
      <alignment horizontal="center" vertical="center"/>
      <protection hidden="1"/>
    </xf>
    <xf numFmtId="43" fontId="58" fillId="0" borderId="6" xfId="1" applyFont="1" applyFill="1" applyBorder="1" applyAlignment="1" applyProtection="1">
      <alignment horizontal="right" vertical="center"/>
      <protection hidden="1"/>
    </xf>
    <xf numFmtId="43" fontId="58" fillId="0" borderId="7" xfId="1" applyFont="1" applyFill="1" applyBorder="1" applyAlignment="1" applyProtection="1">
      <alignment horizontal="center" vertical="center"/>
      <protection hidden="1"/>
    </xf>
    <xf numFmtId="43" fontId="58" fillId="0" borderId="5" xfId="1" applyFont="1" applyFill="1" applyBorder="1" applyAlignment="1" applyProtection="1">
      <alignment horizontal="left" vertical="center"/>
      <protection hidden="1"/>
    </xf>
    <xf numFmtId="168" fontId="58" fillId="0" borderId="8" xfId="4" applyNumberFormat="1" applyFont="1" applyFill="1" applyBorder="1" applyAlignment="1" applyProtection="1">
      <alignment horizontal="right" vertical="center"/>
      <protection hidden="1"/>
    </xf>
    <xf numFmtId="43" fontId="58" fillId="0" borderId="5" xfId="1" applyFont="1" applyFill="1" applyBorder="1" applyAlignment="1" applyProtection="1">
      <alignment horizontal="center" vertical="center"/>
      <protection hidden="1"/>
    </xf>
    <xf numFmtId="43" fontId="58" fillId="0" borderId="17" xfId="1" applyFont="1" applyFill="1" applyBorder="1" applyAlignment="1" applyProtection="1">
      <alignment horizontal="center" vertical="center"/>
      <protection hidden="1"/>
    </xf>
    <xf numFmtId="0" fontId="60" fillId="0" borderId="6" xfId="0" applyFont="1" applyBorder="1" applyAlignment="1" applyProtection="1">
      <alignment horizontal="center" vertical="center"/>
      <protection hidden="1"/>
    </xf>
    <xf numFmtId="43" fontId="58" fillId="0" borderId="5" xfId="1" applyFont="1" applyFill="1" applyBorder="1" applyAlignment="1" applyProtection="1">
      <alignment horizontal="right" vertical="center"/>
      <protection hidden="1"/>
    </xf>
    <xf numFmtId="9" fontId="58" fillId="0" borderId="17" xfId="4" applyFont="1" applyFill="1" applyBorder="1" applyProtection="1">
      <protection hidden="1"/>
    </xf>
    <xf numFmtId="9" fontId="54" fillId="0" borderId="24" xfId="4" applyFont="1" applyFill="1" applyBorder="1" applyProtection="1">
      <protection hidden="1"/>
    </xf>
    <xf numFmtId="0" fontId="58" fillId="0" borderId="8" xfId="1" applyNumberFormat="1" applyFont="1" applyFill="1" applyBorder="1" applyAlignment="1" applyProtection="1">
      <alignment horizontal="right" vertical="center"/>
      <protection hidden="1"/>
    </xf>
    <xf numFmtId="43" fontId="58" fillId="0" borderId="8" xfId="1" applyFont="1" applyFill="1" applyBorder="1" applyAlignment="1" applyProtection="1">
      <alignment horizontal="right" vertical="center"/>
      <protection hidden="1"/>
    </xf>
    <xf numFmtId="9" fontId="58" fillId="0" borderId="8" xfId="4" applyFont="1" applyFill="1" applyBorder="1" applyAlignment="1" applyProtection="1">
      <alignment horizontal="right" vertical="center"/>
      <protection hidden="1"/>
    </xf>
    <xf numFmtId="43" fontId="58" fillId="0" borderId="18" xfId="4" applyNumberFormat="1" applyFont="1" applyFill="1" applyBorder="1" applyAlignment="1" applyProtection="1">
      <alignment horizontal="center" vertical="center"/>
      <protection hidden="1"/>
    </xf>
    <xf numFmtId="0" fontId="60" fillId="0" borderId="45" xfId="0" applyFont="1" applyBorder="1" applyAlignment="1" applyProtection="1">
      <alignment horizontal="center" vertical="center"/>
      <protection hidden="1"/>
    </xf>
    <xf numFmtId="0" fontId="60" fillId="0" borderId="13" xfId="0" applyFont="1" applyBorder="1" applyAlignment="1" applyProtection="1">
      <alignment horizontal="center" vertical="center"/>
      <protection hidden="1"/>
    </xf>
    <xf numFmtId="9" fontId="58" fillId="0" borderId="7" xfId="1" applyNumberFormat="1" applyFont="1" applyFill="1" applyBorder="1" applyAlignment="1" applyProtection="1">
      <alignment horizontal="center" vertical="center"/>
      <protection hidden="1"/>
    </xf>
    <xf numFmtId="0" fontId="60" fillId="0" borderId="23" xfId="0" applyFont="1" applyBorder="1" applyAlignment="1" applyProtection="1">
      <alignment horizontal="left" vertical="center"/>
      <protection hidden="1"/>
    </xf>
    <xf numFmtId="0" fontId="60" fillId="0" borderId="24" xfId="0" applyFont="1" applyBorder="1" applyAlignment="1" applyProtection="1">
      <alignment horizontal="left" vertical="center" wrapText="1"/>
      <protection hidden="1"/>
    </xf>
    <xf numFmtId="43" fontId="60" fillId="0" borderId="25" xfId="1" applyFont="1" applyFill="1" applyBorder="1" applyAlignment="1" applyProtection="1">
      <alignment horizontal="center" vertical="center"/>
      <protection hidden="1"/>
    </xf>
    <xf numFmtId="0" fontId="60" fillId="0" borderId="62" xfId="0" applyFont="1" applyBorder="1" applyAlignment="1" applyProtection="1">
      <alignment horizontal="center" vertical="center"/>
      <protection hidden="1"/>
    </xf>
    <xf numFmtId="43" fontId="60" fillId="0" borderId="63" xfId="1" applyFont="1" applyFill="1" applyBorder="1" applyAlignment="1" applyProtection="1">
      <alignment horizontal="center" vertical="center"/>
      <protection hidden="1"/>
    </xf>
    <xf numFmtId="43" fontId="54" fillId="0" borderId="82" xfId="1" applyFont="1" applyFill="1" applyBorder="1" applyProtection="1">
      <protection hidden="1"/>
    </xf>
    <xf numFmtId="43" fontId="54" fillId="0" borderId="20" xfId="1" applyFont="1" applyFill="1" applyBorder="1" applyProtection="1">
      <protection hidden="1"/>
    </xf>
    <xf numFmtId="43" fontId="54" fillId="0" borderId="89" xfId="1" applyFont="1" applyFill="1" applyBorder="1" applyProtection="1">
      <protection hidden="1"/>
    </xf>
    <xf numFmtId="43" fontId="56" fillId="0" borderId="93" xfId="0" applyNumberFormat="1" applyFont="1" applyBorder="1" applyProtection="1">
      <protection hidden="1"/>
    </xf>
    <xf numFmtId="43" fontId="54" fillId="0" borderId="28" xfId="0" applyNumberFormat="1" applyFont="1" applyBorder="1" applyProtection="1">
      <protection hidden="1"/>
    </xf>
    <xf numFmtId="10" fontId="54" fillId="0" borderId="32" xfId="0" applyNumberFormat="1" applyFont="1" applyBorder="1" applyProtection="1">
      <protection hidden="1"/>
    </xf>
    <xf numFmtId="0" fontId="56" fillId="0" borderId="31" xfId="0" applyFont="1" applyBorder="1" applyProtection="1">
      <protection hidden="1"/>
    </xf>
    <xf numFmtId="43" fontId="56" fillId="0" borderId="32" xfId="1" applyFont="1" applyFill="1" applyBorder="1" applyProtection="1">
      <protection hidden="1"/>
    </xf>
    <xf numFmtId="10" fontId="66" fillId="0" borderId="21" xfId="4" applyNumberFormat="1" applyFont="1" applyBorder="1" applyProtection="1">
      <protection hidden="1"/>
    </xf>
    <xf numFmtId="10" fontId="66" fillId="0" borderId="21" xfId="4" applyNumberFormat="1" applyFont="1" applyBorder="1" applyAlignment="1" applyProtection="1">
      <alignment vertical="center"/>
      <protection hidden="1"/>
    </xf>
    <xf numFmtId="175" fontId="68" fillId="24" borderId="15" xfId="7" applyNumberFormat="1" applyFont="1" applyFill="1" applyBorder="1" applyAlignment="1" applyProtection="1">
      <alignment horizontal="center"/>
      <protection hidden="1"/>
    </xf>
    <xf numFmtId="2" fontId="68" fillId="24" borderId="15" xfId="7" applyNumberFormat="1" applyFont="1" applyFill="1" applyBorder="1" applyAlignment="1" applyProtection="1">
      <alignment horizontal="center"/>
      <protection hidden="1"/>
    </xf>
    <xf numFmtId="2" fontId="68" fillId="24" borderId="42" xfId="7" applyNumberFormat="1" applyFont="1" applyFill="1" applyBorder="1" applyAlignment="1" applyProtection="1">
      <alignment horizontal="center"/>
      <protection hidden="1"/>
    </xf>
    <xf numFmtId="2" fontId="68" fillId="25" borderId="37" xfId="7" applyNumberFormat="1" applyFont="1" applyFill="1" applyBorder="1" applyProtection="1">
      <protection hidden="1"/>
    </xf>
    <xf numFmtId="2" fontId="68" fillId="26" borderId="15" xfId="7" applyNumberFormat="1" applyFont="1" applyFill="1" applyBorder="1" applyProtection="1">
      <protection locked="0" hidden="1"/>
    </xf>
    <xf numFmtId="2" fontId="68" fillId="25" borderId="15" xfId="7" applyNumberFormat="1" applyFont="1" applyFill="1" applyBorder="1" applyProtection="1">
      <protection hidden="1"/>
    </xf>
    <xf numFmtId="2" fontId="68" fillId="26" borderId="16" xfId="7" applyNumberFormat="1" applyFont="1" applyFill="1" applyBorder="1" applyProtection="1">
      <protection locked="0" hidden="1"/>
    </xf>
    <xf numFmtId="175" fontId="68" fillId="0" borderId="0" xfId="7" applyNumberFormat="1" applyFont="1" applyAlignment="1" applyProtection="1">
      <alignment horizontal="right"/>
      <protection hidden="1"/>
    </xf>
    <xf numFmtId="2" fontId="68" fillId="0" borderId="0" xfId="7" applyNumberFormat="1" applyFont="1" applyAlignment="1" applyProtection="1">
      <alignment horizontal="center"/>
      <protection hidden="1"/>
    </xf>
    <xf numFmtId="2" fontId="68" fillId="0" borderId="0" xfId="7" applyNumberFormat="1" applyFont="1" applyProtection="1">
      <protection hidden="1"/>
    </xf>
    <xf numFmtId="2" fontId="68" fillId="0" borderId="21" xfId="7" applyNumberFormat="1" applyFont="1" applyBorder="1" applyProtection="1">
      <protection hidden="1"/>
    </xf>
    <xf numFmtId="175" fontId="72" fillId="22" borderId="98" xfId="7" applyNumberFormat="1" applyFont="1" applyFill="1" applyBorder="1" applyAlignment="1" applyProtection="1">
      <alignment vertical="center"/>
      <protection hidden="1"/>
    </xf>
    <xf numFmtId="2" fontId="59" fillId="22" borderId="98" xfId="7" applyNumberFormat="1" applyFont="1" applyFill="1" applyBorder="1" applyAlignment="1" applyProtection="1">
      <alignment horizontal="center" vertical="center"/>
      <protection hidden="1"/>
    </xf>
    <xf numFmtId="2" fontId="68" fillId="22" borderId="98" xfId="7" applyNumberFormat="1" applyFont="1" applyFill="1" applyBorder="1" applyAlignment="1" applyProtection="1">
      <alignment horizontal="center"/>
      <protection hidden="1"/>
    </xf>
    <xf numFmtId="2" fontId="59" fillId="0" borderId="98" xfId="7" applyNumberFormat="1" applyFont="1" applyBorder="1" applyProtection="1">
      <protection hidden="1"/>
    </xf>
    <xf numFmtId="2" fontId="68" fillId="0" borderId="98" xfId="7" applyNumberFormat="1" applyFont="1" applyBorder="1" applyAlignment="1" applyProtection="1">
      <alignment horizontal="center" vertical="center"/>
      <protection hidden="1"/>
    </xf>
    <xf numFmtId="2" fontId="68" fillId="0" borderId="108" xfId="7" applyNumberFormat="1" applyFont="1" applyBorder="1" applyAlignment="1" applyProtection="1">
      <alignment horizontal="center" vertical="center"/>
      <protection hidden="1"/>
    </xf>
    <xf numFmtId="175" fontId="64" fillId="22" borderId="98" xfId="7" applyNumberFormat="1" applyFont="1" applyFill="1" applyBorder="1" applyProtection="1">
      <protection hidden="1"/>
    </xf>
    <xf numFmtId="2" fontId="59" fillId="22" borderId="98" xfId="7" applyNumberFormat="1" applyFont="1" applyFill="1" applyBorder="1" applyAlignment="1" applyProtection="1">
      <alignment horizontal="center"/>
      <protection hidden="1"/>
    </xf>
    <xf numFmtId="4" fontId="59" fillId="0" borderId="98" xfId="7" applyNumberFormat="1" applyFont="1" applyBorder="1" applyAlignment="1" applyProtection="1">
      <alignment horizontal="right"/>
      <protection hidden="1"/>
    </xf>
    <xf numFmtId="4" fontId="59" fillId="22" borderId="98" xfId="7" applyNumberFormat="1" applyFont="1" applyFill="1" applyBorder="1" applyAlignment="1" applyProtection="1">
      <alignment horizontal="right"/>
      <protection hidden="1"/>
    </xf>
    <xf numFmtId="4" fontId="59" fillId="0" borderId="108" xfId="7" applyNumberFormat="1" applyFont="1" applyBorder="1" applyAlignment="1" applyProtection="1">
      <alignment horizontal="right"/>
      <protection hidden="1"/>
    </xf>
    <xf numFmtId="175" fontId="64" fillId="0" borderId="105" xfId="7" applyNumberFormat="1" applyFont="1" applyBorder="1" applyProtection="1">
      <protection hidden="1"/>
    </xf>
    <xf numFmtId="2" fontId="60" fillId="0" borderId="105" xfId="7" applyNumberFormat="1" applyFont="1" applyBorder="1" applyAlignment="1" applyProtection="1">
      <alignment horizontal="center"/>
      <protection hidden="1"/>
    </xf>
    <xf numFmtId="2" fontId="59" fillId="0" borderId="105" xfId="7" applyNumberFormat="1" applyFont="1" applyBorder="1" applyProtection="1">
      <protection hidden="1"/>
    </xf>
    <xf numFmtId="4" fontId="59" fillId="0" borderId="105" xfId="7" applyNumberFormat="1" applyFont="1" applyBorder="1" applyAlignment="1" applyProtection="1">
      <alignment horizontal="centerContinuous"/>
      <protection hidden="1"/>
    </xf>
    <xf numFmtId="4" fontId="59" fillId="0" borderId="105" xfId="7" applyNumberFormat="1" applyFont="1" applyBorder="1" applyProtection="1">
      <protection hidden="1"/>
    </xf>
    <xf numFmtId="4" fontId="59" fillId="0" borderId="112" xfId="7" applyNumberFormat="1" applyFont="1" applyBorder="1" applyAlignment="1" applyProtection="1">
      <alignment horizontal="centerContinuous"/>
      <protection hidden="1"/>
    </xf>
    <xf numFmtId="175" fontId="64" fillId="22" borderId="115" xfId="7" applyNumberFormat="1" applyFont="1" applyFill="1" applyBorder="1" applyProtection="1">
      <protection hidden="1"/>
    </xf>
    <xf numFmtId="2" fontId="59" fillId="22" borderId="115" xfId="7" applyNumberFormat="1" applyFont="1" applyFill="1" applyBorder="1" applyAlignment="1" applyProtection="1">
      <alignment horizontal="center"/>
      <protection hidden="1"/>
    </xf>
    <xf numFmtId="2" fontId="68" fillId="22" borderId="115" xfId="7" applyNumberFormat="1" applyFont="1" applyFill="1" applyBorder="1" applyAlignment="1" applyProtection="1">
      <alignment horizontal="center"/>
      <protection hidden="1"/>
    </xf>
    <xf numFmtId="2" fontId="59" fillId="21" borderId="115" xfId="7" applyNumberFormat="1" applyFont="1" applyFill="1" applyBorder="1" applyProtection="1">
      <protection hidden="1"/>
    </xf>
    <xf numFmtId="4" fontId="59" fillId="19" borderId="115" xfId="7" applyNumberFormat="1" applyFont="1" applyFill="1" applyBorder="1" applyAlignment="1" applyProtection="1">
      <alignment horizontal="right"/>
      <protection hidden="1"/>
    </xf>
    <xf numFmtId="4" fontId="59" fillId="21" borderId="115" xfId="7" applyNumberFormat="1" applyFont="1" applyFill="1" applyBorder="1" applyProtection="1">
      <protection hidden="1"/>
    </xf>
    <xf numFmtId="4" fontId="59" fillId="19" borderId="116" xfId="7" applyNumberFormat="1" applyFont="1" applyFill="1" applyBorder="1" applyAlignment="1" applyProtection="1">
      <alignment horizontal="right"/>
      <protection hidden="1"/>
    </xf>
    <xf numFmtId="2" fontId="55" fillId="0" borderId="0" xfId="7" applyNumberFormat="1" applyFont="1" applyAlignment="1" applyProtection="1">
      <alignment horizontal="centerContinuous"/>
      <protection hidden="1"/>
    </xf>
    <xf numFmtId="2" fontId="68" fillId="0" borderId="0" xfId="7" applyNumberFormat="1" applyFont="1" applyAlignment="1" applyProtection="1">
      <alignment horizontal="centerContinuous"/>
      <protection hidden="1"/>
    </xf>
    <xf numFmtId="2" fontId="69" fillId="0" borderId="0" xfId="7" applyNumberFormat="1" applyFont="1" applyAlignment="1" applyProtection="1">
      <alignment horizontal="centerContinuous"/>
      <protection hidden="1"/>
    </xf>
    <xf numFmtId="2" fontId="70" fillId="0" borderId="0" xfId="7" applyNumberFormat="1" applyFont="1" applyAlignment="1" applyProtection="1">
      <alignment horizontal="centerContinuous"/>
      <protection hidden="1"/>
    </xf>
    <xf numFmtId="0" fontId="62" fillId="0" borderId="0" xfId="8" applyFont="1" applyAlignment="1" applyProtection="1">
      <alignment horizontal="centerContinuous"/>
      <protection hidden="1"/>
    </xf>
    <xf numFmtId="2" fontId="59" fillId="0" borderId="23" xfId="7" applyNumberFormat="1" applyFont="1" applyBorder="1" applyProtection="1">
      <protection hidden="1"/>
    </xf>
    <xf numFmtId="2" fontId="68" fillId="0" borderId="26" xfId="7" applyNumberFormat="1" applyFont="1" applyBorder="1" applyProtection="1">
      <protection hidden="1"/>
    </xf>
    <xf numFmtId="2" fontId="68" fillId="0" borderId="13" xfId="7" applyNumberFormat="1" applyFont="1" applyBorder="1" applyProtection="1">
      <protection hidden="1"/>
    </xf>
    <xf numFmtId="2" fontId="68" fillId="0" borderId="13" xfId="7" applyNumberFormat="1" applyFont="1" applyBorder="1" applyAlignment="1" applyProtection="1">
      <alignment horizontal="center"/>
      <protection hidden="1"/>
    </xf>
    <xf numFmtId="2" fontId="68" fillId="0" borderId="27" xfId="7" applyNumberFormat="1" applyFont="1" applyBorder="1" applyProtection="1">
      <protection hidden="1"/>
    </xf>
    <xf numFmtId="2" fontId="68" fillId="0" borderId="28" xfId="7" applyNumberFormat="1" applyFont="1" applyBorder="1" applyProtection="1">
      <protection hidden="1"/>
    </xf>
    <xf numFmtId="2" fontId="59" fillId="0" borderId="29" xfId="7" applyNumberFormat="1" applyFont="1" applyBorder="1" applyProtection="1">
      <protection hidden="1"/>
    </xf>
    <xf numFmtId="2" fontId="71" fillId="0" borderId="19" xfId="7" applyNumberFormat="1" applyFont="1" applyBorder="1" applyProtection="1">
      <protection locked="0" hidden="1"/>
    </xf>
    <xf numFmtId="2" fontId="68" fillId="0" borderId="19" xfId="7" applyNumberFormat="1" applyFont="1" applyBorder="1" applyProtection="1">
      <protection hidden="1"/>
    </xf>
    <xf numFmtId="2" fontId="68" fillId="0" borderId="19" xfId="7" applyNumberFormat="1" applyFont="1" applyBorder="1" applyAlignment="1" applyProtection="1">
      <alignment horizontal="center"/>
      <protection hidden="1"/>
    </xf>
    <xf numFmtId="2" fontId="59" fillId="0" borderId="19" xfId="7" applyNumberFormat="1" applyFont="1" applyBorder="1" applyProtection="1">
      <protection hidden="1"/>
    </xf>
    <xf numFmtId="0" fontId="59" fillId="0" borderId="19" xfId="8" applyFont="1" applyBorder="1" applyProtection="1">
      <protection locked="0" hidden="1"/>
    </xf>
    <xf numFmtId="0" fontId="68" fillId="0" borderId="29" xfId="8" applyFont="1" applyBorder="1" applyProtection="1">
      <protection locked="0" hidden="1"/>
    </xf>
    <xf numFmtId="2" fontId="64" fillId="13" borderId="19" xfId="7" applyNumberFormat="1" applyFont="1" applyFill="1" applyBorder="1" applyProtection="1">
      <protection locked="0" hidden="1"/>
    </xf>
    <xf numFmtId="2" fontId="68" fillId="13" borderId="19" xfId="7" applyNumberFormat="1" applyFont="1" applyFill="1" applyBorder="1" applyProtection="1">
      <protection hidden="1"/>
    </xf>
    <xf numFmtId="2" fontId="68" fillId="0" borderId="32" xfId="7" applyNumberFormat="1" applyFont="1" applyBorder="1" applyProtection="1">
      <protection hidden="1"/>
    </xf>
    <xf numFmtId="0" fontId="62" fillId="0" borderId="19" xfId="8" applyFont="1" applyBorder="1" applyProtection="1">
      <protection hidden="1"/>
    </xf>
    <xf numFmtId="2" fontId="68" fillId="0" borderId="29" xfId="7" applyNumberFormat="1" applyFont="1" applyBorder="1" applyProtection="1">
      <protection hidden="1"/>
    </xf>
    <xf numFmtId="2" fontId="64" fillId="0" borderId="19" xfId="7" applyNumberFormat="1" applyFont="1" applyBorder="1" applyProtection="1">
      <protection hidden="1"/>
    </xf>
    <xf numFmtId="2" fontId="59" fillId="13" borderId="19" xfId="7" applyNumberFormat="1" applyFont="1" applyFill="1" applyBorder="1" applyProtection="1">
      <protection hidden="1"/>
    </xf>
    <xf numFmtId="2" fontId="71" fillId="0" borderId="24" xfId="7" applyNumberFormat="1" applyFont="1" applyBorder="1" applyProtection="1">
      <protection locked="0" hidden="1"/>
    </xf>
    <xf numFmtId="2" fontId="68" fillId="0" borderId="24" xfId="7" applyNumberFormat="1" applyFont="1" applyBorder="1" applyProtection="1">
      <protection hidden="1"/>
    </xf>
    <xf numFmtId="2" fontId="68" fillId="0" borderId="24" xfId="7" applyNumberFormat="1" applyFont="1" applyBorder="1" applyAlignment="1" applyProtection="1">
      <alignment horizontal="center"/>
      <protection hidden="1"/>
    </xf>
    <xf numFmtId="14" fontId="64" fillId="0" borderId="24" xfId="7" applyNumberFormat="1" applyFont="1" applyBorder="1" applyAlignment="1" applyProtection="1">
      <alignment horizontal="left"/>
      <protection hidden="1"/>
    </xf>
    <xf numFmtId="2" fontId="59" fillId="0" borderId="29" xfId="7" applyNumberFormat="1" applyFont="1" applyBorder="1" applyAlignment="1" applyProtection="1">
      <alignment horizontal="left"/>
      <protection hidden="1"/>
    </xf>
    <xf numFmtId="2" fontId="68" fillId="0" borderId="23" xfId="7" applyNumberFormat="1" applyFont="1" applyBorder="1" applyProtection="1">
      <protection hidden="1"/>
    </xf>
    <xf numFmtId="0" fontId="71" fillId="0" borderId="19" xfId="8" applyFont="1" applyBorder="1" applyProtection="1">
      <protection hidden="1"/>
    </xf>
    <xf numFmtId="2" fontId="68" fillId="19" borderId="29" xfId="7" applyNumberFormat="1" applyFont="1" applyFill="1" applyBorder="1" applyProtection="1">
      <protection locked="0" hidden="1"/>
    </xf>
    <xf numFmtId="2" fontId="68" fillId="0" borderId="31" xfId="7" applyNumberFormat="1" applyFont="1" applyBorder="1" applyProtection="1">
      <protection hidden="1"/>
    </xf>
    <xf numFmtId="2" fontId="68" fillId="0" borderId="24" xfId="7" quotePrefix="1" applyNumberFormat="1" applyFont="1" applyBorder="1" applyAlignment="1" applyProtection="1">
      <alignment horizontal="left"/>
      <protection hidden="1"/>
    </xf>
    <xf numFmtId="2" fontId="68" fillId="0" borderId="79" xfId="7" applyNumberFormat="1" applyFont="1" applyBorder="1" applyAlignment="1" applyProtection="1">
      <alignment horizontal="center"/>
      <protection hidden="1"/>
    </xf>
    <xf numFmtId="2" fontId="68" fillId="0" borderId="100" xfId="7" applyNumberFormat="1" applyFont="1" applyBorder="1" applyProtection="1">
      <protection hidden="1"/>
    </xf>
    <xf numFmtId="2" fontId="68" fillId="0" borderId="102" xfId="7" applyNumberFormat="1" applyFont="1" applyBorder="1" applyProtection="1">
      <protection hidden="1"/>
    </xf>
    <xf numFmtId="2" fontId="68" fillId="0" borderId="55" xfId="7" applyNumberFormat="1" applyFont="1" applyBorder="1" applyAlignment="1" applyProtection="1">
      <alignment horizontal="centerContinuous"/>
      <protection hidden="1"/>
    </xf>
    <xf numFmtId="2" fontId="59" fillId="0" borderId="55" xfId="7" applyNumberFormat="1" applyFont="1" applyBorder="1" applyAlignment="1" applyProtection="1">
      <alignment horizontal="centerContinuous"/>
      <protection hidden="1"/>
    </xf>
    <xf numFmtId="2" fontId="68" fillId="0" borderId="35" xfId="7" applyNumberFormat="1" applyFont="1" applyBorder="1" applyAlignment="1" applyProtection="1">
      <alignment horizontal="centerContinuous"/>
      <protection hidden="1"/>
    </xf>
    <xf numFmtId="2" fontId="59" fillId="0" borderId="103" xfId="7" applyNumberFormat="1" applyFont="1" applyBorder="1" applyAlignment="1" applyProtection="1">
      <alignment horizontal="center"/>
      <protection hidden="1"/>
    </xf>
    <xf numFmtId="2" fontId="59" fillId="0" borderId="20" xfId="7" applyNumberFormat="1" applyFont="1" applyBorder="1" applyAlignment="1" applyProtection="1">
      <alignment horizontal="center"/>
      <protection hidden="1"/>
    </xf>
    <xf numFmtId="2" fontId="59" fillId="0" borderId="27" xfId="7" applyNumberFormat="1" applyFont="1" applyBorder="1" applyAlignment="1" applyProtection="1">
      <alignment horizontal="centerContinuous"/>
      <protection hidden="1"/>
    </xf>
    <xf numFmtId="1" fontId="59" fillId="0" borderId="28" xfId="7" applyNumberFormat="1" applyFont="1" applyBorder="1" applyAlignment="1" applyProtection="1">
      <alignment horizontal="centerContinuous"/>
      <protection hidden="1"/>
    </xf>
    <xf numFmtId="2" fontId="59" fillId="0" borderId="36" xfId="7" applyNumberFormat="1" applyFont="1" applyBorder="1" applyAlignment="1" applyProtection="1">
      <alignment horizontal="centerContinuous"/>
      <protection hidden="1"/>
    </xf>
    <xf numFmtId="1" fontId="59" fillId="0" borderId="25" xfId="7" applyNumberFormat="1" applyFont="1" applyBorder="1" applyAlignment="1" applyProtection="1">
      <alignment horizontal="center"/>
      <protection hidden="1"/>
    </xf>
    <xf numFmtId="2" fontId="59" fillId="0" borderId="104" xfId="7" applyNumberFormat="1" applyFont="1" applyBorder="1" applyAlignment="1" applyProtection="1">
      <alignment horizontal="center"/>
      <protection hidden="1"/>
    </xf>
    <xf numFmtId="2" fontId="59" fillId="0" borderId="89" xfId="7" applyNumberFormat="1" applyFont="1" applyBorder="1" applyAlignment="1" applyProtection="1">
      <alignment horizontal="center"/>
      <protection hidden="1"/>
    </xf>
    <xf numFmtId="2" fontId="59" fillId="0" borderId="1" xfId="7" applyNumberFormat="1" applyFont="1" applyBorder="1" applyAlignment="1" applyProtection="1">
      <alignment horizontal="center" wrapText="1"/>
      <protection hidden="1"/>
    </xf>
    <xf numFmtId="2" fontId="59" fillId="0" borderId="59" xfId="7" applyNumberFormat="1" applyFont="1" applyBorder="1" applyAlignment="1" applyProtection="1">
      <alignment horizontal="center" wrapText="1"/>
      <protection hidden="1"/>
    </xf>
    <xf numFmtId="2" fontId="59" fillId="0" borderId="25" xfId="7" applyNumberFormat="1" applyFont="1" applyBorder="1" applyAlignment="1" applyProtection="1">
      <alignment horizontal="center" wrapText="1"/>
      <protection hidden="1"/>
    </xf>
    <xf numFmtId="1" fontId="68" fillId="23" borderId="106" xfId="7" applyNumberFormat="1" applyFont="1" applyFill="1" applyBorder="1" applyAlignment="1" applyProtection="1">
      <alignment horizontal="center"/>
      <protection hidden="1"/>
    </xf>
    <xf numFmtId="2" fontId="68" fillId="25" borderId="25" xfId="7" applyNumberFormat="1" applyFont="1" applyFill="1" applyBorder="1" applyProtection="1">
      <protection hidden="1"/>
    </xf>
    <xf numFmtId="1" fontId="68" fillId="19" borderId="72" xfId="7" applyNumberFormat="1" applyFont="1" applyFill="1" applyBorder="1" applyAlignment="1" applyProtection="1">
      <alignment horizontal="center"/>
      <protection hidden="1"/>
    </xf>
    <xf numFmtId="2" fontId="68" fillId="19" borderId="0" xfId="7" applyNumberFormat="1" applyFont="1" applyFill="1" applyProtection="1">
      <protection hidden="1"/>
    </xf>
    <xf numFmtId="2" fontId="59" fillId="22" borderId="112" xfId="7" applyNumberFormat="1" applyFont="1" applyFill="1" applyBorder="1" applyAlignment="1" applyProtection="1">
      <alignment horizontal="center" vertical="center"/>
      <protection hidden="1"/>
    </xf>
    <xf numFmtId="4" fontId="59" fillId="22" borderId="112" xfId="7" applyNumberFormat="1" applyFont="1" applyFill="1" applyBorder="1" applyProtection="1">
      <protection hidden="1"/>
    </xf>
    <xf numFmtId="2" fontId="68" fillId="0" borderId="111" xfId="7" applyNumberFormat="1" applyFont="1" applyBorder="1" applyProtection="1">
      <protection hidden="1"/>
    </xf>
    <xf numFmtId="2" fontId="68" fillId="0" borderId="105" xfId="7" applyNumberFormat="1" applyFont="1" applyBorder="1" applyProtection="1">
      <protection hidden="1"/>
    </xf>
    <xf numFmtId="4" fontId="59" fillId="0" borderId="112" xfId="7" applyNumberFormat="1" applyFont="1" applyBorder="1" applyProtection="1">
      <protection hidden="1"/>
    </xf>
    <xf numFmtId="4" fontId="59" fillId="21" borderId="117" xfId="7" applyNumberFormat="1" applyFont="1" applyFill="1" applyBorder="1" applyProtection="1">
      <protection hidden="1"/>
    </xf>
    <xf numFmtId="2" fontId="68" fillId="0" borderId="107" xfId="7" applyNumberFormat="1" applyFont="1" applyBorder="1" applyAlignment="1" applyProtection="1">
      <alignment horizontal="left"/>
      <protection hidden="1"/>
    </xf>
    <xf numFmtId="2" fontId="68" fillId="0" borderId="110" xfId="7" applyNumberFormat="1" applyFont="1" applyBorder="1" applyAlignment="1" applyProtection="1">
      <alignment horizontal="left"/>
      <protection hidden="1"/>
    </xf>
    <xf numFmtId="175" fontId="64" fillId="0" borderId="110" xfId="7" applyNumberFormat="1" applyFont="1" applyBorder="1" applyProtection="1">
      <protection hidden="1"/>
    </xf>
    <xf numFmtId="2" fontId="60" fillId="0" borderId="110" xfId="7" applyNumberFormat="1" applyFont="1" applyBorder="1" applyAlignment="1" applyProtection="1">
      <alignment horizontal="center"/>
      <protection hidden="1"/>
    </xf>
    <xf numFmtId="2" fontId="68" fillId="0" borderId="110" xfId="7" applyNumberFormat="1" applyFont="1" applyBorder="1" applyAlignment="1" applyProtection="1">
      <alignment horizontal="center"/>
      <protection hidden="1"/>
    </xf>
    <xf numFmtId="2" fontId="59" fillId="0" borderId="110" xfId="7" applyNumberFormat="1" applyFont="1" applyBorder="1" applyProtection="1">
      <protection hidden="1"/>
    </xf>
    <xf numFmtId="4" fontId="59" fillId="0" borderId="110" xfId="7" applyNumberFormat="1" applyFont="1" applyBorder="1" applyAlignment="1" applyProtection="1">
      <alignment horizontal="right"/>
      <protection hidden="1"/>
    </xf>
    <xf numFmtId="4" fontId="59" fillId="0" borderId="99" xfId="7" applyNumberFormat="1" applyFont="1" applyBorder="1" applyProtection="1">
      <protection hidden="1"/>
    </xf>
    <xf numFmtId="4" fontId="59" fillId="0" borderId="110" xfId="7" applyNumberFormat="1" applyFont="1" applyBorder="1" applyAlignment="1" applyProtection="1">
      <alignment horizontal="centerContinuous"/>
      <protection hidden="1"/>
    </xf>
    <xf numFmtId="14" fontId="68" fillId="0" borderId="19" xfId="7" applyNumberFormat="1" applyFont="1" applyBorder="1" applyAlignment="1" applyProtection="1">
      <alignment horizontal="center"/>
      <protection locked="0" hidden="1"/>
    </xf>
    <xf numFmtId="2" fontId="73" fillId="0" borderId="0" xfId="7" applyNumberFormat="1" applyFont="1" applyAlignment="1" applyProtection="1">
      <alignment horizontal="center"/>
      <protection hidden="1"/>
    </xf>
    <xf numFmtId="43" fontId="54" fillId="13" borderId="68" xfId="1" applyFont="1" applyFill="1" applyBorder="1" applyAlignment="1" applyProtection="1">
      <alignment horizontal="center" vertical="center"/>
    </xf>
    <xf numFmtId="43" fontId="54" fillId="13" borderId="95" xfId="1" applyFont="1" applyFill="1" applyBorder="1" applyAlignment="1" applyProtection="1">
      <alignment horizontal="center" vertical="center"/>
    </xf>
    <xf numFmtId="43" fontId="54" fillId="13" borderId="92" xfId="1" applyFont="1" applyFill="1" applyBorder="1" applyAlignment="1" applyProtection="1">
      <alignment horizontal="center" vertical="center"/>
    </xf>
    <xf numFmtId="0" fontId="54" fillId="13" borderId="48" xfId="0" applyFont="1" applyFill="1" applyBorder="1"/>
    <xf numFmtId="166" fontId="58" fillId="13" borderId="5" xfId="3" applyFont="1" applyFill="1" applyBorder="1" applyAlignment="1" applyProtection="1">
      <alignment horizontal="center" vertical="center"/>
    </xf>
    <xf numFmtId="166" fontId="58" fillId="13" borderId="15" xfId="3" applyFont="1" applyFill="1" applyBorder="1" applyAlignment="1" applyProtection="1">
      <alignment horizontal="center" vertical="center"/>
    </xf>
    <xf numFmtId="43" fontId="58" fillId="13" borderId="6" xfId="1" applyFont="1" applyFill="1" applyBorder="1" applyAlignment="1" applyProtection="1">
      <alignment vertical="center"/>
    </xf>
    <xf numFmtId="43" fontId="58" fillId="13" borderId="5" xfId="1" applyFont="1" applyFill="1" applyBorder="1" applyAlignment="1" applyProtection="1">
      <alignment vertical="center"/>
    </xf>
    <xf numFmtId="43" fontId="58" fillId="13" borderId="17" xfId="1" applyFont="1" applyFill="1" applyBorder="1" applyAlignment="1" applyProtection="1">
      <alignment vertical="center"/>
    </xf>
    <xf numFmtId="43" fontId="54" fillId="13" borderId="5" xfId="1" applyFont="1" applyFill="1" applyBorder="1" applyProtection="1"/>
    <xf numFmtId="43" fontId="54" fillId="13" borderId="17" xfId="1" applyFont="1" applyFill="1" applyBorder="1" applyProtection="1"/>
    <xf numFmtId="43" fontId="54" fillId="13" borderId="6" xfId="1" applyFont="1" applyFill="1" applyBorder="1" applyProtection="1"/>
    <xf numFmtId="43" fontId="58" fillId="13" borderId="8" xfId="1" applyFont="1" applyFill="1" applyBorder="1" applyAlignment="1" applyProtection="1">
      <alignment horizontal="center" vertical="center"/>
    </xf>
    <xf numFmtId="10" fontId="58" fillId="13" borderId="8" xfId="4" applyNumberFormat="1" applyFont="1" applyFill="1" applyBorder="1" applyAlignment="1" applyProtection="1">
      <alignment horizontal="right" vertical="center"/>
    </xf>
    <xf numFmtId="43" fontId="58" fillId="13" borderId="7" xfId="1" applyFont="1" applyFill="1" applyBorder="1" applyAlignment="1" applyProtection="1">
      <alignment horizontal="center" vertical="center"/>
    </xf>
    <xf numFmtId="4" fontId="54" fillId="0" borderId="32" xfId="0" applyNumberFormat="1" applyFont="1" applyBorder="1" applyProtection="1">
      <protection hidden="1"/>
    </xf>
    <xf numFmtId="0" fontId="58" fillId="0" borderId="29" xfId="0" applyFont="1" applyBorder="1" applyAlignment="1" applyProtection="1">
      <alignment vertical="center" wrapText="1"/>
      <protection hidden="1"/>
    </xf>
    <xf numFmtId="0" fontId="58" fillId="0" borderId="0" xfId="0" applyFont="1" applyAlignment="1" applyProtection="1">
      <alignment vertical="center" wrapText="1"/>
      <protection hidden="1"/>
    </xf>
    <xf numFmtId="0" fontId="58" fillId="0" borderId="39" xfId="0" applyFont="1" applyBorder="1" applyAlignment="1" applyProtection="1">
      <alignment vertical="center" wrapText="1"/>
      <protection hidden="1"/>
    </xf>
    <xf numFmtId="0" fontId="74" fillId="0" borderId="0" xfId="0" applyFont="1" applyProtection="1">
      <protection hidden="1"/>
    </xf>
    <xf numFmtId="0" fontId="68" fillId="0" borderId="0" xfId="0" applyFont="1" applyProtection="1">
      <protection hidden="1"/>
    </xf>
    <xf numFmtId="2" fontId="54" fillId="0" borderId="0" xfId="0" applyNumberFormat="1" applyFont="1" applyAlignment="1" applyProtection="1">
      <alignment horizontal="center" vertical="center"/>
      <protection hidden="1"/>
    </xf>
    <xf numFmtId="0" fontId="58" fillId="0" borderId="7" xfId="1" applyNumberFormat="1" applyFont="1" applyFill="1" applyBorder="1" applyAlignment="1" applyProtection="1">
      <alignment horizontal="right" vertical="center"/>
      <protection hidden="1"/>
    </xf>
    <xf numFmtId="2" fontId="68" fillId="25" borderId="21" xfId="7" applyNumberFormat="1" applyFont="1" applyFill="1" applyBorder="1" applyProtection="1">
      <protection hidden="1"/>
    </xf>
    <xf numFmtId="3" fontId="54" fillId="13" borderId="28" xfId="0" applyNumberFormat="1" applyFont="1" applyFill="1" applyBorder="1" applyProtection="1">
      <protection hidden="1"/>
    </xf>
    <xf numFmtId="3" fontId="54" fillId="13" borderId="32" xfId="0" applyNumberFormat="1" applyFont="1" applyFill="1" applyBorder="1" applyProtection="1">
      <protection hidden="1"/>
    </xf>
    <xf numFmtId="43" fontId="58" fillId="0" borderId="37" xfId="1" applyFont="1" applyFill="1" applyBorder="1" applyAlignment="1" applyProtection="1">
      <alignment horizontal="center" vertical="center"/>
      <protection hidden="1"/>
    </xf>
    <xf numFmtId="43" fontId="58" fillId="0" borderId="15" xfId="1" applyFont="1" applyFill="1" applyBorder="1" applyAlignment="1" applyProtection="1">
      <alignment horizontal="center" vertical="center"/>
      <protection hidden="1"/>
    </xf>
    <xf numFmtId="0" fontId="60" fillId="0" borderId="15" xfId="0" applyFont="1" applyBorder="1" applyAlignment="1" applyProtection="1">
      <alignment vertical="center"/>
      <protection hidden="1"/>
    </xf>
    <xf numFmtId="0" fontId="60" fillId="0" borderId="42" xfId="0" applyFont="1" applyBorder="1" applyAlignment="1" applyProtection="1">
      <alignment horizontal="center" vertical="center"/>
      <protection hidden="1"/>
    </xf>
    <xf numFmtId="0" fontId="54" fillId="13" borderId="51" xfId="0" applyFont="1" applyFill="1" applyBorder="1" applyAlignment="1" applyProtection="1">
      <alignment horizontal="center" vertical="center"/>
      <protection hidden="1"/>
    </xf>
    <xf numFmtId="43" fontId="54" fillId="0" borderId="92" xfId="1" applyFont="1" applyFill="1" applyBorder="1" applyAlignment="1" applyProtection="1">
      <alignment horizontal="center" vertical="center"/>
    </xf>
    <xf numFmtId="0" fontId="54" fillId="0" borderId="48" xfId="0" applyFont="1" applyBorder="1"/>
    <xf numFmtId="43" fontId="54" fillId="0" borderId="17" xfId="1" applyFont="1" applyFill="1" applyBorder="1" applyProtection="1"/>
    <xf numFmtId="4" fontId="54" fillId="13" borderId="28" xfId="0" applyNumberFormat="1" applyFont="1" applyFill="1" applyBorder="1" applyProtection="1">
      <protection hidden="1"/>
    </xf>
    <xf numFmtId="0" fontId="54" fillId="0" borderId="118" xfId="0" applyFont="1" applyBorder="1" applyProtection="1">
      <protection hidden="1"/>
    </xf>
    <xf numFmtId="0" fontId="54" fillId="0" borderId="119" xfId="0" applyFont="1" applyBorder="1" applyProtection="1">
      <protection hidden="1"/>
    </xf>
    <xf numFmtId="0" fontId="31" fillId="0" borderId="120" xfId="0" applyFont="1" applyBorder="1" applyProtection="1">
      <protection hidden="1"/>
    </xf>
    <xf numFmtId="43" fontId="54" fillId="13" borderId="121" xfId="1" applyFont="1" applyFill="1" applyBorder="1" applyProtection="1"/>
    <xf numFmtId="0" fontId="54" fillId="0" borderId="122" xfId="0" applyFont="1" applyBorder="1" applyProtection="1">
      <protection hidden="1"/>
    </xf>
    <xf numFmtId="0" fontId="54" fillId="0" borderId="105" xfId="0" applyFont="1" applyBorder="1" applyProtection="1">
      <protection hidden="1"/>
    </xf>
    <xf numFmtId="0" fontId="31" fillId="0" borderId="123" xfId="0" applyFont="1" applyBorder="1" applyProtection="1">
      <protection hidden="1"/>
    </xf>
    <xf numFmtId="43" fontId="54" fillId="13" borderId="112" xfId="1" applyFont="1" applyFill="1" applyBorder="1" applyProtection="1"/>
    <xf numFmtId="43" fontId="54" fillId="0" borderId="124" xfId="1" applyFont="1" applyFill="1" applyBorder="1" applyProtection="1">
      <protection hidden="1"/>
    </xf>
    <xf numFmtId="0" fontId="56" fillId="0" borderId="125" xfId="0" applyFont="1" applyBorder="1" applyAlignment="1" applyProtection="1">
      <alignment horizontal="left"/>
      <protection hidden="1"/>
    </xf>
    <xf numFmtId="0" fontId="54" fillId="0" borderId="126" xfId="0" applyFont="1" applyBorder="1" applyProtection="1">
      <protection hidden="1"/>
    </xf>
    <xf numFmtId="0" fontId="31" fillId="0" borderId="127" xfId="0" applyFont="1" applyBorder="1" applyProtection="1">
      <protection hidden="1"/>
    </xf>
    <xf numFmtId="43" fontId="56" fillId="0" borderId="117" xfId="1" applyFont="1" applyFill="1" applyBorder="1" applyProtection="1">
      <protection hidden="1"/>
    </xf>
    <xf numFmtId="0" fontId="74" fillId="0" borderId="129" xfId="0" applyFont="1" applyBorder="1" applyAlignment="1">
      <alignment horizontal="center" vertical="center" wrapText="1"/>
    </xf>
    <xf numFmtId="0" fontId="74" fillId="0" borderId="130" xfId="0" applyFont="1" applyBorder="1" applyAlignment="1">
      <alignment horizontal="justify" vertical="center" wrapText="1"/>
    </xf>
    <xf numFmtId="0" fontId="74" fillId="0" borderId="130" xfId="0" applyFont="1" applyBorder="1" applyAlignment="1">
      <alignment horizontal="center" vertical="center" wrapText="1"/>
    </xf>
    <xf numFmtId="0" fontId="76" fillId="13" borderId="128" xfId="0" applyFont="1" applyFill="1" applyBorder="1" applyAlignment="1">
      <alignment horizontal="center" vertical="center" wrapText="1"/>
    </xf>
    <xf numFmtId="43" fontId="66" fillId="0" borderId="130" xfId="0" applyNumberFormat="1" applyFont="1" applyBorder="1" applyAlignment="1">
      <alignment horizontal="center" vertical="center" wrapText="1"/>
    </xf>
    <xf numFmtId="0" fontId="77" fillId="13" borderId="128" xfId="0" applyFont="1" applyFill="1" applyBorder="1" applyAlignment="1">
      <alignment horizontal="center" vertical="center" wrapText="1"/>
    </xf>
    <xf numFmtId="0" fontId="74" fillId="0" borderId="131" xfId="0" applyFont="1" applyBorder="1" applyAlignment="1">
      <alignment horizontal="center" vertical="center" wrapText="1"/>
    </xf>
    <xf numFmtId="0" fontId="74" fillId="0" borderId="132" xfId="0" applyFont="1" applyBorder="1" applyAlignment="1">
      <alignment horizontal="justify" vertical="center" wrapText="1"/>
    </xf>
    <xf numFmtId="0" fontId="74" fillId="0" borderId="132" xfId="0" applyFont="1" applyBorder="1" applyAlignment="1">
      <alignment horizontal="center" vertical="center" wrapText="1"/>
    </xf>
    <xf numFmtId="43" fontId="66" fillId="0" borderId="132" xfId="0" applyNumberFormat="1" applyFont="1" applyBorder="1" applyAlignment="1">
      <alignment horizontal="center" vertical="center" wrapText="1"/>
    </xf>
    <xf numFmtId="0" fontId="74" fillId="0" borderId="94" xfId="0" applyFont="1" applyBorder="1" applyAlignment="1">
      <alignment horizontal="center" vertical="center" wrapText="1"/>
    </xf>
    <xf numFmtId="0" fontId="74" fillId="0" borderId="94" xfId="0" applyFont="1" applyBorder="1" applyAlignment="1">
      <alignment horizontal="justify" vertical="center" wrapText="1"/>
    </xf>
    <xf numFmtId="2" fontId="74" fillId="0" borderId="94" xfId="0" applyNumberFormat="1" applyFont="1" applyBorder="1" applyAlignment="1">
      <alignment horizontal="center" vertical="center" wrapText="1"/>
    </xf>
    <xf numFmtId="43" fontId="66" fillId="0" borderId="94" xfId="0" applyNumberFormat="1" applyFont="1" applyBorder="1" applyAlignment="1">
      <alignment horizontal="center" vertical="center" wrapText="1"/>
    </xf>
    <xf numFmtId="0" fontId="67" fillId="0" borderId="94" xfId="0" applyFont="1" applyBorder="1"/>
    <xf numFmtId="0" fontId="67" fillId="0" borderId="94" xfId="0" applyFont="1" applyBorder="1" applyAlignment="1">
      <alignment horizontal="justify" vertical="center" wrapText="1"/>
    </xf>
    <xf numFmtId="43" fontId="67" fillId="0" borderId="94" xfId="0" applyNumberFormat="1" applyFont="1" applyBorder="1"/>
    <xf numFmtId="43" fontId="45" fillId="0" borderId="0" xfId="0" applyNumberFormat="1" applyFont="1"/>
    <xf numFmtId="0" fontId="58" fillId="0" borderId="5" xfId="3" applyNumberFormat="1" applyFont="1" applyFill="1" applyBorder="1" applyAlignment="1" applyProtection="1">
      <alignment horizontal="center" vertical="center"/>
      <protection hidden="1"/>
    </xf>
    <xf numFmtId="0" fontId="28" fillId="13" borderId="23" xfId="0" applyFont="1" applyFill="1" applyBorder="1" applyAlignment="1">
      <alignment horizontal="center"/>
    </xf>
    <xf numFmtId="0" fontId="28" fillId="13" borderId="24" xfId="0" applyFont="1" applyFill="1" applyBorder="1" applyAlignment="1">
      <alignment horizontal="center"/>
    </xf>
    <xf numFmtId="0" fontId="28" fillId="13" borderId="26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5" fillId="6" borderId="23" xfId="0" applyFont="1" applyFill="1" applyBorder="1" applyAlignment="1">
      <alignment vertical="center"/>
    </xf>
    <xf numFmtId="0" fontId="25" fillId="6" borderId="24" xfId="0" applyFont="1" applyFill="1" applyBorder="1" applyAlignment="1">
      <alignment vertical="center"/>
    </xf>
    <xf numFmtId="0" fontId="25" fillId="6" borderId="26" xfId="0" applyFont="1" applyFill="1" applyBorder="1" applyAlignment="1">
      <alignment vertical="center"/>
    </xf>
    <xf numFmtId="0" fontId="19" fillId="6" borderId="27" xfId="0" applyFont="1" applyFill="1" applyBorder="1" applyAlignment="1">
      <alignment vertical="center"/>
    </xf>
    <xf numFmtId="0" fontId="19" fillId="6" borderId="13" xfId="0" applyFont="1" applyFill="1" applyBorder="1" applyAlignment="1">
      <alignment vertical="center"/>
    </xf>
    <xf numFmtId="0" fontId="19" fillId="6" borderId="28" xfId="0" applyFont="1" applyFill="1" applyBorder="1" applyAlignment="1">
      <alignment vertical="center"/>
    </xf>
    <xf numFmtId="0" fontId="19" fillId="6" borderId="29" xfId="0" applyFont="1" applyFill="1" applyBorder="1" applyAlignment="1">
      <alignment vertical="center"/>
    </xf>
    <xf numFmtId="0" fontId="19" fillId="6" borderId="0" xfId="0" applyFont="1" applyFill="1" applyAlignment="1">
      <alignment vertical="center"/>
    </xf>
    <xf numFmtId="0" fontId="19" fillId="6" borderId="30" xfId="0" applyFont="1" applyFill="1" applyBorder="1" applyAlignment="1">
      <alignment vertical="center"/>
    </xf>
    <xf numFmtId="0" fontId="19" fillId="6" borderId="29" xfId="0" applyFont="1" applyFill="1" applyBorder="1" applyAlignment="1">
      <alignment vertical="center" wrapText="1"/>
    </xf>
    <xf numFmtId="0" fontId="19" fillId="6" borderId="0" xfId="0" applyFont="1" applyFill="1" applyAlignment="1">
      <alignment vertical="center" wrapText="1"/>
    </xf>
    <xf numFmtId="0" fontId="19" fillId="6" borderId="30" xfId="0" applyFont="1" applyFill="1" applyBorder="1" applyAlignment="1">
      <alignment vertical="center" wrapText="1"/>
    </xf>
    <xf numFmtId="0" fontId="19" fillId="6" borderId="27" xfId="0" applyFont="1" applyFill="1" applyBorder="1" applyAlignment="1">
      <alignment vertical="center" wrapText="1"/>
    </xf>
    <xf numFmtId="0" fontId="19" fillId="6" borderId="28" xfId="0" applyFont="1" applyFill="1" applyBorder="1" applyAlignment="1">
      <alignment vertical="center" wrapText="1"/>
    </xf>
    <xf numFmtId="0" fontId="19" fillId="6" borderId="23" xfId="0" applyFont="1" applyFill="1" applyBorder="1" applyAlignment="1">
      <alignment vertical="center"/>
    </xf>
    <xf numFmtId="0" fontId="19" fillId="6" borderId="24" xfId="0" applyFont="1" applyFill="1" applyBorder="1" applyAlignment="1">
      <alignment vertical="center"/>
    </xf>
    <xf numFmtId="0" fontId="19" fillId="6" borderId="26" xfId="0" applyFont="1" applyFill="1" applyBorder="1" applyAlignment="1">
      <alignment vertical="center"/>
    </xf>
    <xf numFmtId="0" fontId="19" fillId="6" borderId="31" xfId="0" applyFont="1" applyFill="1" applyBorder="1" applyAlignment="1">
      <alignment vertical="center"/>
    </xf>
    <xf numFmtId="0" fontId="19" fillId="6" borderId="19" xfId="0" applyFont="1" applyFill="1" applyBorder="1" applyAlignment="1">
      <alignment vertical="center"/>
    </xf>
    <xf numFmtId="0" fontId="19" fillId="6" borderId="32" xfId="0" applyFont="1" applyFill="1" applyBorder="1" applyAlignment="1">
      <alignment vertical="center"/>
    </xf>
    <xf numFmtId="0" fontId="19" fillId="6" borderId="45" xfId="0" applyFont="1" applyFill="1" applyBorder="1" applyAlignment="1">
      <alignment vertical="center"/>
    </xf>
    <xf numFmtId="0" fontId="19" fillId="6" borderId="46" xfId="0" applyFont="1" applyFill="1" applyBorder="1" applyAlignment="1">
      <alignment vertical="center"/>
    </xf>
    <xf numFmtId="0" fontId="27" fillId="6" borderId="31" xfId="0" applyFont="1" applyFill="1" applyBorder="1" applyAlignment="1">
      <alignment horizontal="left" vertical="center" wrapText="1"/>
    </xf>
    <xf numFmtId="0" fontId="27" fillId="6" borderId="19" xfId="0" applyFont="1" applyFill="1" applyBorder="1" applyAlignment="1">
      <alignment horizontal="left" vertical="center" wrapText="1"/>
    </xf>
    <xf numFmtId="0" fontId="27" fillId="6" borderId="40" xfId="0" applyFont="1" applyFill="1" applyBorder="1" applyAlignment="1">
      <alignment horizontal="left" vertical="center" wrapText="1"/>
    </xf>
    <xf numFmtId="0" fontId="19" fillId="6" borderId="29" xfId="0" applyFont="1" applyFill="1" applyBorder="1" applyAlignment="1">
      <alignment horizontal="left" vertical="center" wrapText="1"/>
    </xf>
    <xf numFmtId="0" fontId="19" fillId="6" borderId="0" xfId="0" applyFont="1" applyFill="1" applyAlignment="1">
      <alignment horizontal="left" vertical="center" wrapText="1"/>
    </xf>
    <xf numFmtId="0" fontId="19" fillId="6" borderId="39" xfId="0" applyFont="1" applyFill="1" applyBorder="1" applyAlignment="1">
      <alignment horizontal="left" vertical="center" wrapText="1"/>
    </xf>
    <xf numFmtId="0" fontId="19" fillId="6" borderId="47" xfId="0" applyFont="1" applyFill="1" applyBorder="1" applyAlignment="1">
      <alignment vertical="center"/>
    </xf>
    <xf numFmtId="0" fontId="19" fillId="0" borderId="27" xfId="0" applyFont="1" applyBorder="1" applyAlignment="1">
      <alignment vertical="top" wrapText="1"/>
    </xf>
    <xf numFmtId="0" fontId="19" fillId="0" borderId="13" xfId="0" applyFont="1" applyBorder="1" applyAlignment="1">
      <alignment vertical="top" wrapText="1"/>
    </xf>
    <xf numFmtId="0" fontId="19" fillId="0" borderId="28" xfId="0" applyFont="1" applyBorder="1" applyAlignment="1">
      <alignment vertical="top" wrapText="1"/>
    </xf>
    <xf numFmtId="0" fontId="19" fillId="0" borderId="29" xfId="0" applyFont="1" applyBorder="1" applyAlignment="1">
      <alignment vertical="top" wrapText="1"/>
    </xf>
    <xf numFmtId="0" fontId="19" fillId="0" borderId="0" xfId="0" applyFont="1" applyAlignment="1">
      <alignment vertical="top" wrapText="1"/>
    </xf>
    <xf numFmtId="0" fontId="19" fillId="0" borderId="30" xfId="0" applyFont="1" applyBorder="1" applyAlignment="1">
      <alignment vertical="top" wrapText="1"/>
    </xf>
    <xf numFmtId="0" fontId="19" fillId="0" borderId="29" xfId="0" applyFont="1" applyBorder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19" fillId="0" borderId="30" xfId="0" applyFont="1" applyBorder="1" applyAlignment="1">
      <alignment horizontal="left" vertical="top" wrapText="1"/>
    </xf>
    <xf numFmtId="0" fontId="27" fillId="6" borderId="31" xfId="0" applyFont="1" applyFill="1" applyBorder="1" applyAlignment="1">
      <alignment vertical="center" wrapText="1"/>
    </xf>
    <xf numFmtId="0" fontId="27" fillId="6" borderId="19" xfId="0" applyFont="1" applyFill="1" applyBorder="1" applyAlignment="1">
      <alignment vertical="center" wrapText="1"/>
    </xf>
    <xf numFmtId="0" fontId="27" fillId="6" borderId="40" xfId="0" applyFont="1" applyFill="1" applyBorder="1" applyAlignment="1">
      <alignment vertical="center" wrapText="1"/>
    </xf>
    <xf numFmtId="0" fontId="19" fillId="0" borderId="23" xfId="0" applyFont="1" applyBorder="1" applyAlignment="1">
      <alignment horizontal="left" vertical="top" wrapText="1"/>
    </xf>
    <xf numFmtId="0" fontId="19" fillId="0" borderId="24" xfId="0" applyFont="1" applyBorder="1" applyAlignment="1">
      <alignment horizontal="left" vertical="top" wrapText="1"/>
    </xf>
    <xf numFmtId="0" fontId="19" fillId="0" borderId="26" xfId="0" applyFont="1" applyBorder="1" applyAlignment="1">
      <alignment horizontal="left" vertical="top" wrapText="1"/>
    </xf>
    <xf numFmtId="0" fontId="19" fillId="0" borderId="29" xfId="0" applyFont="1" applyBorder="1" applyAlignment="1">
      <alignment vertical="center" wrapText="1"/>
    </xf>
    <xf numFmtId="0" fontId="19" fillId="0" borderId="0" xfId="0" applyFont="1" applyAlignment="1">
      <alignment vertical="center" wrapText="1"/>
    </xf>
    <xf numFmtId="0" fontId="19" fillId="0" borderId="30" xfId="0" applyFont="1" applyBorder="1" applyAlignment="1">
      <alignment vertical="center" wrapText="1"/>
    </xf>
    <xf numFmtId="0" fontId="19" fillId="0" borderId="39" xfId="0" applyFont="1" applyBorder="1" applyAlignment="1">
      <alignment vertical="center" wrapText="1"/>
    </xf>
    <xf numFmtId="0" fontId="19" fillId="0" borderId="29" xfId="0" applyFont="1" applyBorder="1" applyAlignment="1">
      <alignment wrapText="1"/>
    </xf>
    <xf numFmtId="0" fontId="19" fillId="0" borderId="0" xfId="0" applyFont="1" applyAlignment="1">
      <alignment wrapText="1"/>
    </xf>
    <xf numFmtId="0" fontId="19" fillId="0" borderId="30" xfId="0" applyFont="1" applyBorder="1" applyAlignment="1">
      <alignment wrapText="1"/>
    </xf>
    <xf numFmtId="0" fontId="27" fillId="0" borderId="31" xfId="0" applyFont="1" applyBorder="1" applyAlignment="1">
      <alignment vertical="center" wrapText="1"/>
    </xf>
    <xf numFmtId="0" fontId="27" fillId="0" borderId="19" xfId="0" applyFont="1" applyBorder="1" applyAlignment="1">
      <alignment vertical="center" wrapText="1"/>
    </xf>
    <xf numFmtId="0" fontId="27" fillId="0" borderId="40" xfId="0" applyFont="1" applyBorder="1" applyAlignment="1">
      <alignment vertical="center" wrapText="1"/>
    </xf>
    <xf numFmtId="0" fontId="19" fillId="0" borderId="31" xfId="0" applyFont="1" applyBorder="1" applyAlignment="1">
      <alignment horizontal="left" vertical="center"/>
    </xf>
    <xf numFmtId="0" fontId="19" fillId="0" borderId="19" xfId="0" applyFont="1" applyBorder="1" applyAlignment="1">
      <alignment horizontal="left" vertical="center"/>
    </xf>
    <xf numFmtId="0" fontId="19" fillId="0" borderId="32" xfId="0" applyFont="1" applyBorder="1" applyAlignment="1">
      <alignment horizontal="left" vertical="center"/>
    </xf>
    <xf numFmtId="0" fontId="19" fillId="0" borderId="27" xfId="0" applyFont="1" applyBorder="1" applyAlignment="1">
      <alignment horizontal="left" vertical="center"/>
    </xf>
    <xf numFmtId="0" fontId="19" fillId="0" borderId="13" xfId="0" applyFont="1" applyBorder="1" applyAlignment="1">
      <alignment horizontal="left" vertical="center"/>
    </xf>
    <xf numFmtId="0" fontId="19" fillId="0" borderId="28" xfId="0" applyFont="1" applyBorder="1" applyAlignment="1">
      <alignment horizontal="left" vertical="center"/>
    </xf>
    <xf numFmtId="0" fontId="19" fillId="0" borderId="29" xfId="0" applyFont="1" applyBorder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30" xfId="0" applyFont="1" applyBorder="1" applyAlignment="1">
      <alignment horizontal="left" vertical="center"/>
    </xf>
    <xf numFmtId="0" fontId="19" fillId="0" borderId="23" xfId="0" applyFont="1" applyBorder="1" applyAlignment="1">
      <alignment vertical="center" wrapText="1"/>
    </xf>
    <xf numFmtId="0" fontId="19" fillId="0" borderId="24" xfId="0" applyFont="1" applyBorder="1" applyAlignment="1">
      <alignment vertical="center" wrapText="1"/>
    </xf>
    <xf numFmtId="0" fontId="19" fillId="0" borderId="26" xfId="0" applyFont="1" applyBorder="1" applyAlignment="1">
      <alignment vertical="center" wrapText="1"/>
    </xf>
    <xf numFmtId="0" fontId="19" fillId="0" borderId="27" xfId="0" applyFont="1" applyBorder="1" applyAlignment="1">
      <alignment horizontal="left" vertical="center" wrapText="1"/>
    </xf>
    <xf numFmtId="0" fontId="19" fillId="0" borderId="13" xfId="0" applyFont="1" applyBorder="1" applyAlignment="1">
      <alignment horizontal="left" vertical="center" wrapText="1"/>
    </xf>
    <xf numFmtId="0" fontId="19" fillId="0" borderId="28" xfId="0" applyFont="1" applyBorder="1" applyAlignment="1">
      <alignment horizontal="left" vertical="center" wrapText="1"/>
    </xf>
    <xf numFmtId="0" fontId="19" fillId="0" borderId="29" xfId="0" applyFont="1" applyBorder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9" fillId="0" borderId="30" xfId="0" applyFont="1" applyBorder="1" applyAlignment="1">
      <alignment horizontal="left" vertical="center" wrapText="1"/>
    </xf>
    <xf numFmtId="0" fontId="19" fillId="0" borderId="27" xfId="0" applyFont="1" applyBorder="1" applyAlignment="1">
      <alignment vertical="center"/>
    </xf>
    <xf numFmtId="0" fontId="19" fillId="0" borderId="13" xfId="0" applyFont="1" applyBorder="1" applyAlignment="1">
      <alignment vertical="center"/>
    </xf>
    <xf numFmtId="0" fontId="19" fillId="0" borderId="28" xfId="0" applyFont="1" applyBorder="1" applyAlignment="1">
      <alignment vertical="center"/>
    </xf>
    <xf numFmtId="0" fontId="19" fillId="0" borderId="29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19" fillId="0" borderId="30" xfId="0" applyFont="1" applyBorder="1" applyAlignment="1">
      <alignment vertical="center"/>
    </xf>
    <xf numFmtId="0" fontId="19" fillId="0" borderId="31" xfId="0" applyFont="1" applyBorder="1" applyAlignment="1">
      <alignment vertical="center"/>
    </xf>
    <xf numFmtId="0" fontId="19" fillId="0" borderId="19" xfId="0" applyFont="1" applyBorder="1" applyAlignment="1">
      <alignment vertical="center"/>
    </xf>
    <xf numFmtId="0" fontId="19" fillId="0" borderId="32" xfId="0" applyFont="1" applyBorder="1" applyAlignment="1">
      <alignment vertical="center"/>
    </xf>
    <xf numFmtId="0" fontId="27" fillId="0" borderId="27" xfId="0" applyFont="1" applyBorder="1" applyAlignment="1" applyProtection="1">
      <alignment vertical="center" wrapText="1"/>
      <protection locked="0"/>
    </xf>
    <xf numFmtId="0" fontId="27" fillId="0" borderId="13" xfId="0" applyFont="1" applyBorder="1" applyAlignment="1" applyProtection="1">
      <alignment vertical="center" wrapText="1"/>
      <protection locked="0"/>
    </xf>
    <xf numFmtId="0" fontId="27" fillId="0" borderId="38" xfId="0" applyFont="1" applyBorder="1" applyAlignment="1" applyProtection="1">
      <alignment vertical="center" wrapText="1"/>
      <protection locked="0"/>
    </xf>
    <xf numFmtId="0" fontId="27" fillId="0" borderId="31" xfId="0" applyFont="1" applyBorder="1" applyAlignment="1">
      <alignment vertical="top" wrapText="1"/>
    </xf>
    <xf numFmtId="0" fontId="27" fillId="0" borderId="19" xfId="0" applyFont="1" applyBorder="1" applyAlignment="1">
      <alignment vertical="top" wrapText="1"/>
    </xf>
    <xf numFmtId="0" fontId="27" fillId="0" borderId="40" xfId="0" applyFont="1" applyBorder="1" applyAlignment="1">
      <alignment vertical="top" wrapText="1"/>
    </xf>
    <xf numFmtId="0" fontId="13" fillId="0" borderId="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31" xfId="0" applyFont="1" applyBorder="1" applyAlignment="1">
      <alignment horizontal="left" vertical="center" wrapText="1"/>
    </xf>
    <xf numFmtId="0" fontId="13" fillId="0" borderId="19" xfId="0" applyFont="1" applyBorder="1" applyAlignment="1">
      <alignment horizontal="left" vertical="center" wrapText="1"/>
    </xf>
    <xf numFmtId="0" fontId="13" fillId="0" borderId="40" xfId="0" applyFont="1" applyBorder="1" applyAlignment="1">
      <alignment horizontal="left" vertical="center" wrapText="1"/>
    </xf>
    <xf numFmtId="0" fontId="10" fillId="0" borderId="29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39" xfId="0" applyFont="1" applyBorder="1" applyAlignment="1">
      <alignment horizontal="left" vertical="center"/>
    </xf>
    <xf numFmtId="0" fontId="13" fillId="0" borderId="27" xfId="0" applyFont="1" applyBorder="1" applyAlignment="1">
      <alignment horizontal="left"/>
    </xf>
    <xf numFmtId="0" fontId="13" fillId="0" borderId="13" xfId="0" applyFont="1" applyBorder="1" applyAlignment="1">
      <alignment horizontal="left"/>
    </xf>
    <xf numFmtId="0" fontId="13" fillId="0" borderId="38" xfId="0" applyFont="1" applyBorder="1" applyAlignment="1">
      <alignment horizontal="left"/>
    </xf>
    <xf numFmtId="0" fontId="13" fillId="0" borderId="64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3" fillId="0" borderId="23" xfId="0" applyFont="1" applyBorder="1" applyAlignment="1">
      <alignment horizontal="left" vertical="center" wrapText="1"/>
    </xf>
    <xf numFmtId="0" fontId="13" fillId="0" borderId="24" xfId="0" applyFont="1" applyBorder="1" applyAlignment="1">
      <alignment horizontal="left" vertical="center" wrapText="1"/>
    </xf>
    <xf numFmtId="0" fontId="13" fillId="0" borderId="37" xfId="0" applyFont="1" applyBorder="1" applyAlignment="1">
      <alignment horizontal="left" vertical="center" wrapText="1"/>
    </xf>
    <xf numFmtId="0" fontId="10" fillId="0" borderId="29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0" fillId="0" borderId="39" xfId="0" applyFont="1" applyBorder="1" applyAlignment="1">
      <alignment horizontal="left" vertical="center" wrapText="1"/>
    </xf>
    <xf numFmtId="0" fontId="13" fillId="0" borderId="65" xfId="0" applyFont="1" applyBorder="1" applyAlignment="1">
      <alignment horizontal="left" vertical="center" wrapText="1"/>
    </xf>
    <xf numFmtId="0" fontId="13" fillId="0" borderId="62" xfId="0" applyFont="1" applyBorder="1" applyAlignment="1">
      <alignment horizontal="left" vertical="center" wrapText="1"/>
    </xf>
    <xf numFmtId="0" fontId="13" fillId="0" borderId="56" xfId="0" applyFont="1" applyBorder="1" applyAlignment="1">
      <alignment horizontal="left" vertical="center"/>
    </xf>
    <xf numFmtId="0" fontId="13" fillId="0" borderId="55" xfId="0" applyFont="1" applyBorder="1" applyAlignment="1">
      <alignment horizontal="left" vertical="center"/>
    </xf>
    <xf numFmtId="0" fontId="13" fillId="0" borderId="54" xfId="0" applyFont="1" applyBorder="1" applyAlignment="1">
      <alignment horizontal="left" vertical="center"/>
    </xf>
    <xf numFmtId="0" fontId="10" fillId="0" borderId="27" xfId="0" applyFont="1" applyBorder="1" applyAlignment="1">
      <alignment horizontal="left" vertical="center"/>
    </xf>
    <xf numFmtId="0" fontId="10" fillId="0" borderId="13" xfId="0" applyFont="1" applyBorder="1" applyAlignment="1">
      <alignment horizontal="left" vertical="center"/>
    </xf>
    <xf numFmtId="0" fontId="10" fillId="0" borderId="38" xfId="0" applyFont="1" applyBorder="1" applyAlignment="1">
      <alignment horizontal="left" vertical="center"/>
    </xf>
    <xf numFmtId="0" fontId="10" fillId="0" borderId="31" xfId="0" applyFont="1" applyBorder="1" applyAlignment="1">
      <alignment horizontal="left" vertical="center"/>
    </xf>
    <xf numFmtId="0" fontId="10" fillId="0" borderId="19" xfId="0" applyFont="1" applyBorder="1" applyAlignment="1">
      <alignment horizontal="left" vertical="center"/>
    </xf>
    <xf numFmtId="0" fontId="10" fillId="0" borderId="40" xfId="0" applyFont="1" applyBorder="1" applyAlignment="1">
      <alignment horizontal="left" vertical="center"/>
    </xf>
    <xf numFmtId="0" fontId="10" fillId="0" borderId="27" xfId="0" applyFont="1" applyBorder="1" applyAlignment="1">
      <alignment horizontal="left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38" xfId="0" applyFont="1" applyBorder="1" applyAlignment="1">
      <alignment horizontal="left" vertical="center" wrapText="1"/>
    </xf>
    <xf numFmtId="0" fontId="19" fillId="0" borderId="23" xfId="0" applyFont="1" applyBorder="1" applyAlignment="1">
      <alignment horizontal="left" vertical="center" wrapText="1"/>
    </xf>
    <xf numFmtId="0" fontId="19" fillId="0" borderId="24" xfId="0" applyFont="1" applyBorder="1" applyAlignment="1">
      <alignment horizontal="left" vertical="center" wrapText="1"/>
    </xf>
    <xf numFmtId="0" fontId="19" fillId="0" borderId="26" xfId="0" applyFont="1" applyBorder="1" applyAlignment="1">
      <alignment horizontal="left" vertical="center" wrapText="1"/>
    </xf>
    <xf numFmtId="0" fontId="67" fillId="0" borderId="0" xfId="0" applyFont="1" applyAlignment="1" applyProtection="1">
      <alignment horizontal="center" vertical="center" wrapText="1"/>
      <protection hidden="1"/>
    </xf>
    <xf numFmtId="2" fontId="59" fillId="0" borderId="31" xfId="7" applyNumberFormat="1" applyFont="1" applyBorder="1" applyAlignment="1" applyProtection="1">
      <alignment horizontal="left"/>
      <protection hidden="1"/>
    </xf>
    <xf numFmtId="2" fontId="59" fillId="0" borderId="19" xfId="7" applyNumberFormat="1" applyFont="1" applyBorder="1" applyAlignment="1" applyProtection="1">
      <alignment horizontal="left"/>
      <protection hidden="1"/>
    </xf>
    <xf numFmtId="0" fontId="73" fillId="0" borderId="0" xfId="8" applyFont="1" applyAlignment="1" applyProtection="1">
      <alignment horizontal="center"/>
      <protection hidden="1"/>
    </xf>
    <xf numFmtId="2" fontId="59" fillId="0" borderId="102" xfId="7" applyNumberFormat="1" applyFont="1" applyBorder="1" applyAlignment="1" applyProtection="1">
      <alignment horizontal="center" vertical="center" wrapText="1"/>
      <protection hidden="1"/>
    </xf>
    <xf numFmtId="2" fontId="59" fillId="0" borderId="20" xfId="7" applyNumberFormat="1" applyFont="1" applyBorder="1" applyAlignment="1" applyProtection="1">
      <alignment horizontal="center" vertical="center" wrapText="1"/>
      <protection hidden="1"/>
    </xf>
    <xf numFmtId="2" fontId="59" fillId="0" borderId="89" xfId="7" applyNumberFormat="1" applyFont="1" applyBorder="1" applyAlignment="1" applyProtection="1">
      <alignment horizontal="center" vertical="center" wrapText="1"/>
      <protection hidden="1"/>
    </xf>
    <xf numFmtId="2" fontId="59" fillId="0" borderId="102" xfId="7" applyNumberFormat="1" applyFont="1" applyBorder="1" applyAlignment="1" applyProtection="1">
      <alignment horizontal="center" vertical="center"/>
      <protection hidden="1"/>
    </xf>
    <xf numFmtId="2" fontId="59" fillId="0" borderId="20" xfId="7" applyNumberFormat="1" applyFont="1" applyBorder="1" applyAlignment="1" applyProtection="1">
      <alignment horizontal="center" vertical="center"/>
      <protection hidden="1"/>
    </xf>
    <xf numFmtId="2" fontId="59" fillId="0" borderId="89" xfId="7" applyNumberFormat="1" applyFont="1" applyBorder="1" applyAlignment="1" applyProtection="1">
      <alignment horizontal="center" vertical="center"/>
      <protection hidden="1"/>
    </xf>
    <xf numFmtId="2" fontId="59" fillId="0" borderId="23" xfId="7" applyNumberFormat="1" applyFont="1" applyBorder="1" applyAlignment="1" applyProtection="1">
      <alignment horizontal="right"/>
      <protection hidden="1"/>
    </xf>
    <xf numFmtId="2" fontId="59" fillId="0" borderId="24" xfId="7" applyNumberFormat="1" applyFont="1" applyBorder="1" applyAlignment="1" applyProtection="1">
      <alignment horizontal="right"/>
      <protection hidden="1"/>
    </xf>
    <xf numFmtId="2" fontId="71" fillId="13" borderId="24" xfId="7" applyNumberFormat="1" applyFont="1" applyFill="1" applyBorder="1" applyAlignment="1" applyProtection="1">
      <alignment horizontal="left"/>
      <protection locked="0" hidden="1"/>
    </xf>
    <xf numFmtId="2" fontId="68" fillId="0" borderId="111" xfId="7" applyNumberFormat="1" applyFont="1" applyBorder="1" applyAlignment="1" applyProtection="1">
      <alignment horizontal="left"/>
      <protection hidden="1"/>
    </xf>
    <xf numFmtId="2" fontId="68" fillId="0" borderId="105" xfId="7" applyNumberFormat="1" applyFont="1" applyBorder="1" applyAlignment="1" applyProtection="1">
      <alignment horizontal="left"/>
      <protection hidden="1"/>
    </xf>
    <xf numFmtId="174" fontId="62" fillId="0" borderId="24" xfId="8" applyNumberFormat="1" applyFont="1" applyBorder="1" applyAlignment="1" applyProtection="1">
      <alignment horizontal="left"/>
      <protection hidden="1"/>
    </xf>
    <xf numFmtId="2" fontId="59" fillId="0" borderId="109" xfId="7" applyNumberFormat="1" applyFont="1" applyBorder="1" applyAlignment="1" applyProtection="1">
      <alignment horizontal="center" vertical="center" wrapText="1"/>
      <protection hidden="1"/>
    </xf>
    <xf numFmtId="2" fontId="59" fillId="0" borderId="101" xfId="7" applyNumberFormat="1" applyFont="1" applyBorder="1" applyAlignment="1" applyProtection="1">
      <alignment horizontal="center" vertical="center" wrapText="1"/>
      <protection hidden="1"/>
    </xf>
    <xf numFmtId="2" fontId="59" fillId="0" borderId="29" xfId="7" applyNumberFormat="1" applyFont="1" applyBorder="1" applyAlignment="1" applyProtection="1">
      <alignment horizontal="center" vertical="center" wrapText="1"/>
      <protection hidden="1"/>
    </xf>
    <xf numFmtId="2" fontId="59" fillId="0" borderId="30" xfId="7" applyNumberFormat="1" applyFont="1" applyBorder="1" applyAlignment="1" applyProtection="1">
      <alignment horizontal="center" vertical="center" wrapText="1"/>
      <protection hidden="1"/>
    </xf>
    <xf numFmtId="2" fontId="59" fillId="0" borderId="31" xfId="7" applyNumberFormat="1" applyFont="1" applyBorder="1" applyAlignment="1" applyProtection="1">
      <alignment horizontal="center" vertical="center" wrapText="1"/>
      <protection hidden="1"/>
    </xf>
    <xf numFmtId="2" fontId="59" fillId="0" borderId="32" xfId="7" applyNumberFormat="1" applyFont="1" applyBorder="1" applyAlignment="1" applyProtection="1">
      <alignment horizontal="center" vertical="center" wrapText="1"/>
      <protection hidden="1"/>
    </xf>
    <xf numFmtId="2" fontId="68" fillId="0" borderId="113" xfId="7" applyNumberFormat="1" applyFont="1" applyBorder="1" applyAlignment="1" applyProtection="1">
      <alignment horizontal="left"/>
      <protection hidden="1"/>
    </xf>
    <xf numFmtId="2" fontId="68" fillId="0" borderId="114" xfId="7" applyNumberFormat="1" applyFont="1" applyBorder="1" applyAlignment="1" applyProtection="1">
      <alignment horizontal="left"/>
      <protection hidden="1"/>
    </xf>
    <xf numFmtId="2" fontId="68" fillId="23" borderId="42" xfId="7" applyNumberFormat="1" applyFont="1" applyFill="1" applyBorder="1" applyAlignment="1" applyProtection="1">
      <alignment horizontal="justify" vertical="center" wrapText="1"/>
      <protection hidden="1"/>
    </xf>
    <xf numFmtId="2" fontId="68" fillId="23" borderId="37" xfId="7" applyNumberFormat="1" applyFont="1" applyFill="1" applyBorder="1" applyAlignment="1" applyProtection="1">
      <alignment horizontal="justify" vertical="center" wrapText="1"/>
      <protection hidden="1"/>
    </xf>
    <xf numFmtId="0" fontId="60" fillId="0" borderId="65" xfId="0" applyFont="1" applyBorder="1" applyAlignment="1" applyProtection="1">
      <alignment horizontal="left" vertical="center" wrapText="1"/>
      <protection hidden="1"/>
    </xf>
    <xf numFmtId="0" fontId="60" fillId="0" borderId="62" xfId="0" applyFont="1" applyBorder="1" applyAlignment="1" applyProtection="1">
      <alignment horizontal="left" vertical="center" wrapText="1"/>
      <protection hidden="1"/>
    </xf>
    <xf numFmtId="0" fontId="58" fillId="0" borderId="29" xfId="0" applyFont="1" applyBorder="1" applyAlignment="1" applyProtection="1">
      <alignment horizontal="left" vertical="center"/>
      <protection hidden="1"/>
    </xf>
    <xf numFmtId="0" fontId="58" fillId="0" borderId="0" xfId="0" applyFont="1" applyAlignment="1" applyProtection="1">
      <alignment horizontal="left" vertical="center"/>
      <protection hidden="1"/>
    </xf>
    <xf numFmtId="0" fontId="58" fillId="0" borderId="39" xfId="0" applyFont="1" applyBorder="1" applyAlignment="1" applyProtection="1">
      <alignment horizontal="left" vertical="center"/>
      <protection hidden="1"/>
    </xf>
    <xf numFmtId="0" fontId="60" fillId="0" borderId="23" xfId="0" applyFont="1" applyBorder="1" applyAlignment="1" applyProtection="1">
      <alignment horizontal="left" vertical="center" wrapText="1"/>
      <protection hidden="1"/>
    </xf>
    <xf numFmtId="0" fontId="60" fillId="0" borderId="24" xfId="0" applyFont="1" applyBorder="1" applyAlignment="1" applyProtection="1">
      <alignment horizontal="left" vertical="center" wrapText="1"/>
      <protection hidden="1"/>
    </xf>
    <xf numFmtId="0" fontId="60" fillId="0" borderId="37" xfId="0" applyFont="1" applyBorder="1" applyAlignment="1" applyProtection="1">
      <alignment horizontal="left" vertical="center" wrapText="1"/>
      <protection hidden="1"/>
    </xf>
    <xf numFmtId="0" fontId="58" fillId="0" borderId="27" xfId="0" applyFont="1" applyBorder="1" applyAlignment="1" applyProtection="1">
      <alignment horizontal="left" vertical="center"/>
      <protection hidden="1"/>
    </xf>
    <xf numFmtId="0" fontId="58" fillId="0" borderId="13" xfId="0" applyFont="1" applyBorder="1" applyAlignment="1" applyProtection="1">
      <alignment horizontal="left" vertical="center"/>
      <protection hidden="1"/>
    </xf>
    <xf numFmtId="0" fontId="58" fillId="0" borderId="38" xfId="0" applyFont="1" applyBorder="1" applyAlignment="1" applyProtection="1">
      <alignment horizontal="left" vertical="center"/>
      <protection hidden="1"/>
    </xf>
    <xf numFmtId="0" fontId="58" fillId="0" borderId="31" xfId="0" applyFont="1" applyBorder="1" applyAlignment="1" applyProtection="1">
      <alignment horizontal="left" vertical="center"/>
      <protection hidden="1"/>
    </xf>
    <xf numFmtId="0" fontId="58" fillId="0" borderId="19" xfId="0" applyFont="1" applyBorder="1" applyAlignment="1" applyProtection="1">
      <alignment horizontal="left" vertical="center"/>
      <protection hidden="1"/>
    </xf>
    <xf numFmtId="0" fontId="58" fillId="0" borderId="40" xfId="0" applyFont="1" applyBorder="1" applyAlignment="1" applyProtection="1">
      <alignment horizontal="left" vertical="center"/>
      <protection hidden="1"/>
    </xf>
    <xf numFmtId="0" fontId="58" fillId="0" borderId="27" xfId="0" applyFont="1" applyBorder="1" applyAlignment="1" applyProtection="1">
      <alignment horizontal="left" vertical="center" wrapText="1"/>
      <protection hidden="1"/>
    </xf>
    <xf numFmtId="0" fontId="58" fillId="0" borderId="13" xfId="0" applyFont="1" applyBorder="1" applyAlignment="1" applyProtection="1">
      <alignment horizontal="left" vertical="center" wrapText="1"/>
      <protection hidden="1"/>
    </xf>
    <xf numFmtId="0" fontId="58" fillId="0" borderId="38" xfId="0" applyFont="1" applyBorder="1" applyAlignment="1" applyProtection="1">
      <alignment horizontal="left" vertical="center" wrapText="1"/>
      <protection hidden="1"/>
    </xf>
    <xf numFmtId="0" fontId="60" fillId="0" borderId="56" xfId="0" applyFont="1" applyBorder="1" applyAlignment="1" applyProtection="1">
      <alignment horizontal="left" vertical="center"/>
      <protection hidden="1"/>
    </xf>
    <xf numFmtId="0" fontId="60" fillId="0" borderId="55" xfId="0" applyFont="1" applyBorder="1" applyAlignment="1" applyProtection="1">
      <alignment horizontal="left" vertical="center"/>
      <protection hidden="1"/>
    </xf>
    <xf numFmtId="0" fontId="60" fillId="0" borderId="54" xfId="0" applyFont="1" applyBorder="1" applyAlignment="1" applyProtection="1">
      <alignment horizontal="left" vertical="center"/>
      <protection hidden="1"/>
    </xf>
    <xf numFmtId="0" fontId="67" fillId="0" borderId="0" xfId="0" applyFont="1" applyAlignment="1" applyProtection="1">
      <alignment horizontal="center" wrapText="1"/>
      <protection hidden="1"/>
    </xf>
    <xf numFmtId="0" fontId="67" fillId="0" borderId="0" xfId="0" applyFont="1" applyAlignment="1" applyProtection="1">
      <alignment horizontal="center"/>
      <protection hidden="1"/>
    </xf>
    <xf numFmtId="0" fontId="75" fillId="0" borderId="29" xfId="0" applyFont="1" applyBorder="1" applyAlignment="1" applyProtection="1">
      <alignment horizontal="left" vertical="center"/>
      <protection hidden="1"/>
    </xf>
    <xf numFmtId="0" fontId="75" fillId="0" borderId="0" xfId="0" applyFont="1" applyAlignment="1" applyProtection="1">
      <alignment horizontal="left" vertical="center"/>
      <protection hidden="1"/>
    </xf>
    <xf numFmtId="0" fontId="75" fillId="0" borderId="39" xfId="0" applyFont="1" applyBorder="1" applyAlignment="1" applyProtection="1">
      <alignment horizontal="left" vertical="center"/>
      <protection hidden="1"/>
    </xf>
    <xf numFmtId="0" fontId="56" fillId="13" borderId="69" xfId="2" applyFont="1" applyFill="1" applyBorder="1" applyAlignment="1">
      <alignment horizontal="center" vertical="center"/>
    </xf>
    <xf numFmtId="0" fontId="56" fillId="13" borderId="70" xfId="2" applyFont="1" applyFill="1" applyBorder="1" applyAlignment="1">
      <alignment horizontal="center" vertical="center"/>
    </xf>
    <xf numFmtId="0" fontId="56" fillId="13" borderId="71" xfId="2" applyFont="1" applyFill="1" applyBorder="1" applyAlignment="1">
      <alignment horizontal="center" vertical="center"/>
    </xf>
    <xf numFmtId="9" fontId="56" fillId="0" borderId="73" xfId="5" applyFont="1" applyFill="1" applyBorder="1" applyAlignment="1">
      <alignment horizontal="center"/>
    </xf>
    <xf numFmtId="9" fontId="56" fillId="0" borderId="74" xfId="5" applyFont="1" applyFill="1" applyBorder="1" applyAlignment="1">
      <alignment horizontal="center"/>
    </xf>
    <xf numFmtId="9" fontId="56" fillId="0" borderId="41" xfId="5" applyFont="1" applyFill="1" applyBorder="1" applyAlignment="1">
      <alignment horizontal="center"/>
    </xf>
    <xf numFmtId="0" fontId="54" fillId="0" borderId="1" xfId="2" applyFont="1" applyBorder="1" applyAlignment="1">
      <alignment horizontal="center" vertical="center"/>
    </xf>
    <xf numFmtId="0" fontId="54" fillId="0" borderId="77" xfId="2" applyFont="1" applyBorder="1" applyAlignment="1">
      <alignment horizontal="center" vertical="center"/>
    </xf>
    <xf numFmtId="0" fontId="71" fillId="0" borderId="0" xfId="2" applyFont="1" applyAlignment="1">
      <alignment horizontal="center" wrapText="1"/>
    </xf>
    <xf numFmtId="0" fontId="71" fillId="0" borderId="0" xfId="2" applyFont="1" applyAlignment="1">
      <alignment horizontal="center"/>
    </xf>
    <xf numFmtId="0" fontId="67" fillId="0" borderId="0" xfId="0" applyFont="1" applyAlignment="1">
      <alignment horizontal="center" wrapText="1"/>
    </xf>
    <xf numFmtId="0" fontId="67" fillId="0" borderId="0" xfId="0" applyFont="1" applyAlignment="1">
      <alignment horizontal="center"/>
    </xf>
    <xf numFmtId="0" fontId="65" fillId="11" borderId="72" xfId="0" applyFont="1" applyFill="1" applyBorder="1" applyAlignment="1">
      <alignment horizontal="center"/>
    </xf>
    <xf numFmtId="0" fontId="65" fillId="11" borderId="0" xfId="0" applyFont="1" applyFill="1" applyAlignment="1">
      <alignment horizontal="center"/>
    </xf>
    <xf numFmtId="0" fontId="65" fillId="11" borderId="21" xfId="0" applyFont="1" applyFill="1" applyBorder="1" applyAlignment="1">
      <alignment horizontal="center"/>
    </xf>
    <xf numFmtId="0" fontId="64" fillId="13" borderId="69" xfId="2" applyFont="1" applyFill="1" applyBorder="1" applyAlignment="1">
      <alignment horizontal="center" vertical="center"/>
    </xf>
    <xf numFmtId="0" fontId="64" fillId="13" borderId="70" xfId="2" applyFont="1" applyFill="1" applyBorder="1" applyAlignment="1">
      <alignment horizontal="center" vertical="center"/>
    </xf>
    <xf numFmtId="0" fontId="64" fillId="13" borderId="71" xfId="2" applyFont="1" applyFill="1" applyBorder="1" applyAlignment="1">
      <alignment horizontal="center" vertical="center"/>
    </xf>
    <xf numFmtId="0" fontId="38" fillId="0" borderId="65" xfId="0" applyFont="1" applyBorder="1" applyAlignment="1">
      <alignment horizontal="left" vertical="center" wrapText="1"/>
    </xf>
    <xf numFmtId="0" fontId="38" fillId="0" borderId="62" xfId="0" applyFont="1" applyBorder="1" applyAlignment="1">
      <alignment horizontal="left" vertical="center" wrapText="1"/>
    </xf>
    <xf numFmtId="0" fontId="27" fillId="0" borderId="2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39" xfId="0" applyFont="1" applyBorder="1" applyAlignment="1">
      <alignment horizontal="left" vertical="center"/>
    </xf>
    <xf numFmtId="0" fontId="38" fillId="0" borderId="56" xfId="0" applyFont="1" applyBorder="1" applyAlignment="1">
      <alignment horizontal="left" vertical="center"/>
    </xf>
    <xf numFmtId="0" fontId="38" fillId="0" borderId="55" xfId="0" applyFont="1" applyBorder="1" applyAlignment="1">
      <alignment horizontal="left" vertical="center"/>
    </xf>
    <xf numFmtId="0" fontId="38" fillId="0" borderId="54" xfId="0" applyFont="1" applyBorder="1" applyAlignment="1">
      <alignment horizontal="left" vertical="center"/>
    </xf>
    <xf numFmtId="0" fontId="27" fillId="0" borderId="27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38" xfId="0" applyFont="1" applyBorder="1" applyAlignment="1">
      <alignment horizontal="left" vertical="center"/>
    </xf>
    <xf numFmtId="0" fontId="32" fillId="0" borderId="86" xfId="0" applyFont="1" applyBorder="1" applyAlignment="1">
      <alignment horizontal="center" vertical="center" wrapText="1"/>
    </xf>
    <xf numFmtId="0" fontId="32" fillId="0" borderId="87" xfId="0" applyFont="1" applyBorder="1" applyAlignment="1">
      <alignment horizontal="center" vertical="center" wrapText="1"/>
    </xf>
    <xf numFmtId="0" fontId="32" fillId="0" borderId="88" xfId="0" applyFont="1" applyBorder="1" applyAlignment="1">
      <alignment horizontal="center" vertical="center" wrapText="1"/>
    </xf>
    <xf numFmtId="0" fontId="13" fillId="15" borderId="31" xfId="0" applyFont="1" applyFill="1" applyBorder="1" applyAlignment="1">
      <alignment horizontal="left" vertical="center" wrapText="1"/>
    </xf>
    <xf numFmtId="0" fontId="13" fillId="15" borderId="19" xfId="0" applyFont="1" applyFill="1" applyBorder="1" applyAlignment="1">
      <alignment horizontal="left" vertical="center" wrapText="1"/>
    </xf>
    <xf numFmtId="0" fontId="13" fillId="15" borderId="40" xfId="0" applyFont="1" applyFill="1" applyBorder="1" applyAlignment="1">
      <alignment horizontal="left" vertical="center" wrapText="1"/>
    </xf>
    <xf numFmtId="0" fontId="13" fillId="14" borderId="56" xfId="0" applyFont="1" applyFill="1" applyBorder="1" applyAlignment="1">
      <alignment horizontal="left" vertical="center"/>
    </xf>
    <xf numFmtId="0" fontId="13" fillId="14" borderId="55" xfId="0" applyFont="1" applyFill="1" applyBorder="1" applyAlignment="1">
      <alignment horizontal="left" vertical="center"/>
    </xf>
    <xf numFmtId="0" fontId="13" fillId="14" borderId="54" xfId="0" applyFont="1" applyFill="1" applyBorder="1" applyAlignment="1">
      <alignment horizontal="left" vertical="center"/>
    </xf>
    <xf numFmtId="0" fontId="13" fillId="11" borderId="27" xfId="0" applyFont="1" applyFill="1" applyBorder="1" applyAlignment="1">
      <alignment horizontal="left"/>
    </xf>
    <xf numFmtId="0" fontId="13" fillId="11" borderId="13" xfId="0" applyFont="1" applyFill="1" applyBorder="1" applyAlignment="1">
      <alignment horizontal="left"/>
    </xf>
    <xf numFmtId="0" fontId="13" fillId="11" borderId="38" xfId="0" applyFont="1" applyFill="1" applyBorder="1" applyAlignment="1">
      <alignment horizontal="left"/>
    </xf>
    <xf numFmtId="0" fontId="13" fillId="11" borderId="23" xfId="0" applyFont="1" applyFill="1" applyBorder="1" applyAlignment="1">
      <alignment horizontal="left" vertical="center" wrapText="1"/>
    </xf>
    <xf numFmtId="0" fontId="13" fillId="11" borderId="24" xfId="0" applyFont="1" applyFill="1" applyBorder="1" applyAlignment="1">
      <alignment horizontal="left" vertical="center" wrapText="1"/>
    </xf>
    <xf numFmtId="0" fontId="13" fillId="11" borderId="37" xfId="0" applyFont="1" applyFill="1" applyBorder="1" applyAlignment="1">
      <alignment horizontal="left" vertical="center" wrapText="1"/>
    </xf>
    <xf numFmtId="0" fontId="10" fillId="15" borderId="29" xfId="0" applyFont="1" applyFill="1" applyBorder="1" applyAlignment="1">
      <alignment horizontal="left" vertical="center"/>
    </xf>
    <xf numFmtId="0" fontId="10" fillId="15" borderId="0" xfId="0" applyFont="1" applyFill="1" applyAlignment="1">
      <alignment horizontal="left" vertical="center"/>
    </xf>
    <xf numFmtId="0" fontId="10" fillId="15" borderId="39" xfId="0" applyFont="1" applyFill="1" applyBorder="1" applyAlignment="1">
      <alignment horizontal="left" vertical="center"/>
    </xf>
    <xf numFmtId="0" fontId="10" fillId="15" borderId="27" xfId="0" applyFont="1" applyFill="1" applyBorder="1" applyAlignment="1">
      <alignment horizontal="left" vertical="center"/>
    </xf>
    <xf numFmtId="0" fontId="10" fillId="15" borderId="13" xfId="0" applyFont="1" applyFill="1" applyBorder="1" applyAlignment="1">
      <alignment horizontal="left" vertical="center"/>
    </xf>
    <xf numFmtId="0" fontId="10" fillId="15" borderId="38" xfId="0" applyFont="1" applyFill="1" applyBorder="1" applyAlignment="1">
      <alignment horizontal="left" vertical="center"/>
    </xf>
    <xf numFmtId="0" fontId="13" fillId="11" borderId="65" xfId="0" applyFont="1" applyFill="1" applyBorder="1" applyAlignment="1">
      <alignment horizontal="left" vertical="center" wrapText="1"/>
    </xf>
    <xf numFmtId="0" fontId="13" fillId="11" borderId="62" xfId="0" applyFont="1" applyFill="1" applyBorder="1" applyAlignment="1">
      <alignment horizontal="left" vertical="center" wrapText="1"/>
    </xf>
  </cellXfs>
  <cellStyles count="21">
    <cellStyle name="Moeda 2" xfId="6" xr:uid="{3B432A44-7CF8-48C7-B7CB-824F51386B4A}"/>
    <cellStyle name="Moeda 2 2" xfId="15" xr:uid="{964471C6-EFA5-4EC7-9644-BFEE6B7FAB20}"/>
    <cellStyle name="Normal" xfId="0" builtinId="0"/>
    <cellStyle name="Normal 2" xfId="2" xr:uid="{00000000-0005-0000-0000-000001000000}"/>
    <cellStyle name="Normal 2 2" xfId="20" xr:uid="{A5347B73-2095-4A72-BE29-10B7F5E40D8A}"/>
    <cellStyle name="Normal 3" xfId="17" xr:uid="{6B16C021-087A-46C1-93CB-F1F13356FE06}"/>
    <cellStyle name="Normal_Plan1" xfId="7" xr:uid="{58ABCB3E-8D1F-4854-B26C-8683307CD637}"/>
    <cellStyle name="Normal_PLANILHA - ORÇAMENTARIA - CASA DO MEL" xfId="8" xr:uid="{5DC009E9-5D4C-401A-B8EF-D2BB3AE6CCDE}"/>
    <cellStyle name="Porcentagem" xfId="4" builtinId="5"/>
    <cellStyle name="Porcentagem 2" xfId="5" xr:uid="{00000000-0005-0000-0000-000003000000}"/>
    <cellStyle name="Porcentagem 3" xfId="10" xr:uid="{E5907C66-C122-472D-9E8B-8E74A9EFD49B}"/>
    <cellStyle name="Porcentagem 3 2" xfId="19" xr:uid="{B5749345-E2FC-4AF4-93E1-DA837E2B1D45}"/>
    <cellStyle name="Porcentagem 4" xfId="9" xr:uid="{41CB4D93-7610-4B76-9A02-9792F63CE279}"/>
    <cellStyle name="Separador de milhares 2" xfId="11" xr:uid="{1D84C499-6B30-4D4F-8B8B-3FD40F519D33}"/>
    <cellStyle name="Separador de milhares 3" xfId="12" xr:uid="{440218E6-1CBF-41EA-B249-1A3BB655E912}"/>
    <cellStyle name="Separador de milhares 4" xfId="13" xr:uid="{4BE2499B-D0B1-4B42-9B2B-84B025CC7585}"/>
    <cellStyle name="Vírgula" xfId="1" builtinId="3"/>
    <cellStyle name="Vírgula 2" xfId="3" xr:uid="{00000000-0005-0000-0000-000005000000}"/>
    <cellStyle name="Vírgula 2 2" xfId="16" xr:uid="{F43E0433-4EC4-4B90-83F3-F8438C9CFA26}"/>
    <cellStyle name="Vírgula 3" xfId="18" xr:uid="{3D796F94-2E17-4AF3-BD8E-0A4DD122E286}"/>
    <cellStyle name="Vírgula 4" xfId="14" xr:uid="{5150CB76-F71B-47C3-A7B1-E132C1EB3BBA}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ill>
        <patternFill patternType="solid">
          <fgColor indexed="64"/>
          <bgColor theme="0"/>
        </patternFill>
      </fill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scheme val="none"/>
      </font>
      <fill>
        <patternFill patternType="solid">
          <fgColor indexed="64"/>
          <bgColor theme="5" tint="0.39997558519241921"/>
        </patternFill>
      </fill>
      <border diagonalUp="0" diagonalDown="0" outline="0">
        <left style="thin">
          <color rgb="FF996633"/>
        </left>
        <right style="thin">
          <color rgb="FF996633"/>
        </right>
        <top/>
        <bottom/>
      </border>
    </dxf>
    <dxf>
      <numFmt numFmtId="0" formatCode="General"/>
    </dxf>
    <dxf>
      <alignment horizontal="center" vertical="center" textRotation="0" wrapText="1" indent="0" justifyLastLine="0" shrinkToFit="0" readingOrder="0"/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numFmt numFmtId="0" formatCode="General"/>
    </dxf>
    <dxf>
      <numFmt numFmtId="2" formatCode="0.0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numFmt numFmtId="0" formatCode="General"/>
    </dxf>
  </dxfs>
  <tableStyles count="1" defaultTableStyle="TableStyleMedium2" defaultPivotStyle="PivotStyleLight16">
    <tableStyle name="Invisible" pivot="0" table="0" count="0" xr9:uid="{3B09FE46-86A2-4FB4-8DE0-90D6B5EE621E}"/>
  </tableStyles>
  <colors>
    <mruColors>
      <color rgb="FF130BB5"/>
      <color rgb="FF153357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image" Target="../media/image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2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_rels/vmlDrawing15.v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_rels/vmlDrawing17.v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_rels/vmlDrawing19.v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_rels/vmlDrawing2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_rels/vmlDrawing2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_rels/vmlDrawing24.v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_rels/vmlDrawing26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27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30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vmlDrawing3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0</xdr:colOff>
      <xdr:row>195</xdr:row>
      <xdr:rowOff>0</xdr:rowOff>
    </xdr:from>
    <xdr:ext cx="4221058" cy="1937657"/>
    <xdr:pic>
      <xdr:nvPicPr>
        <xdr:cNvPr id="2" name="Imagem 1">
          <a:extLst>
            <a:ext uri="{FF2B5EF4-FFF2-40B4-BE49-F238E27FC236}">
              <a16:creationId xmlns:a16="http://schemas.microsoft.com/office/drawing/2014/main" id="{5DD76404-88C8-4FF5-81A3-18D52F8EE9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11425" y="122464"/>
          <a:ext cx="4221058" cy="1937657"/>
        </a:xfrm>
        <a:prstGeom prst="rect">
          <a:avLst/>
        </a:prstGeom>
      </xdr:spPr>
    </xdr:pic>
    <xdr:clientData/>
  </xdr:oneCellAnchor>
  <xdr:oneCellAnchor>
    <xdr:from>
      <xdr:col>17</xdr:col>
      <xdr:colOff>122465</xdr:colOff>
      <xdr:row>205</xdr:row>
      <xdr:rowOff>54429</xdr:rowOff>
    </xdr:from>
    <xdr:ext cx="5826579" cy="2486718"/>
    <xdr:pic>
      <xdr:nvPicPr>
        <xdr:cNvPr id="3" name="Imagem 2">
          <a:extLst>
            <a:ext uri="{FF2B5EF4-FFF2-40B4-BE49-F238E27FC236}">
              <a16:creationId xmlns:a16="http://schemas.microsoft.com/office/drawing/2014/main" id="{8CF3DCFC-57CE-473E-A36D-270437A036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33890" y="2149929"/>
          <a:ext cx="5826579" cy="2486718"/>
        </a:xfrm>
        <a:prstGeom prst="rect">
          <a:avLst/>
        </a:prstGeom>
      </xdr:spPr>
    </xdr:pic>
    <xdr:clientData/>
  </xdr:oneCellAnchor>
  <xdr:oneCellAnchor>
    <xdr:from>
      <xdr:col>17</xdr:col>
      <xdr:colOff>285749</xdr:colOff>
      <xdr:row>221</xdr:row>
      <xdr:rowOff>81642</xdr:rowOff>
    </xdr:from>
    <xdr:ext cx="5103394" cy="2735420"/>
    <xdr:pic>
      <xdr:nvPicPr>
        <xdr:cNvPr id="4" name="Imagem 3">
          <a:extLst>
            <a:ext uri="{FF2B5EF4-FFF2-40B4-BE49-F238E27FC236}">
              <a16:creationId xmlns:a16="http://schemas.microsoft.com/office/drawing/2014/main" id="{F52501A5-B4C7-4BCC-9D1A-F35E04D057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97174" y="5225142"/>
          <a:ext cx="5103394" cy="2735420"/>
        </a:xfrm>
        <a:prstGeom prst="rect">
          <a:avLst/>
        </a:prstGeom>
      </xdr:spPr>
    </xdr:pic>
    <xdr:clientData/>
  </xdr:oneCellAnchor>
  <xdr:oneCellAnchor>
    <xdr:from>
      <xdr:col>28</xdr:col>
      <xdr:colOff>585107</xdr:colOff>
      <xdr:row>195</xdr:row>
      <xdr:rowOff>0</xdr:rowOff>
    </xdr:from>
    <xdr:ext cx="3682798" cy="3903765"/>
    <xdr:pic>
      <xdr:nvPicPr>
        <xdr:cNvPr id="5" name="Imagem 4">
          <a:extLst>
            <a:ext uri="{FF2B5EF4-FFF2-40B4-BE49-F238E27FC236}">
              <a16:creationId xmlns:a16="http://schemas.microsoft.com/office/drawing/2014/main" id="{3EC019EE-6583-45A7-9183-9C0066E412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92532" y="122465"/>
          <a:ext cx="3682798" cy="3903765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theus\Downloads\PLANILHA%20ORAAMENTARIA%201%20(3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LETIM DE MEDIÇÃO-COMPLETO"/>
      <sheetName val="Cronograma-Previsto-Executado"/>
      <sheetName val="Espelho-Hab"/>
      <sheetName val="Orçamento_Hab"/>
    </sheetNames>
    <sheetDataSet>
      <sheetData sheetId="0"/>
      <sheetData sheetId="1"/>
      <sheetData sheetId="2"/>
      <sheetData sheetId="3">
        <row r="9">
          <cell r="B9" t="str">
            <v>Cassilândia - MS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221C8B7-0B86-49CF-A9BA-806886D2A725}" name="Tabela5" displayName="Tabela5" ref="F2:G15" totalsRowShown="0">
  <autoFilter ref="F2:G15" xr:uid="{99B99B35-A7E6-4C1F-9EBF-701FE7994F18}"/>
  <sortState xmlns:xlrd2="http://schemas.microsoft.com/office/spreadsheetml/2017/richdata2" ref="F3:G15">
    <sortCondition ref="F2:F15"/>
  </sortState>
  <tableColumns count="2">
    <tableColumn id="1" xr3:uid="{BB01E09B-4EF5-4C77-9639-AA86F5AE415E}" name="FERRAMENTAS"/>
    <tableColumn id="2" xr3:uid="{C893832E-7E9C-4E1C-B98B-020583300BDD}" name="Quant." dataDxfId="17">
      <calculatedColumnFormula>ROUNDUP(SUMIF($B$3:$B$38,F3,$D$3:$D$38),0)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1C087F9-9D77-4F38-BC3D-D4A0E8D444E5}" name="Tabela6" displayName="Tabela6" ref="M2:N16" totalsRowShown="0">
  <autoFilter ref="M2:N16" xr:uid="{C19C1EA3-AE50-45AC-B8C3-DEEA154890EC}"/>
  <sortState xmlns:xlrd2="http://schemas.microsoft.com/office/spreadsheetml/2017/richdata2" ref="M3:N16">
    <sortCondition ref="M2:M16"/>
  </sortState>
  <tableColumns count="2">
    <tableColumn id="1" xr3:uid="{AE483508-BC5A-4E83-8839-2D643C056C14}" name="EPI'S" dataDxfId="16"/>
    <tableColumn id="2" xr3:uid="{A1C1CF8B-7422-4B2C-AA8B-0C3D3BF1F1BB}" name="Quant." dataDxfId="15">
      <calculatedColumnFormula>ROUNDUP(SUMIF($I$3:$I$73,M3,$K$3:$K$73),0)</calculatedColumnFormula>
    </tableColumn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A77559C1-0DF8-47C5-B91D-FB2F1DD5EDAE}" name="Tabela7" displayName="Tabela7" ref="S2:T11" totalsRowShown="0">
  <autoFilter ref="S2:T11" xr:uid="{E810709A-43EC-48E0-B8CC-470260ECF537}"/>
  <sortState xmlns:xlrd2="http://schemas.microsoft.com/office/spreadsheetml/2017/richdata2" ref="S3:T11">
    <sortCondition ref="S2:S11"/>
  </sortState>
  <tableColumns count="2">
    <tableColumn id="1" xr3:uid="{3CB225CD-AAA3-4148-AB15-661362DAD0D4}" name="VEÍCULOS"/>
    <tableColumn id="2" xr3:uid="{2C01E5BA-7419-49CC-B94E-8F2A076685EA}" name="Quant." dataDxfId="14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6539F127-440C-45EF-911B-49859901C556}" name="Tabela8" displayName="Tabela8" ref="Z2:AA7" totalsRowShown="0">
  <autoFilter ref="Z2:AA7" xr:uid="{BDC10819-7159-4D53-AF02-5DD4190368B7}"/>
  <sortState xmlns:xlrd2="http://schemas.microsoft.com/office/spreadsheetml/2017/richdata2" ref="Z3:AA7">
    <sortCondition ref="Z2:Z7"/>
  </sortState>
  <tableColumns count="2">
    <tableColumn id="1" xr3:uid="{B6E234BF-1AB3-4C42-A7C9-6957D8830628}" name="EPC's"/>
    <tableColumn id="2" xr3:uid="{26A7DA3F-93C9-46B9-8BC9-BB6099644D88}" name="Quant." dataDxfId="13">
      <calculatedColumnFormula>ROUNDUP(SUMIF($V$3:$V$22,Z3,$X$3:$X$22),0)</calculatedColumnFormula>
    </tableColumn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ela13" displayName="Tabela13" ref="B3:T41" totalsRowShown="0" headerRowDxfId="9">
  <autoFilter ref="B3:T41" xr:uid="{00000000-0009-0000-0100-000002000000}">
    <filterColumn colId="1">
      <filters>
        <filter val="Alíquota IPVA - Caminhão"/>
        <filter val="Alíquota IPVA - Motocicletas"/>
        <filter val="Alíquota IPVA - Utilitário"/>
        <filter val="Caçamba 10m³"/>
        <filter val="Caminhão Truck"/>
        <filter val="Trator Agrícola"/>
        <filter val="Utilitário"/>
      </filters>
    </filterColumn>
  </autoFilter>
  <sortState xmlns:xlrd2="http://schemas.microsoft.com/office/spreadsheetml/2017/richdata2" ref="B4:T38">
    <sortCondition ref="B3:B38"/>
  </sortState>
  <tableColumns count="19">
    <tableColumn id="13" xr3:uid="{00000000-0010-0000-0100-00000D000000}" name="Categoria"/>
    <tableColumn id="1" xr3:uid="{00000000-0010-0000-0100-000001000000}" name="Descrição"/>
    <tableColumn id="15" xr3:uid="{00000000-0010-0000-0100-00000F000000}" name="Modelo"/>
    <tableColumn id="3" xr3:uid="{00000000-0010-0000-0100-000003000000}" name="Valor de Aquisição" dataCellStyle="Vírgula"/>
    <tableColumn id="4" xr3:uid="{00000000-0010-0000-0100-000004000000}" name="Vida Útil" dataDxfId="8" dataCellStyle="Vírgula"/>
    <tableColumn id="14" xr3:uid="{00000000-0010-0000-0100-00000E000000}" name="Idade de Utilização"/>
    <tableColumn id="5" xr3:uid="{00000000-0010-0000-0100-000005000000}" name="Taxa de Valor Residual (%)" dataCellStyle="Porcentagem"/>
    <tableColumn id="16" xr3:uid="{00000000-0010-0000-0100-000010000000}" name="Potência (kWh)"/>
    <tableColumn id="2" xr3:uid="{00000000-0010-0000-0100-000002000000}" name="HTA"/>
    <tableColumn id="6" xr3:uid="{00000000-0010-0000-0100-000006000000}" name="Km/Mês"/>
    <tableColumn id="8" xr3:uid="{00000000-0010-0000-0100-000008000000}" name="Km/Ano"/>
    <tableColumn id="17" xr3:uid="{00000000-0010-0000-0100-000011000000}" name="Consumo Combustível Médio (L/KM)"/>
    <tableColumn id="18" xr3:uid="{00000000-0010-0000-0100-000012000000}" name="Coef. De Manutenção" dataCellStyle="Normal"/>
    <tableColumn id="7" xr3:uid="{00000000-0010-0000-0100-000007000000}" name="N° de Pneus"/>
    <tableColumn id="9" xr3:uid="{00000000-0010-0000-0100-000009000000}" name="Licenciamento" dataCellStyle="Vírgula"/>
    <tableColumn id="10" xr3:uid="{00000000-0010-0000-0100-00000A000000}" name="Seguro Obrigatório" dataCellStyle="Vírgula"/>
    <tableColumn id="11" xr3:uid="{00000000-0010-0000-0100-00000B000000}" name="Seguro Contra Terceiros " dataCellStyle="Vírgula"/>
    <tableColumn id="19" xr3:uid="{00000000-0010-0000-0100-000013000000}" name="Cotação (R$)" dataCellStyle="Vírgula"/>
    <tableColumn id="12" xr3:uid="{00000000-0010-0000-0100-00000C000000}" name="FONTE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B1:M95" totalsRowShown="0" headerRowDxfId="7" headerRowBorderDxfId="6">
  <autoFilter ref="B1:M95" xr:uid="{00000000-0009-0000-0100-000001000000}"/>
  <sortState xmlns:xlrd2="http://schemas.microsoft.com/office/spreadsheetml/2017/richdata2" ref="B6:M93">
    <sortCondition ref="B1:B95"/>
  </sortState>
  <tableColumns count="12">
    <tableColumn id="3" xr3:uid="{00000000-0010-0000-0000-000003000000}" name="CATEGORIA"/>
    <tableColumn id="1" xr3:uid="{00000000-0010-0000-0000-000001000000}" name="ITENS PARA ORÇAMENTO" dataDxfId="5"/>
    <tableColumn id="2" xr3:uid="{00000000-0010-0000-0000-000002000000}" name="modelo"/>
    <tableColumn id="4" xr3:uid="{00000000-0010-0000-0000-000004000000}" name="preço" dataDxfId="4" dataCellStyle="Vírgula"/>
    <tableColumn id="5" xr3:uid="{00000000-0010-0000-0000-000005000000}" name="preço1" dataDxfId="3" dataCellStyle="Vírgula"/>
    <tableColumn id="6" xr3:uid="{00000000-0010-0000-0000-000006000000}" name="preço2" dataDxfId="2" dataCellStyle="Vírgula"/>
    <tableColumn id="7" xr3:uid="{00000000-0010-0000-0000-000007000000}" name="preço3" dataDxfId="1" dataCellStyle="Vírgula"/>
    <tableColumn id="8" xr3:uid="{00000000-0010-0000-0000-000008000000}" name="preço4"/>
    <tableColumn id="9" xr3:uid="{00000000-0010-0000-0000-000009000000}" name="preço5"/>
    <tableColumn id="10" xr3:uid="{00000000-0010-0000-0000-00000A000000}" name="preço6"/>
    <tableColumn id="11" xr3:uid="{00000000-0010-0000-0000-00000B000000}" name="preço7"/>
    <tableColumn id="12" xr3:uid="{00000000-0010-0000-0000-00000C000000}" name="MEDIANA" dataDxfId="0" dataCellStyle="Vírgula">
      <calculatedColumnFormula>IFERROR(MEDIAN(E2:L2),"")</calculatedColumnFormula>
    </tableColumn>
  </tableColumns>
  <tableStyleInfo name="TableStyleLight10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ela3" displayName="Tabela3" ref="B2:G58" totalsRowShown="0">
  <autoFilter ref="B2:G58" xr:uid="{00000000-0009-0000-0100-000003000000}"/>
  <tableColumns count="6">
    <tableColumn id="1" xr3:uid="{00000000-0010-0000-0200-000001000000}" name="categoria"/>
    <tableColumn id="2" xr3:uid="{00000000-0010-0000-0200-000002000000}" name="descrição"/>
    <tableColumn id="3" xr3:uid="{00000000-0010-0000-0200-000003000000}" name="modelo"/>
    <tableColumn id="4" xr3:uid="{00000000-0010-0000-0200-000004000000}" name="Insalubridade" dataCellStyle="Vírgula"/>
    <tableColumn id="5" xr3:uid="{00000000-0010-0000-0200-000005000000}" name="valor"/>
    <tableColumn id="14" xr3:uid="{00000000-0010-0000-0200-00000E000000}" name="fon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5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3.v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2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6.v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16.bin"/><Relationship Id="rId4" Type="http://schemas.openxmlformats.org/officeDocument/2006/relationships/comments" Target="../comments13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17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18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0.v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19.bin"/><Relationship Id="rId4" Type="http://schemas.openxmlformats.org/officeDocument/2006/relationships/comments" Target="../comments15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2.v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20.bin"/><Relationship Id="rId5" Type="http://schemas.openxmlformats.org/officeDocument/2006/relationships/comments" Target="../comments16.xml"/><Relationship Id="rId4" Type="http://schemas.openxmlformats.org/officeDocument/2006/relationships/table" Target="../tables/table5.x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21.bin"/><Relationship Id="rId4" Type="http://schemas.openxmlformats.org/officeDocument/2006/relationships/comments" Target="../comments17.xm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H27"/>
  <sheetViews>
    <sheetView showGridLines="0" zoomScale="85" zoomScaleNormal="85" zoomScalePageLayoutView="80" workbookViewId="0">
      <selection activeCell="L193" sqref="L1:L1048576"/>
    </sheetView>
  </sheetViews>
  <sheetFormatPr defaultRowHeight="15"/>
  <cols>
    <col min="2" max="2" width="65.140625" customWidth="1"/>
    <col min="3" max="3" width="18.140625" customWidth="1"/>
    <col min="4" max="4" width="15.28515625" bestFit="1" customWidth="1"/>
    <col min="5" max="5" width="11.28515625" bestFit="1" customWidth="1"/>
    <col min="6" max="6" width="17.42578125" bestFit="1" customWidth="1"/>
    <col min="7" max="7" width="22.5703125" customWidth="1"/>
    <col min="8" max="8" width="15.7109375" bestFit="1" customWidth="1"/>
  </cols>
  <sheetData>
    <row r="3" spans="2:8" ht="21">
      <c r="B3" s="1397" t="s">
        <v>1023</v>
      </c>
      <c r="C3" s="1398"/>
      <c r="D3" s="1398"/>
      <c r="E3" s="1398"/>
      <c r="F3" s="1398"/>
      <c r="G3" s="1399"/>
    </row>
    <row r="4" spans="2:8" s="195" customFormat="1" ht="30">
      <c r="B4" s="271" t="s">
        <v>1345</v>
      </c>
      <c r="C4" s="272" t="s">
        <v>1015</v>
      </c>
      <c r="D4" s="272" t="s">
        <v>1016</v>
      </c>
      <c r="E4" s="272" t="s">
        <v>1017</v>
      </c>
      <c r="F4" s="272" t="s">
        <v>1018</v>
      </c>
      <c r="G4" s="273" t="s">
        <v>1019</v>
      </c>
      <c r="H4" s="936"/>
    </row>
    <row r="5" spans="2:8">
      <c r="B5" s="72" t="str">
        <f>'1.VARRICAO_MAN'!B2</f>
        <v>1) VARRIÇÃO MANUAL DE VIAS E LOGRADOUROS PÚBLICOS</v>
      </c>
      <c r="C5" s="84">
        <f>'1.VARRICAO_MAN'!E212</f>
        <v>1104.03</v>
      </c>
      <c r="D5" s="190" t="s">
        <v>1020</v>
      </c>
      <c r="E5" s="84">
        <f>'1.VARRICAO_MAN'!E213</f>
        <v>214.37</v>
      </c>
      <c r="F5" s="196">
        <f>'1.VARRICAO_MAN'!E208</f>
        <v>236681.59</v>
      </c>
      <c r="G5" s="85">
        <f t="shared" ref="G5:G10" si="0">F5*12</f>
        <v>2840179.08</v>
      </c>
    </row>
    <row r="6" spans="2:8">
      <c r="B6" s="73" t="s">
        <v>1254</v>
      </c>
      <c r="C6" s="63">
        <f>'2.ROC_MEC_CAP_RASP'!F618</f>
        <v>508028.47938670433</v>
      </c>
      <c r="D6" s="276" t="s">
        <v>863</v>
      </c>
      <c r="E6" s="63">
        <f>'2.ROC_MEC_CAP_RASP'!F619</f>
        <v>0.38</v>
      </c>
      <c r="F6" s="63">
        <f>'2.ROC_MEC_CAP_RASP'!F617</f>
        <v>197642.20268312001</v>
      </c>
      <c r="G6" s="64">
        <f t="shared" si="0"/>
        <v>2371706.4321974399</v>
      </c>
    </row>
    <row r="7" spans="2:8">
      <c r="B7" s="73" t="s">
        <v>1255</v>
      </c>
      <c r="C7" s="63">
        <f>'3.PINTURA_MEIO-FIO'!F240</f>
        <v>59405</v>
      </c>
      <c r="D7" s="276" t="s">
        <v>646</v>
      </c>
      <c r="E7" s="63">
        <f>'3.PINTURA_MEIO-FIO'!F241</f>
        <v>1.29</v>
      </c>
      <c r="F7" s="197">
        <f>'3.PINTURA_MEIO-FIO'!F236</f>
        <v>77044.929999999993</v>
      </c>
      <c r="G7" s="64">
        <f t="shared" si="0"/>
        <v>924539.15999999992</v>
      </c>
    </row>
    <row r="8" spans="2:8">
      <c r="B8" s="73" t="s">
        <v>1251</v>
      </c>
      <c r="C8" s="63">
        <f>'4.LIMP_EVENTOS'!F192</f>
        <v>327515.38020000001</v>
      </c>
      <c r="D8" s="276" t="s">
        <v>863</v>
      </c>
      <c r="E8" s="63">
        <f>'4.LIMP_EVENTOS'!F193</f>
        <v>0.11</v>
      </c>
      <c r="F8" s="197">
        <f>'4.LIMP_EVENTOS'!F188</f>
        <v>38560.67</v>
      </c>
      <c r="G8" s="64">
        <f t="shared" si="0"/>
        <v>462728.04</v>
      </c>
    </row>
    <row r="9" spans="2:8">
      <c r="B9" s="73" t="s">
        <v>1252</v>
      </c>
      <c r="C9" s="197">
        <v>1</v>
      </c>
      <c r="D9" s="276" t="s">
        <v>1344</v>
      </c>
      <c r="E9" s="63">
        <f>F9</f>
        <v>176935.37</v>
      </c>
      <c r="F9" s="197">
        <f>ANEXO_IIIa_COLETA_TRANSP_SEDE!F295</f>
        <v>176935.37</v>
      </c>
      <c r="G9" s="64">
        <f t="shared" si="0"/>
        <v>2123224.44</v>
      </c>
    </row>
    <row r="10" spans="2:8" ht="15.75" thickBot="1">
      <c r="B10" s="274" t="s">
        <v>1253</v>
      </c>
      <c r="C10" s="275">
        <v>0</v>
      </c>
      <c r="D10" s="895">
        <v>0</v>
      </c>
      <c r="E10" s="939">
        <v>0</v>
      </c>
      <c r="F10" s="937">
        <f>E10*C10</f>
        <v>0</v>
      </c>
      <c r="G10" s="938">
        <f t="shared" si="0"/>
        <v>0</v>
      </c>
    </row>
    <row r="11" spans="2:8" ht="15.75" thickBot="1">
      <c r="B11" s="201"/>
      <c r="C11" s="202"/>
      <c r="D11" s="202"/>
      <c r="E11" s="202" t="s">
        <v>238</v>
      </c>
      <c r="F11" s="203">
        <f>SUM(F5:F10)</f>
        <v>726864.76268311997</v>
      </c>
      <c r="G11" s="204">
        <f>SUM(G5:G10)</f>
        <v>8722377.1521974411</v>
      </c>
      <c r="H11" s="63"/>
    </row>
    <row r="12" spans="2:8">
      <c r="B12" s="504" t="s">
        <v>1346</v>
      </c>
    </row>
    <row r="14" spans="2:8">
      <c r="B14" s="779"/>
    </row>
    <row r="27" spans="4:4">
      <c r="D27" s="63"/>
    </row>
  </sheetData>
  <mergeCells count="1">
    <mergeCell ref="B3:G3"/>
  </mergeCells>
  <pageMargins left="0.78740157480314965" right="0.78740157480314965" top="1.1811023622047245" bottom="0.78740157480314965" header="0.31496062992125984" footer="0.31496062992125984"/>
  <pageSetup paperSize="9" scale="56" fitToHeight="0" orientation="portrait" r:id="rId1"/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FD853-1E61-4AC3-BA58-AC41E213E72B}">
  <dimension ref="B2:AA82"/>
  <sheetViews>
    <sheetView showGridLines="0" zoomScale="70" zoomScaleNormal="70" workbookViewId="0">
      <selection activeCell="V1" sqref="V1:X1048576"/>
    </sheetView>
  </sheetViews>
  <sheetFormatPr defaultRowHeight="15"/>
  <cols>
    <col min="2" max="2" width="35.7109375" hidden="1" customWidth="1"/>
    <col min="3" max="3" width="10.5703125" hidden="1" customWidth="1"/>
    <col min="4" max="4" width="11.5703125" hidden="1" customWidth="1"/>
    <col min="5" max="5" width="11.5703125" customWidth="1"/>
    <col min="6" max="6" width="39.5703125" bestFit="1" customWidth="1"/>
    <col min="7" max="7" width="11.5703125" customWidth="1"/>
    <col min="9" max="9" width="60.5703125" hidden="1" customWidth="1"/>
    <col min="10" max="11" width="0" hidden="1" customWidth="1"/>
    <col min="13" max="13" width="64" bestFit="1" customWidth="1"/>
    <col min="14" max="14" width="11.28515625" customWidth="1"/>
    <col min="16" max="17" width="0" hidden="1" customWidth="1"/>
    <col min="19" max="19" width="17.42578125" bestFit="1" customWidth="1"/>
    <col min="20" max="20" width="11.28515625" customWidth="1"/>
    <col min="22" max="24" width="9.140625" hidden="1" customWidth="1"/>
    <col min="26" max="26" width="33.85546875" bestFit="1" customWidth="1"/>
    <col min="27" max="27" width="11.28515625" customWidth="1"/>
  </cols>
  <sheetData>
    <row r="2" spans="2:27">
      <c r="C2" t="s">
        <v>1044</v>
      </c>
      <c r="D2" t="s">
        <v>1341</v>
      </c>
      <c r="F2" t="s">
        <v>894</v>
      </c>
      <c r="G2" t="s">
        <v>1343</v>
      </c>
      <c r="M2" t="s">
        <v>895</v>
      </c>
      <c r="N2" t="s">
        <v>1343</v>
      </c>
      <c r="P2" s="1400" t="s">
        <v>893</v>
      </c>
      <c r="Q2" s="1400"/>
      <c r="S2" t="s">
        <v>893</v>
      </c>
      <c r="T2" t="s">
        <v>1343</v>
      </c>
      <c r="Z2" t="s">
        <v>1161</v>
      </c>
      <c r="AA2" t="s">
        <v>1343</v>
      </c>
    </row>
    <row r="3" spans="2:27">
      <c r="B3" t="s">
        <v>241</v>
      </c>
      <c r="C3" s="63">
        <f>'1.VARRICAO_MAN'!H52</f>
        <v>40</v>
      </c>
      <c r="D3" s="63">
        <f>C3*12</f>
        <v>480</v>
      </c>
      <c r="E3" s="63"/>
      <c r="F3" t="s">
        <v>651</v>
      </c>
      <c r="G3">
        <f t="shared" ref="G3:G15" si="0">ROUNDUP(SUMIF($B$3:$B$38,F3,$D$3:$D$38),0)</f>
        <v>8</v>
      </c>
      <c r="I3" t="s">
        <v>566</v>
      </c>
      <c r="J3">
        <v>3.58</v>
      </c>
      <c r="K3">
        <f>J3*12</f>
        <v>42.96</v>
      </c>
      <c r="M3" t="s">
        <v>438</v>
      </c>
      <c r="N3">
        <f t="shared" ref="N3:N16" si="1">ROUNDUP(SUMIF($I$3:$I$73,M3,$K$3:$K$73),0)</f>
        <v>200</v>
      </c>
      <c r="P3" t="s">
        <v>240</v>
      </c>
      <c r="Q3" s="63">
        <f>'1.VARRICAO_MAN'!H60</f>
        <v>20</v>
      </c>
      <c r="S3" s="307" t="s">
        <v>728</v>
      </c>
      <c r="T3" s="19">
        <f>ANEXO_IIIa_COLETA_TRANSP_SEDE!H53</f>
        <v>2</v>
      </c>
      <c r="V3" t="s">
        <v>604</v>
      </c>
      <c r="W3" s="63">
        <f>'1.VARRICAO_MAN'!H78</f>
        <v>0.6</v>
      </c>
      <c r="X3" s="63">
        <f>W3*12</f>
        <v>7.1999999999999993</v>
      </c>
      <c r="Z3" t="s">
        <v>457</v>
      </c>
      <c r="AA3">
        <f>ROUNDUP(SUMIF($V$3:$V$22,Z3,$X$3:$X$22),0)</f>
        <v>13</v>
      </c>
    </row>
    <row r="4" spans="2:27">
      <c r="B4" t="s">
        <v>242</v>
      </c>
      <c r="C4" s="63">
        <f>'1.VARRICAO_MAN'!H53</f>
        <v>0</v>
      </c>
      <c r="D4" s="63">
        <f t="shared" ref="D4:D38" si="2">C4*12</f>
        <v>0</v>
      </c>
      <c r="E4" s="63"/>
      <c r="F4" t="s">
        <v>1320</v>
      </c>
      <c r="G4">
        <f t="shared" si="0"/>
        <v>22812</v>
      </c>
      <c r="I4" t="s">
        <v>887</v>
      </c>
      <c r="J4">
        <v>10.75</v>
      </c>
      <c r="K4">
        <f t="shared" ref="K4:K67" si="3">J4*12</f>
        <v>129</v>
      </c>
      <c r="M4" s="307" t="s">
        <v>504</v>
      </c>
      <c r="N4">
        <f t="shared" si="1"/>
        <v>10</v>
      </c>
      <c r="P4" s="307" t="s">
        <v>586</v>
      </c>
      <c r="Q4" s="63">
        <f>'2.ROC_MEC_CAP_RASP'!H47</f>
        <v>8</v>
      </c>
      <c r="S4" t="s">
        <v>240</v>
      </c>
      <c r="T4" s="19">
        <f>SUMIF($P$3:$P$9,S4,$Q$3:$Q$9)</f>
        <v>23</v>
      </c>
      <c r="V4" t="s">
        <v>1038</v>
      </c>
      <c r="W4" s="63">
        <f>'1.VARRICAO_MAN'!H79</f>
        <v>1.78</v>
      </c>
      <c r="X4" s="63">
        <f t="shared" ref="X4:X22" si="4">W4*12</f>
        <v>21.36</v>
      </c>
      <c r="Z4" t="s">
        <v>1181</v>
      </c>
      <c r="AA4">
        <f>ROUNDUP(SUMIF($V$3:$V$22,Z4,$X$3:$X$22),0)</f>
        <v>1</v>
      </c>
    </row>
    <row r="5" spans="2:27">
      <c r="B5" t="s">
        <v>562</v>
      </c>
      <c r="C5" s="63">
        <f>'1.VARRICAO_MAN'!H54</f>
        <v>0.08</v>
      </c>
      <c r="D5" s="63">
        <f t="shared" si="2"/>
        <v>0.96</v>
      </c>
      <c r="E5" s="63"/>
      <c r="F5" t="s">
        <v>425</v>
      </c>
      <c r="G5">
        <f t="shared" si="0"/>
        <v>14</v>
      </c>
      <c r="I5" t="s">
        <v>493</v>
      </c>
      <c r="J5">
        <v>10.75</v>
      </c>
      <c r="K5">
        <f t="shared" si="3"/>
        <v>129</v>
      </c>
      <c r="M5" t="s">
        <v>889</v>
      </c>
      <c r="N5">
        <f t="shared" si="1"/>
        <v>300</v>
      </c>
      <c r="P5" t="str">
        <f>'2.ROC_MEC_CAP_RASP'!B244</f>
        <v>Roçadeira costal</v>
      </c>
      <c r="Q5" s="63">
        <f>'2.ROC_MEC_CAP_RASP'!H244</f>
        <v>2</v>
      </c>
      <c r="S5" t="s">
        <v>589</v>
      </c>
      <c r="T5" s="19">
        <f>SUMIF($P$3:$P$9,S5,$Q$3:$Q$9)</f>
        <v>1</v>
      </c>
      <c r="V5" t="s">
        <v>604</v>
      </c>
      <c r="W5">
        <f>'2.ROC_MEC_CAP_RASP'!H68</f>
        <v>0.24</v>
      </c>
      <c r="X5" s="63">
        <f t="shared" si="4"/>
        <v>2.88</v>
      </c>
      <c r="Z5" t="s">
        <v>1038</v>
      </c>
      <c r="AA5">
        <f>ROUNDUP(SUMIF($V$3:$V$22,Z5,$X$3:$X$22),0)</f>
        <v>48</v>
      </c>
    </row>
    <row r="6" spans="2:27">
      <c r="B6" t="s">
        <v>243</v>
      </c>
      <c r="C6" s="63">
        <f>'1.VARRICAO_MAN'!H55</f>
        <v>10132</v>
      </c>
      <c r="D6" s="63">
        <f t="shared" si="2"/>
        <v>121584</v>
      </c>
      <c r="E6" s="63"/>
      <c r="F6" t="s">
        <v>429</v>
      </c>
      <c r="G6">
        <f t="shared" si="0"/>
        <v>28</v>
      </c>
      <c r="I6" t="s">
        <v>438</v>
      </c>
      <c r="J6">
        <v>7.16</v>
      </c>
      <c r="K6">
        <f t="shared" si="3"/>
        <v>85.92</v>
      </c>
      <c r="M6" t="s">
        <v>887</v>
      </c>
      <c r="N6">
        <f t="shared" si="1"/>
        <v>300</v>
      </c>
      <c r="P6" t="str">
        <f>'2.ROC_MEC_CAP_RASP'!B245</f>
        <v>Mini trator</v>
      </c>
      <c r="Q6" s="63">
        <f>'2.ROC_MEC_CAP_RASP'!H245</f>
        <v>1</v>
      </c>
      <c r="S6" t="s">
        <v>1089</v>
      </c>
      <c r="T6" s="19">
        <f>'6.ADM'!H57</f>
        <v>1</v>
      </c>
      <c r="V6" t="s">
        <v>638</v>
      </c>
      <c r="W6">
        <f>'2.ROC_MEC_CAP_RASP'!H69</f>
        <v>0.66</v>
      </c>
      <c r="X6" s="63">
        <f t="shared" si="4"/>
        <v>7.92</v>
      </c>
      <c r="Z6" t="s">
        <v>604</v>
      </c>
      <c r="AA6">
        <f>ROUNDUP(SUMIF($V$3:$V$22,Z6,$X$3:$X$22),0)</f>
        <v>26</v>
      </c>
    </row>
    <row r="7" spans="2:27">
      <c r="B7" s="307" t="s">
        <v>425</v>
      </c>
      <c r="C7" s="63">
        <f>'2.ROC_MEC_CAP_RASP'!H35</f>
        <v>0.67</v>
      </c>
      <c r="D7" s="63">
        <f t="shared" si="2"/>
        <v>8.0400000000000009</v>
      </c>
      <c r="E7" s="63"/>
      <c r="F7" t="s">
        <v>428</v>
      </c>
      <c r="G7">
        <f t="shared" si="0"/>
        <v>1</v>
      </c>
      <c r="I7" t="s">
        <v>889</v>
      </c>
      <c r="J7">
        <v>10.75</v>
      </c>
      <c r="K7">
        <f t="shared" si="3"/>
        <v>129</v>
      </c>
      <c r="M7" t="s">
        <v>493</v>
      </c>
      <c r="N7">
        <f t="shared" si="1"/>
        <v>300</v>
      </c>
      <c r="P7" t="s">
        <v>1342</v>
      </c>
      <c r="Q7" s="19">
        <f>'3.PINTURA_MEIO-FIO'!H37</f>
        <v>1</v>
      </c>
      <c r="S7" t="s">
        <v>1087</v>
      </c>
      <c r="T7" s="19">
        <f>'6.ADM'!H55</f>
        <v>1</v>
      </c>
      <c r="V7" t="s">
        <v>1038</v>
      </c>
      <c r="W7">
        <f>'2.ROC_MEC_CAP_RASP'!H70</f>
        <v>0.35</v>
      </c>
      <c r="X7" s="63">
        <f t="shared" si="4"/>
        <v>4.1999999999999993</v>
      </c>
      <c r="Z7" t="s">
        <v>638</v>
      </c>
      <c r="AA7">
        <f>ROUNDUP(SUMIF($V$3:$V$22,Z7,$X$3:$X$22),0)</f>
        <v>10</v>
      </c>
    </row>
    <row r="8" spans="2:27">
      <c r="B8" s="307" t="s">
        <v>429</v>
      </c>
      <c r="C8" s="63">
        <f>'2.ROC_MEC_CAP_RASP'!H36</f>
        <v>0</v>
      </c>
      <c r="D8" s="63">
        <f t="shared" si="2"/>
        <v>0</v>
      </c>
      <c r="E8" s="63"/>
      <c r="F8" t="s">
        <v>562</v>
      </c>
      <c r="G8">
        <f t="shared" si="0"/>
        <v>23</v>
      </c>
      <c r="I8" t="s">
        <v>496</v>
      </c>
      <c r="J8">
        <v>7.16</v>
      </c>
      <c r="K8">
        <f t="shared" si="3"/>
        <v>85.92</v>
      </c>
      <c r="M8" t="s">
        <v>496</v>
      </c>
      <c r="N8">
        <f t="shared" si="1"/>
        <v>200</v>
      </c>
      <c r="P8" t="s">
        <v>649</v>
      </c>
      <c r="Q8" s="19">
        <f>'3.PINTURA_MEIO-FIO'!H38</f>
        <v>1</v>
      </c>
      <c r="S8" t="s">
        <v>649</v>
      </c>
      <c r="T8" s="19">
        <f>SUMIF($P$3:$P$9,S8,$Q$3:$Q$9)</f>
        <v>1</v>
      </c>
      <c r="V8" t="s">
        <v>457</v>
      </c>
      <c r="W8">
        <f>'2.ROC_MEC_CAP_RASP'!H71</f>
        <v>0.04</v>
      </c>
      <c r="X8" s="63">
        <f t="shared" si="4"/>
        <v>0.48</v>
      </c>
    </row>
    <row r="9" spans="2:27">
      <c r="B9" s="307" t="s">
        <v>428</v>
      </c>
      <c r="C9" s="63">
        <f>'2.ROC_MEC_CAP_RASP'!H37</f>
        <v>0</v>
      </c>
      <c r="D9" s="63">
        <f t="shared" si="2"/>
        <v>0</v>
      </c>
      <c r="E9" s="63"/>
      <c r="F9" t="s">
        <v>581</v>
      </c>
      <c r="G9">
        <f t="shared" si="0"/>
        <v>10</v>
      </c>
      <c r="I9" t="s">
        <v>497</v>
      </c>
      <c r="J9">
        <v>7.16</v>
      </c>
      <c r="K9">
        <f t="shared" si="3"/>
        <v>85.92</v>
      </c>
      <c r="M9" t="s">
        <v>497</v>
      </c>
      <c r="N9">
        <f t="shared" si="1"/>
        <v>200</v>
      </c>
      <c r="P9" t="s">
        <v>240</v>
      </c>
      <c r="Q9" s="63">
        <f>'4.LIMP_EVENTOS'!H39</f>
        <v>3</v>
      </c>
      <c r="S9" t="s">
        <v>586</v>
      </c>
      <c r="T9" s="19">
        <f>SUMIF($P$3:$P$9,S9,$Q$3:$Q$9)</f>
        <v>10</v>
      </c>
      <c r="V9" t="s">
        <v>1181</v>
      </c>
      <c r="W9">
        <f>'2.ROC_MEC_CAP_RASP'!H72</f>
        <v>0.04</v>
      </c>
      <c r="X9" s="63">
        <f t="shared" si="4"/>
        <v>0.48</v>
      </c>
    </row>
    <row r="10" spans="2:27">
      <c r="B10" s="307" t="s">
        <v>581</v>
      </c>
      <c r="C10" s="63">
        <f>'2.ROC_MEC_CAP_RASP'!H38</f>
        <v>0.67</v>
      </c>
      <c r="D10" s="63">
        <f t="shared" si="2"/>
        <v>8.0400000000000009</v>
      </c>
      <c r="E10" s="63"/>
      <c r="F10" t="s">
        <v>582</v>
      </c>
      <c r="G10">
        <f t="shared" si="0"/>
        <v>4</v>
      </c>
      <c r="I10" t="s">
        <v>888</v>
      </c>
      <c r="J10">
        <v>28.66</v>
      </c>
      <c r="K10">
        <f t="shared" si="3"/>
        <v>343.92</v>
      </c>
      <c r="M10" t="s">
        <v>566</v>
      </c>
      <c r="N10">
        <f t="shared" si="1"/>
        <v>83</v>
      </c>
      <c r="S10" t="s">
        <v>1342</v>
      </c>
      <c r="T10" s="19">
        <f>SUMIF($P$3:$P$9,S10,$Q$3:$Q$9)</f>
        <v>1</v>
      </c>
      <c r="V10" s="370" t="s">
        <v>604</v>
      </c>
      <c r="W10" s="63">
        <f>'2.ROC_MEC_CAP_RASP'!H267</f>
        <v>0.12</v>
      </c>
      <c r="X10" s="63">
        <f t="shared" si="4"/>
        <v>1.44</v>
      </c>
    </row>
    <row r="11" spans="2:27">
      <c r="B11" s="307" t="s">
        <v>423</v>
      </c>
      <c r="C11" s="63">
        <f>'2.ROC_MEC_CAP_RASP'!H39</f>
        <v>0.67</v>
      </c>
      <c r="D11" s="63">
        <f t="shared" si="2"/>
        <v>8.0400000000000009</v>
      </c>
      <c r="E11" s="63"/>
      <c r="F11" t="s">
        <v>243</v>
      </c>
      <c r="G11">
        <f t="shared" si="0"/>
        <v>209733</v>
      </c>
      <c r="I11" t="s">
        <v>499</v>
      </c>
      <c r="J11">
        <v>43</v>
      </c>
      <c r="K11">
        <f t="shared" si="3"/>
        <v>516</v>
      </c>
      <c r="M11" s="307" t="s">
        <v>587</v>
      </c>
      <c r="N11">
        <f t="shared" si="1"/>
        <v>17</v>
      </c>
      <c r="S11" t="s">
        <v>1088</v>
      </c>
      <c r="T11" s="19">
        <f>'6.ADM'!H56</f>
        <v>1</v>
      </c>
      <c r="V11" s="307" t="s">
        <v>638</v>
      </c>
      <c r="W11" s="63">
        <f>'2.ROC_MEC_CAP_RASP'!H268</f>
        <v>0.17</v>
      </c>
      <c r="X11" s="63">
        <f t="shared" si="4"/>
        <v>2.04</v>
      </c>
    </row>
    <row r="12" spans="2:27">
      <c r="B12" s="307" t="s">
        <v>427</v>
      </c>
      <c r="C12" s="63">
        <f>'2.ROC_MEC_CAP_RASP'!H40</f>
        <v>2</v>
      </c>
      <c r="D12" s="63">
        <f t="shared" si="2"/>
        <v>24</v>
      </c>
      <c r="E12" s="63"/>
      <c r="F12" t="s">
        <v>647</v>
      </c>
      <c r="G12">
        <f t="shared" si="0"/>
        <v>8</v>
      </c>
      <c r="I12" s="307" t="s">
        <v>587</v>
      </c>
      <c r="J12" s="307">
        <v>1.41</v>
      </c>
      <c r="K12">
        <f t="shared" si="3"/>
        <v>16.919999999999998</v>
      </c>
      <c r="M12" t="s">
        <v>888</v>
      </c>
      <c r="N12">
        <f t="shared" si="1"/>
        <v>800</v>
      </c>
      <c r="V12" s="307" t="s">
        <v>1038</v>
      </c>
      <c r="W12" s="63">
        <f>'2.ROC_MEC_CAP_RASP'!H269</f>
        <v>0.09</v>
      </c>
      <c r="X12" s="63">
        <f t="shared" si="4"/>
        <v>1.08</v>
      </c>
    </row>
    <row r="13" spans="2:27">
      <c r="B13" s="307" t="s">
        <v>243</v>
      </c>
      <c r="C13" s="63">
        <f>'2.ROC_MEC_CAP_RASP'!H41</f>
        <v>4052.8</v>
      </c>
      <c r="D13" s="63">
        <f t="shared" si="2"/>
        <v>48633.600000000006</v>
      </c>
      <c r="E13" s="63"/>
      <c r="F13" t="s">
        <v>648</v>
      </c>
      <c r="G13">
        <f t="shared" si="0"/>
        <v>4</v>
      </c>
      <c r="I13" s="307" t="s">
        <v>492</v>
      </c>
      <c r="J13" s="307">
        <v>4.25</v>
      </c>
      <c r="K13">
        <f t="shared" si="3"/>
        <v>51</v>
      </c>
      <c r="M13" s="370" t="s">
        <v>590</v>
      </c>
      <c r="N13">
        <f t="shared" si="1"/>
        <v>2</v>
      </c>
      <c r="V13" s="307" t="s">
        <v>1181</v>
      </c>
      <c r="W13" s="63">
        <f>'2.ROC_MEC_CAP_RASP'!H270</f>
        <v>0.01</v>
      </c>
      <c r="X13" s="63">
        <f t="shared" si="4"/>
        <v>0.12</v>
      </c>
    </row>
    <row r="14" spans="2:27" ht="15" customHeight="1">
      <c r="B14" s="307" t="s">
        <v>582</v>
      </c>
      <c r="C14" s="63">
        <f>'2.ROC_MEC_CAP_RASP'!H42</f>
        <v>0.24</v>
      </c>
      <c r="D14" s="63">
        <f t="shared" si="2"/>
        <v>2.88</v>
      </c>
      <c r="E14" s="63"/>
      <c r="F14" t="s">
        <v>242</v>
      </c>
      <c r="G14">
        <f t="shared" si="0"/>
        <v>53</v>
      </c>
      <c r="I14" s="933" t="s">
        <v>493</v>
      </c>
      <c r="J14" s="933">
        <v>4.25</v>
      </c>
      <c r="K14">
        <f t="shared" si="3"/>
        <v>51</v>
      </c>
      <c r="M14" s="307" t="s">
        <v>503</v>
      </c>
      <c r="N14">
        <f t="shared" si="1"/>
        <v>11</v>
      </c>
      <c r="V14" t="s">
        <v>604</v>
      </c>
      <c r="W14" s="19">
        <f>'2.ROC_MEC_CAP_RASP'!H496</f>
        <v>0.13</v>
      </c>
      <c r="X14" s="63">
        <f t="shared" si="4"/>
        <v>1.56</v>
      </c>
    </row>
    <row r="15" spans="2:27" ht="15" customHeight="1">
      <c r="B15" s="370" t="s">
        <v>651</v>
      </c>
      <c r="C15" s="375">
        <f>'3.PINTURA_MEIO-FIO'!H29</f>
        <v>0.66</v>
      </c>
      <c r="D15" s="63">
        <f t="shared" si="2"/>
        <v>7.92</v>
      </c>
      <c r="E15" s="63"/>
      <c r="F15" t="s">
        <v>241</v>
      </c>
      <c r="G15">
        <f t="shared" si="0"/>
        <v>613</v>
      </c>
      <c r="I15" s="307" t="s">
        <v>494</v>
      </c>
      <c r="J15" s="307">
        <v>2.83</v>
      </c>
      <c r="K15">
        <f t="shared" si="3"/>
        <v>33.96</v>
      </c>
      <c r="M15" s="307" t="s">
        <v>591</v>
      </c>
      <c r="N15">
        <f t="shared" si="1"/>
        <v>11</v>
      </c>
      <c r="V15" t="s">
        <v>604</v>
      </c>
      <c r="W15" s="63">
        <f>'3.PINTURA_MEIO-FIO'!H57</f>
        <v>0.13</v>
      </c>
      <c r="X15" s="63">
        <f t="shared" si="4"/>
        <v>1.56</v>
      </c>
    </row>
    <row r="16" spans="2:27" ht="15" customHeight="1">
      <c r="B16" s="370" t="s">
        <v>647</v>
      </c>
      <c r="C16" s="375">
        <f>'3.PINTURA_MEIO-FIO'!H30</f>
        <v>0.66</v>
      </c>
      <c r="D16" s="63">
        <f t="shared" si="2"/>
        <v>7.92</v>
      </c>
      <c r="E16" s="63"/>
      <c r="F16" s="63"/>
      <c r="G16" s="63"/>
      <c r="I16" s="933" t="s">
        <v>502</v>
      </c>
      <c r="J16" s="933">
        <v>4.25</v>
      </c>
      <c r="K16">
        <f t="shared" si="3"/>
        <v>51</v>
      </c>
      <c r="M16" t="s">
        <v>499</v>
      </c>
      <c r="N16">
        <f t="shared" si="1"/>
        <v>1200</v>
      </c>
      <c r="V16" t="s">
        <v>1038</v>
      </c>
      <c r="W16" s="63">
        <f>'3.PINTURA_MEIO-FIO'!H58</f>
        <v>0.35</v>
      </c>
      <c r="X16" s="63">
        <f t="shared" si="4"/>
        <v>4.1999999999999993</v>
      </c>
    </row>
    <row r="17" spans="2:24">
      <c r="B17" s="370" t="s">
        <v>648</v>
      </c>
      <c r="C17" s="375">
        <f>'3.PINTURA_MEIO-FIO'!H31</f>
        <v>0.33</v>
      </c>
      <c r="D17" s="63">
        <f t="shared" si="2"/>
        <v>3.96</v>
      </c>
      <c r="E17" s="63"/>
      <c r="F17" s="63"/>
      <c r="G17" s="63"/>
      <c r="I17" s="307" t="s">
        <v>496</v>
      </c>
      <c r="J17" s="307">
        <v>2.83</v>
      </c>
      <c r="K17">
        <f t="shared" si="3"/>
        <v>33.96</v>
      </c>
      <c r="V17" t="s">
        <v>604</v>
      </c>
      <c r="W17" s="63">
        <f>'4.LIMP_EVENTOS'!H57</f>
        <v>0.09</v>
      </c>
      <c r="X17" s="63">
        <f t="shared" si="4"/>
        <v>1.08</v>
      </c>
    </row>
    <row r="18" spans="2:24">
      <c r="B18" s="370" t="s">
        <v>1320</v>
      </c>
      <c r="C18" s="375">
        <f>'3.PINTURA_MEIO-FIO'!H32</f>
        <v>1900.96</v>
      </c>
      <c r="D18" s="63">
        <f t="shared" si="2"/>
        <v>22811.52</v>
      </c>
      <c r="E18" s="63"/>
      <c r="F18" s="63"/>
      <c r="G18" s="63"/>
      <c r="I18" s="307" t="s">
        <v>497</v>
      </c>
      <c r="J18" s="307">
        <v>2.83</v>
      </c>
      <c r="K18">
        <f t="shared" si="3"/>
        <v>33.96</v>
      </c>
      <c r="V18" t="s">
        <v>1038</v>
      </c>
      <c r="W18" s="63">
        <f>'4.LIMP_EVENTOS'!H58</f>
        <v>0.26</v>
      </c>
      <c r="X18" s="63">
        <f t="shared" si="4"/>
        <v>3.12</v>
      </c>
    </row>
    <row r="19" spans="2:24">
      <c r="B19" t="s">
        <v>423</v>
      </c>
      <c r="C19" s="63">
        <f>'4.LIMP_EVENTOS'!H31</f>
        <v>6</v>
      </c>
      <c r="D19" s="63">
        <f t="shared" si="2"/>
        <v>72</v>
      </c>
      <c r="E19" s="63"/>
      <c r="F19" s="63"/>
      <c r="G19" s="63"/>
      <c r="I19" s="307" t="s">
        <v>498</v>
      </c>
      <c r="J19" s="307">
        <v>11.33</v>
      </c>
      <c r="K19">
        <f t="shared" si="3"/>
        <v>135.96</v>
      </c>
      <c r="V19" t="s">
        <v>604</v>
      </c>
      <c r="W19" s="63">
        <f>ANEXO_IIIa_COLETA_TRANSP_SEDE!H46</f>
        <v>0.83</v>
      </c>
      <c r="X19" s="63">
        <f t="shared" si="4"/>
        <v>9.9599999999999991</v>
      </c>
    </row>
    <row r="20" spans="2:24">
      <c r="B20" t="s">
        <v>427</v>
      </c>
      <c r="C20" s="63">
        <f>'4.LIMP_EVENTOS'!H32</f>
        <v>0</v>
      </c>
      <c r="D20" s="63">
        <f t="shared" si="2"/>
        <v>0</v>
      </c>
      <c r="E20" s="63"/>
      <c r="F20" s="63"/>
      <c r="G20" s="63"/>
      <c r="I20" s="307" t="s">
        <v>499</v>
      </c>
      <c r="J20" s="307">
        <v>17</v>
      </c>
      <c r="K20">
        <f t="shared" si="3"/>
        <v>204</v>
      </c>
      <c r="V20" t="s">
        <v>1038</v>
      </c>
      <c r="W20" s="63">
        <f>ANEXO_IIIa_COLETA_TRANSP_SEDE!H47</f>
        <v>1</v>
      </c>
      <c r="X20" s="63">
        <f t="shared" si="4"/>
        <v>12</v>
      </c>
    </row>
    <row r="21" spans="2:24">
      <c r="B21" t="s">
        <v>597</v>
      </c>
      <c r="C21" s="63">
        <f>'4.LIMP_EVENTOS'!H33</f>
        <v>0.08</v>
      </c>
      <c r="D21" s="63">
        <f t="shared" si="2"/>
        <v>0.96</v>
      </c>
      <c r="E21" s="63"/>
      <c r="F21" s="63"/>
      <c r="G21" s="63"/>
      <c r="I21" s="307" t="s">
        <v>503</v>
      </c>
      <c r="J21" s="307">
        <v>0.66</v>
      </c>
      <c r="K21">
        <f t="shared" si="3"/>
        <v>7.92</v>
      </c>
      <c r="V21" t="s">
        <v>457</v>
      </c>
      <c r="W21" s="63">
        <f>ANEXO_IIIa_COLETA_TRANSP_SEDE!H48</f>
        <v>1</v>
      </c>
      <c r="X21" s="63">
        <f t="shared" si="4"/>
        <v>12</v>
      </c>
    </row>
    <row r="22" spans="2:24">
      <c r="B22" t="s">
        <v>698</v>
      </c>
      <c r="C22" s="63">
        <f>'4.LIMP_EVENTOS'!H34</f>
        <v>1519.8</v>
      </c>
      <c r="D22" s="63">
        <f t="shared" si="2"/>
        <v>18237.599999999999</v>
      </c>
      <c r="E22" s="63"/>
      <c r="F22" s="63"/>
      <c r="G22" s="63"/>
      <c r="I22" s="307" t="s">
        <v>591</v>
      </c>
      <c r="J22" s="307">
        <v>0.66</v>
      </c>
      <c r="K22">
        <f t="shared" si="3"/>
        <v>7.92</v>
      </c>
      <c r="V22" t="s">
        <v>1038</v>
      </c>
      <c r="W22" s="63">
        <f>'6.ADM'!H50</f>
        <v>0.16666666666666666</v>
      </c>
      <c r="X22" s="63">
        <f t="shared" si="4"/>
        <v>2</v>
      </c>
    </row>
    <row r="23" spans="2:24">
      <c r="B23" s="307" t="s">
        <v>423</v>
      </c>
      <c r="C23" s="63">
        <f>ANEXO_IIIa_COLETA_TRANSP_SEDE!H32</f>
        <v>2</v>
      </c>
      <c r="D23" s="63">
        <f t="shared" si="2"/>
        <v>24</v>
      </c>
      <c r="E23" s="63"/>
      <c r="F23" s="63"/>
      <c r="G23" s="63"/>
      <c r="I23" s="307" t="s">
        <v>504</v>
      </c>
      <c r="J23" s="307">
        <v>0.66</v>
      </c>
      <c r="K23">
        <f t="shared" si="3"/>
        <v>7.92</v>
      </c>
    </row>
    <row r="24" spans="2:24">
      <c r="B24" s="307" t="s">
        <v>597</v>
      </c>
      <c r="C24" s="63">
        <f>ANEXO_IIIa_COLETA_TRANSP_SEDE!H33</f>
        <v>1</v>
      </c>
      <c r="D24" s="63">
        <f t="shared" si="2"/>
        <v>12</v>
      </c>
      <c r="E24" s="63"/>
      <c r="F24" s="63"/>
      <c r="G24" s="63"/>
      <c r="I24" s="370" t="s">
        <v>566</v>
      </c>
      <c r="J24" s="370">
        <v>0.75</v>
      </c>
      <c r="K24">
        <f t="shared" si="3"/>
        <v>9</v>
      </c>
    </row>
    <row r="25" spans="2:24">
      <c r="B25" s="307" t="s">
        <v>425</v>
      </c>
      <c r="C25">
        <v>0.08</v>
      </c>
      <c r="D25" s="63">
        <f t="shared" si="2"/>
        <v>0.96</v>
      </c>
      <c r="E25" s="63"/>
      <c r="F25" s="63"/>
      <c r="G25" s="63"/>
      <c r="I25" s="370" t="s">
        <v>492</v>
      </c>
      <c r="J25" s="370">
        <v>2.25</v>
      </c>
      <c r="K25">
        <f t="shared" si="3"/>
        <v>27</v>
      </c>
    </row>
    <row r="26" spans="2:24" ht="15" customHeight="1">
      <c r="B26" s="307" t="s">
        <v>429</v>
      </c>
      <c r="C26">
        <v>0.04</v>
      </c>
      <c r="D26" s="63">
        <f t="shared" si="2"/>
        <v>0.48</v>
      </c>
      <c r="E26" s="63"/>
      <c r="F26" s="63"/>
      <c r="G26" s="63"/>
      <c r="I26" s="934" t="s">
        <v>493</v>
      </c>
      <c r="J26" s="934">
        <v>2.25</v>
      </c>
      <c r="K26">
        <f t="shared" si="3"/>
        <v>27</v>
      </c>
    </row>
    <row r="27" spans="2:24">
      <c r="B27" s="307" t="s">
        <v>428</v>
      </c>
      <c r="C27">
        <v>0.02</v>
      </c>
      <c r="D27" s="63">
        <f t="shared" si="2"/>
        <v>0.24</v>
      </c>
      <c r="E27" s="63"/>
      <c r="F27" s="63"/>
      <c r="G27" s="63"/>
      <c r="I27" s="370" t="s">
        <v>494</v>
      </c>
      <c r="J27" s="370">
        <v>1.5</v>
      </c>
      <c r="K27">
        <f t="shared" si="3"/>
        <v>18</v>
      </c>
    </row>
    <row r="28" spans="2:24" ht="15" customHeight="1">
      <c r="B28" s="307" t="s">
        <v>581</v>
      </c>
      <c r="C28">
        <v>0.12</v>
      </c>
      <c r="D28" s="63">
        <f t="shared" si="2"/>
        <v>1.44</v>
      </c>
      <c r="E28" s="63"/>
      <c r="F28" s="63"/>
      <c r="G28" s="63"/>
      <c r="I28" s="934" t="s">
        <v>502</v>
      </c>
      <c r="J28" s="934">
        <v>2.25</v>
      </c>
      <c r="K28">
        <f t="shared" si="3"/>
        <v>27</v>
      </c>
    </row>
    <row r="29" spans="2:24">
      <c r="B29" s="307" t="s">
        <v>423</v>
      </c>
      <c r="C29">
        <v>0.15</v>
      </c>
      <c r="D29" s="63">
        <f t="shared" si="2"/>
        <v>1.7999999999999998</v>
      </c>
      <c r="E29" s="63"/>
      <c r="F29" s="63"/>
      <c r="G29" s="63"/>
      <c r="I29" s="370" t="s">
        <v>496</v>
      </c>
      <c r="J29" s="370">
        <v>1.5</v>
      </c>
      <c r="K29">
        <f t="shared" si="3"/>
        <v>18</v>
      </c>
    </row>
    <row r="30" spans="2:24">
      <c r="B30" s="307" t="s">
        <v>427</v>
      </c>
      <c r="C30">
        <v>0.15</v>
      </c>
      <c r="D30" s="63">
        <f t="shared" si="2"/>
        <v>1.7999999999999998</v>
      </c>
      <c r="E30" s="63"/>
      <c r="F30" s="63"/>
      <c r="G30" s="63"/>
      <c r="I30" s="370" t="s">
        <v>497</v>
      </c>
      <c r="J30" s="370">
        <v>1.5</v>
      </c>
      <c r="K30">
        <f t="shared" si="3"/>
        <v>18</v>
      </c>
    </row>
    <row r="31" spans="2:24" ht="15" customHeight="1">
      <c r="B31" s="307" t="s">
        <v>243</v>
      </c>
      <c r="C31">
        <v>1773.1</v>
      </c>
      <c r="D31" s="63">
        <f t="shared" si="2"/>
        <v>21277.199999999997</v>
      </c>
      <c r="E31" s="63"/>
      <c r="F31" s="63"/>
      <c r="G31" s="63"/>
      <c r="I31" s="934" t="s">
        <v>498</v>
      </c>
      <c r="J31" s="934">
        <v>6</v>
      </c>
      <c r="K31">
        <f t="shared" si="3"/>
        <v>72</v>
      </c>
    </row>
    <row r="32" spans="2:24">
      <c r="B32" s="307" t="s">
        <v>582</v>
      </c>
      <c r="C32">
        <v>0.03</v>
      </c>
      <c r="D32" s="63">
        <f t="shared" si="2"/>
        <v>0.36</v>
      </c>
      <c r="E32" s="63"/>
      <c r="F32" s="63"/>
      <c r="G32" s="63"/>
      <c r="I32" s="370" t="s">
        <v>499</v>
      </c>
      <c r="J32" s="370">
        <v>9</v>
      </c>
      <c r="K32">
        <f t="shared" si="3"/>
        <v>108</v>
      </c>
    </row>
    <row r="33" spans="2:11">
      <c r="B33" s="307" t="s">
        <v>425</v>
      </c>
      <c r="C33">
        <v>0.38</v>
      </c>
      <c r="D33" s="63">
        <f t="shared" si="2"/>
        <v>4.5600000000000005</v>
      </c>
      <c r="E33" s="63"/>
      <c r="F33" s="63"/>
      <c r="G33" s="63"/>
      <c r="I33" s="370" t="s">
        <v>503</v>
      </c>
      <c r="J33" s="370">
        <v>0.25</v>
      </c>
      <c r="K33">
        <f t="shared" si="3"/>
        <v>3</v>
      </c>
    </row>
    <row r="34" spans="2:11">
      <c r="B34" s="307" t="s">
        <v>429</v>
      </c>
      <c r="C34">
        <v>2.25</v>
      </c>
      <c r="D34" s="63">
        <f t="shared" si="2"/>
        <v>27</v>
      </c>
      <c r="E34" s="63"/>
      <c r="F34" s="63"/>
      <c r="G34" s="63"/>
      <c r="I34" s="370" t="s">
        <v>504</v>
      </c>
      <c r="J34" s="370">
        <v>0.16</v>
      </c>
      <c r="K34">
        <f t="shared" si="3"/>
        <v>1.92</v>
      </c>
    </row>
    <row r="35" spans="2:11">
      <c r="B35" s="307" t="s">
        <v>596</v>
      </c>
      <c r="C35">
        <v>0.75</v>
      </c>
      <c r="D35" s="63">
        <f t="shared" si="2"/>
        <v>9</v>
      </c>
      <c r="E35" s="63"/>
      <c r="F35" s="63"/>
      <c r="G35" s="63"/>
      <c r="I35" s="370" t="s">
        <v>590</v>
      </c>
      <c r="J35" s="370">
        <v>0.08</v>
      </c>
      <c r="K35">
        <f t="shared" si="3"/>
        <v>0.96</v>
      </c>
    </row>
    <row r="36" spans="2:11">
      <c r="B36" s="307" t="s">
        <v>597</v>
      </c>
      <c r="C36">
        <v>0.75</v>
      </c>
      <c r="D36" s="63">
        <f t="shared" si="2"/>
        <v>9</v>
      </c>
      <c r="E36" s="63"/>
      <c r="F36" s="63"/>
      <c r="G36" s="63"/>
      <c r="I36" s="370" t="s">
        <v>591</v>
      </c>
      <c r="J36" s="370">
        <v>0.25</v>
      </c>
      <c r="K36">
        <f t="shared" si="3"/>
        <v>3</v>
      </c>
    </row>
    <row r="37" spans="2:11">
      <c r="B37" s="307" t="s">
        <v>423</v>
      </c>
      <c r="C37">
        <v>2.25</v>
      </c>
      <c r="D37" s="63">
        <f t="shared" si="2"/>
        <v>27</v>
      </c>
      <c r="E37" s="63"/>
      <c r="F37" s="63"/>
      <c r="G37" s="63"/>
      <c r="I37" s="307" t="s">
        <v>566</v>
      </c>
      <c r="J37" s="307">
        <v>0.83</v>
      </c>
      <c r="K37">
        <f t="shared" si="3"/>
        <v>9.9599999999999991</v>
      </c>
    </row>
    <row r="38" spans="2:11">
      <c r="B38" s="307" t="s">
        <v>427</v>
      </c>
      <c r="C38">
        <v>2.25</v>
      </c>
      <c r="D38" s="63">
        <f t="shared" si="2"/>
        <v>27</v>
      </c>
      <c r="E38" s="63"/>
      <c r="F38" s="63"/>
      <c r="G38" s="63"/>
      <c r="I38" s="307" t="s">
        <v>492</v>
      </c>
      <c r="J38" s="307">
        <v>2.5</v>
      </c>
      <c r="K38">
        <f t="shared" si="3"/>
        <v>30</v>
      </c>
    </row>
    <row r="39" spans="2:11" ht="15" customHeight="1">
      <c r="I39" s="934" t="s">
        <v>493</v>
      </c>
      <c r="J39" s="934">
        <v>2.5</v>
      </c>
      <c r="K39">
        <f t="shared" si="3"/>
        <v>30</v>
      </c>
    </row>
    <row r="40" spans="2:11">
      <c r="I40" s="307" t="s">
        <v>494</v>
      </c>
      <c r="J40" s="307">
        <v>1.66</v>
      </c>
      <c r="K40">
        <f t="shared" si="3"/>
        <v>19.919999999999998</v>
      </c>
    </row>
    <row r="41" spans="2:11" ht="15" customHeight="1">
      <c r="I41" s="935" t="s">
        <v>502</v>
      </c>
      <c r="J41" s="935">
        <v>2.5</v>
      </c>
      <c r="K41">
        <f t="shared" si="3"/>
        <v>30</v>
      </c>
    </row>
    <row r="42" spans="2:11">
      <c r="I42" s="307" t="s">
        <v>496</v>
      </c>
      <c r="J42" s="307">
        <v>1.66</v>
      </c>
      <c r="K42">
        <f t="shared" si="3"/>
        <v>19.919999999999998</v>
      </c>
    </row>
    <row r="43" spans="2:11">
      <c r="I43" s="307" t="s">
        <v>497</v>
      </c>
      <c r="J43" s="307">
        <v>1.66</v>
      </c>
      <c r="K43">
        <f t="shared" si="3"/>
        <v>19.919999999999998</v>
      </c>
    </row>
    <row r="44" spans="2:11">
      <c r="I44" s="307" t="s">
        <v>498</v>
      </c>
      <c r="J44" s="307">
        <v>6.66</v>
      </c>
      <c r="K44">
        <f t="shared" si="3"/>
        <v>79.92</v>
      </c>
    </row>
    <row r="45" spans="2:11">
      <c r="I45" s="307" t="s">
        <v>499</v>
      </c>
      <c r="J45" s="307">
        <v>10</v>
      </c>
      <c r="K45">
        <f t="shared" si="3"/>
        <v>120</v>
      </c>
    </row>
    <row r="46" spans="2:11">
      <c r="I46" s="370" t="s">
        <v>566</v>
      </c>
      <c r="J46" s="370">
        <v>0.83</v>
      </c>
      <c r="K46">
        <f t="shared" si="3"/>
        <v>9.9599999999999991</v>
      </c>
    </row>
    <row r="47" spans="2:11">
      <c r="I47" s="370" t="s">
        <v>492</v>
      </c>
      <c r="J47" s="370">
        <v>2.5</v>
      </c>
      <c r="K47">
        <f t="shared" si="3"/>
        <v>30</v>
      </c>
    </row>
    <row r="48" spans="2:11" ht="15" customHeight="1">
      <c r="I48" s="934" t="s">
        <v>493</v>
      </c>
      <c r="J48" s="934">
        <v>2.5</v>
      </c>
      <c r="K48">
        <f t="shared" si="3"/>
        <v>30</v>
      </c>
    </row>
    <row r="49" spans="9:11">
      <c r="I49" s="370" t="s">
        <v>494</v>
      </c>
      <c r="J49" s="370">
        <v>1.66</v>
      </c>
      <c r="K49">
        <f t="shared" si="3"/>
        <v>19.919999999999998</v>
      </c>
    </row>
    <row r="50" spans="9:11" ht="15" customHeight="1">
      <c r="I50" s="934" t="s">
        <v>502</v>
      </c>
      <c r="J50" s="934">
        <v>2.5</v>
      </c>
      <c r="K50">
        <f t="shared" si="3"/>
        <v>30</v>
      </c>
    </row>
    <row r="51" spans="9:11" ht="15" customHeight="1">
      <c r="I51" s="934" t="s">
        <v>496</v>
      </c>
      <c r="J51" s="934">
        <v>1.66</v>
      </c>
      <c r="K51">
        <f t="shared" si="3"/>
        <v>19.919999999999998</v>
      </c>
    </row>
    <row r="52" spans="9:11">
      <c r="I52" s="370" t="s">
        <v>497</v>
      </c>
      <c r="J52" s="370">
        <v>1.66</v>
      </c>
      <c r="K52">
        <f t="shared" si="3"/>
        <v>19.919999999999998</v>
      </c>
    </row>
    <row r="53" spans="9:11" ht="15" customHeight="1">
      <c r="I53" s="934" t="s">
        <v>498</v>
      </c>
      <c r="J53" s="934">
        <v>6.66</v>
      </c>
      <c r="K53">
        <f t="shared" si="3"/>
        <v>79.92</v>
      </c>
    </row>
    <row r="54" spans="9:11">
      <c r="I54" s="370" t="s">
        <v>499</v>
      </c>
      <c r="J54" s="370">
        <v>10</v>
      </c>
      <c r="K54">
        <f t="shared" si="3"/>
        <v>120</v>
      </c>
    </row>
    <row r="55" spans="9:11">
      <c r="I55" s="370" t="s">
        <v>590</v>
      </c>
      <c r="J55" s="370">
        <v>0.08</v>
      </c>
      <c r="K55">
        <f t="shared" si="3"/>
        <v>0.96</v>
      </c>
    </row>
    <row r="56" spans="9:11">
      <c r="I56" s="307" t="s">
        <v>566</v>
      </c>
      <c r="J56">
        <v>0.25</v>
      </c>
      <c r="K56">
        <f t="shared" si="3"/>
        <v>3</v>
      </c>
    </row>
    <row r="57" spans="9:11">
      <c r="I57" s="307" t="s">
        <v>492</v>
      </c>
      <c r="J57">
        <v>0.75</v>
      </c>
      <c r="K57">
        <f t="shared" si="3"/>
        <v>9</v>
      </c>
    </row>
    <row r="58" spans="9:11">
      <c r="I58" s="307" t="s">
        <v>493</v>
      </c>
      <c r="J58">
        <v>0.75</v>
      </c>
      <c r="K58">
        <f t="shared" si="3"/>
        <v>9</v>
      </c>
    </row>
    <row r="59" spans="9:11">
      <c r="I59" s="307" t="s">
        <v>494</v>
      </c>
      <c r="J59">
        <v>0.5</v>
      </c>
      <c r="K59">
        <f t="shared" si="3"/>
        <v>6</v>
      </c>
    </row>
    <row r="60" spans="9:11">
      <c r="I60" s="307" t="s">
        <v>502</v>
      </c>
      <c r="J60">
        <v>0.75</v>
      </c>
      <c r="K60">
        <f t="shared" si="3"/>
        <v>9</v>
      </c>
    </row>
    <row r="61" spans="9:11">
      <c r="I61" s="307" t="s">
        <v>496</v>
      </c>
      <c r="J61">
        <v>0.5</v>
      </c>
      <c r="K61">
        <f t="shared" si="3"/>
        <v>6</v>
      </c>
    </row>
    <row r="62" spans="9:11">
      <c r="I62" s="307" t="s">
        <v>497</v>
      </c>
      <c r="J62">
        <v>0.5</v>
      </c>
      <c r="K62">
        <f t="shared" si="3"/>
        <v>6</v>
      </c>
    </row>
    <row r="63" spans="9:11">
      <c r="I63" s="307" t="s">
        <v>498</v>
      </c>
      <c r="J63">
        <v>2</v>
      </c>
      <c r="K63">
        <f t="shared" si="3"/>
        <v>24</v>
      </c>
    </row>
    <row r="64" spans="9:11">
      <c r="I64" s="307" t="s">
        <v>499</v>
      </c>
      <c r="J64">
        <v>3</v>
      </c>
      <c r="K64">
        <f t="shared" si="3"/>
        <v>36</v>
      </c>
    </row>
    <row r="65" spans="9:11">
      <c r="I65" s="307" t="s">
        <v>566</v>
      </c>
      <c r="J65" s="307">
        <v>0.66</v>
      </c>
      <c r="K65">
        <f t="shared" si="3"/>
        <v>7.92</v>
      </c>
    </row>
    <row r="66" spans="9:11">
      <c r="I66" s="307" t="s">
        <v>492</v>
      </c>
      <c r="J66" s="307">
        <v>2</v>
      </c>
      <c r="K66">
        <f t="shared" si="3"/>
        <v>24</v>
      </c>
    </row>
    <row r="67" spans="9:11" ht="15" customHeight="1">
      <c r="I67" s="934" t="s">
        <v>493</v>
      </c>
      <c r="J67" s="934">
        <v>2</v>
      </c>
      <c r="K67">
        <f t="shared" si="3"/>
        <v>24</v>
      </c>
    </row>
    <row r="68" spans="9:11">
      <c r="I68" s="307" t="s">
        <v>494</v>
      </c>
      <c r="J68" s="307">
        <v>1.33</v>
      </c>
      <c r="K68">
        <f t="shared" ref="K68:K73" si="5">J68*12</f>
        <v>15.96</v>
      </c>
    </row>
    <row r="69" spans="9:11" ht="15" customHeight="1">
      <c r="I69" s="934" t="s">
        <v>502</v>
      </c>
      <c r="J69" s="934">
        <v>2</v>
      </c>
      <c r="K69">
        <f t="shared" si="5"/>
        <v>24</v>
      </c>
    </row>
    <row r="70" spans="9:11">
      <c r="I70" s="307" t="s">
        <v>496</v>
      </c>
      <c r="J70" s="307">
        <v>1.33</v>
      </c>
      <c r="K70">
        <f t="shared" si="5"/>
        <v>15.96</v>
      </c>
    </row>
    <row r="71" spans="9:11">
      <c r="I71" s="307" t="s">
        <v>497</v>
      </c>
      <c r="J71" s="307">
        <v>1.33</v>
      </c>
      <c r="K71">
        <f t="shared" si="5"/>
        <v>15.96</v>
      </c>
    </row>
    <row r="72" spans="9:11">
      <c r="I72" s="307" t="s">
        <v>498</v>
      </c>
      <c r="J72" s="307">
        <v>5.33</v>
      </c>
      <c r="K72">
        <f t="shared" si="5"/>
        <v>63.96</v>
      </c>
    </row>
    <row r="73" spans="9:11">
      <c r="I73" s="307" t="s">
        <v>499</v>
      </c>
      <c r="J73" s="307">
        <v>8</v>
      </c>
      <c r="K73">
        <f t="shared" si="5"/>
        <v>96</v>
      </c>
    </row>
    <row r="74" spans="9:11">
      <c r="I74" s="307"/>
      <c r="J74" s="307"/>
      <c r="K74" s="307"/>
    </row>
    <row r="75" spans="9:11">
      <c r="I75" s="307"/>
      <c r="J75" s="307"/>
      <c r="K75" s="307"/>
    </row>
    <row r="76" spans="9:11">
      <c r="I76" s="307"/>
      <c r="J76" s="307"/>
      <c r="K76" s="307"/>
    </row>
    <row r="77" spans="9:11">
      <c r="I77" s="307"/>
      <c r="J77" s="307"/>
      <c r="K77" s="307"/>
    </row>
    <row r="78" spans="9:11" ht="15" customHeight="1">
      <c r="I78" s="934"/>
      <c r="J78" s="934"/>
      <c r="K78" s="934"/>
    </row>
    <row r="79" spans="9:11">
      <c r="I79" s="307"/>
      <c r="J79" s="307"/>
      <c r="K79" s="307"/>
    </row>
    <row r="80" spans="9:11">
      <c r="I80" s="307"/>
      <c r="J80" s="307"/>
      <c r="K80" s="307"/>
    </row>
    <row r="81" spans="9:11">
      <c r="I81" s="307"/>
      <c r="J81" s="307"/>
      <c r="K81" s="307"/>
    </row>
    <row r="82" spans="9:11">
      <c r="I82" s="307"/>
      <c r="J82" s="307"/>
      <c r="K82" s="307"/>
    </row>
  </sheetData>
  <mergeCells count="1">
    <mergeCell ref="P2:Q2"/>
  </mergeCells>
  <pageMargins left="0.511811024" right="0.511811024" top="0.78740157499999996" bottom="0.78740157499999996" header="0.31496062000000002" footer="0.31496062000000002"/>
  <tableParts count="4">
    <tablePart r:id="rId1"/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T213"/>
  <sheetViews>
    <sheetView showGridLines="0" showWhiteSpace="0" view="pageBreakPreview" topLeftCell="A145" zoomScale="60" zoomScaleNormal="85" zoomScalePageLayoutView="90" workbookViewId="0">
      <selection activeCell="P211" sqref="P211"/>
    </sheetView>
  </sheetViews>
  <sheetFormatPr defaultColWidth="9.140625" defaultRowHeight="15"/>
  <cols>
    <col min="1" max="1" width="9.140625" style="222"/>
    <col min="2" max="2" width="17.140625" style="222" customWidth="1"/>
    <col min="3" max="3" width="15.140625" style="222" customWidth="1"/>
    <col min="4" max="4" width="11.28515625" style="222" customWidth="1"/>
    <col min="5" max="5" width="15.140625" style="222" customWidth="1"/>
    <col min="6" max="6" width="12.7109375" style="222" customWidth="1"/>
    <col min="7" max="7" width="13.28515625" style="222" customWidth="1"/>
    <col min="8" max="8" width="17" style="222" bestFit="1" customWidth="1"/>
    <col min="9" max="9" width="13.7109375" style="222" bestFit="1" customWidth="1"/>
    <col min="10" max="10" width="14.85546875" style="222" customWidth="1"/>
    <col min="11" max="11" width="9.140625" style="222"/>
    <col min="12" max="12" width="9.140625" style="879"/>
    <col min="13" max="15" width="9.140625" style="222"/>
    <col min="16" max="16" width="12.140625" style="222" bestFit="1" customWidth="1"/>
    <col min="17" max="16384" width="9.140625" style="222"/>
  </cols>
  <sheetData>
    <row r="1" spans="2:12" ht="18.75">
      <c r="C1" s="221"/>
      <c r="D1" s="221"/>
      <c r="E1" s="221"/>
      <c r="F1" s="221"/>
      <c r="G1" s="221"/>
      <c r="H1" s="213"/>
      <c r="I1" s="213"/>
    </row>
    <row r="2" spans="2:12" ht="18.75">
      <c r="B2" s="220" t="s">
        <v>552</v>
      </c>
      <c r="C2" s="213"/>
      <c r="D2" s="213"/>
      <c r="E2" s="213"/>
      <c r="F2" s="213"/>
      <c r="G2" s="213"/>
      <c r="H2" s="213"/>
      <c r="I2" s="888"/>
      <c r="L2" s="884" t="s">
        <v>1229</v>
      </c>
    </row>
    <row r="3" spans="2:12">
      <c r="B3" s="215" t="s">
        <v>1177</v>
      </c>
      <c r="C3" s="213"/>
      <c r="D3" s="213"/>
      <c r="E3" s="213"/>
      <c r="F3" s="213"/>
      <c r="G3" s="223" t="s">
        <v>891</v>
      </c>
      <c r="H3" s="213">
        <v>25.33</v>
      </c>
      <c r="I3" s="213"/>
    </row>
    <row r="4" spans="2:12">
      <c r="B4" s="213" t="s">
        <v>1236</v>
      </c>
      <c r="C4" s="213"/>
      <c r="D4" s="213"/>
      <c r="E4" s="213"/>
      <c r="F4" s="213"/>
      <c r="G4" s="213"/>
      <c r="H4" s="213"/>
      <c r="I4" s="213"/>
    </row>
    <row r="5" spans="2:12">
      <c r="B5" s="224" t="s">
        <v>231</v>
      </c>
      <c r="C5" s="224" t="s">
        <v>232</v>
      </c>
      <c r="D5" s="224" t="s">
        <v>233</v>
      </c>
      <c r="E5" s="224" t="s">
        <v>234</v>
      </c>
      <c r="F5" s="224" t="s">
        <v>235</v>
      </c>
      <c r="G5" s="224" t="s">
        <v>236</v>
      </c>
      <c r="H5" s="224" t="s">
        <v>0</v>
      </c>
      <c r="I5" s="213"/>
    </row>
    <row r="6" spans="2:12">
      <c r="B6" s="225">
        <v>1</v>
      </c>
      <c r="C6" s="226">
        <v>0</v>
      </c>
      <c r="D6" s="226">
        <v>0</v>
      </c>
      <c r="E6" s="226">
        <v>0</v>
      </c>
      <c r="F6" s="226">
        <v>0</v>
      </c>
      <c r="G6" s="226">
        <v>0</v>
      </c>
      <c r="H6" s="226">
        <v>1.7515969784538787</v>
      </c>
      <c r="I6" s="227"/>
    </row>
    <row r="7" spans="2:12">
      <c r="B7" s="225">
        <v>2</v>
      </c>
      <c r="C7" s="226">
        <v>0</v>
      </c>
      <c r="D7" s="226">
        <v>6.3358066995044391</v>
      </c>
      <c r="E7" s="226">
        <v>0</v>
      </c>
      <c r="F7" s="226">
        <v>0</v>
      </c>
      <c r="G7" s="226">
        <v>6.3358066995044391</v>
      </c>
      <c r="H7" s="226">
        <v>0</v>
      </c>
      <c r="I7" s="227"/>
    </row>
    <row r="8" spans="2:12">
      <c r="B8" s="225">
        <v>3</v>
      </c>
      <c r="C8" s="226">
        <v>0</v>
      </c>
      <c r="D8" s="226">
        <v>13.189643515414755</v>
      </c>
      <c r="E8" s="226">
        <v>0</v>
      </c>
      <c r="F8" s="226">
        <v>13.189643515414755</v>
      </c>
      <c r="G8" s="226">
        <v>0</v>
      </c>
      <c r="H8" s="226">
        <v>13.189643515414755</v>
      </c>
      <c r="I8" s="227"/>
    </row>
    <row r="9" spans="2:12">
      <c r="B9" s="225">
        <v>4</v>
      </c>
      <c r="C9" s="226">
        <v>0</v>
      </c>
      <c r="D9" s="226">
        <v>8.9587878250184048</v>
      </c>
      <c r="E9" s="226">
        <v>0</v>
      </c>
      <c r="F9" s="226">
        <v>0</v>
      </c>
      <c r="G9" s="226">
        <v>8.9587878250184048</v>
      </c>
      <c r="H9" s="226">
        <v>0</v>
      </c>
      <c r="I9" s="227"/>
    </row>
    <row r="10" spans="2:12">
      <c r="B10" s="225">
        <v>5</v>
      </c>
      <c r="C10" s="226">
        <v>0</v>
      </c>
      <c r="D10" s="226">
        <v>13.142652863689774</v>
      </c>
      <c r="E10" s="226">
        <v>0</v>
      </c>
      <c r="F10" s="226">
        <v>0</v>
      </c>
      <c r="G10" s="226">
        <v>13.142652863689774</v>
      </c>
      <c r="H10" s="226">
        <v>0</v>
      </c>
      <c r="I10" s="227"/>
    </row>
    <row r="11" spans="2:12">
      <c r="B11" s="225">
        <v>6</v>
      </c>
      <c r="C11" s="226">
        <v>0</v>
      </c>
      <c r="D11" s="226">
        <v>8.8687874543679968</v>
      </c>
      <c r="E11" s="226">
        <v>0</v>
      </c>
      <c r="F11" s="226">
        <v>8.8687874543679968</v>
      </c>
      <c r="G11" s="226">
        <v>0</v>
      </c>
      <c r="H11" s="226">
        <v>0</v>
      </c>
      <c r="I11" s="227"/>
    </row>
    <row r="12" spans="2:12">
      <c r="B12" s="225">
        <v>7</v>
      </c>
      <c r="C12" s="226">
        <v>22.003444408334733</v>
      </c>
      <c r="D12" s="226">
        <v>0</v>
      </c>
      <c r="E12" s="226">
        <v>22.003444408334733</v>
      </c>
      <c r="F12" s="226">
        <v>0</v>
      </c>
      <c r="G12" s="226">
        <v>22.003444408334733</v>
      </c>
      <c r="H12" s="226">
        <v>22.003444408334733</v>
      </c>
      <c r="I12" s="227"/>
    </row>
    <row r="13" spans="2:12">
      <c r="B13" s="225">
        <v>8</v>
      </c>
      <c r="C13" s="226">
        <v>16.47162377892521</v>
      </c>
      <c r="D13" s="226">
        <v>0</v>
      </c>
      <c r="E13" s="226">
        <v>0</v>
      </c>
      <c r="F13" s="226">
        <v>16.47162377892521</v>
      </c>
      <c r="G13" s="226">
        <v>0</v>
      </c>
      <c r="H13" s="226">
        <v>0</v>
      </c>
      <c r="I13" s="227"/>
    </row>
    <row r="14" spans="2:12">
      <c r="B14" s="225">
        <v>9</v>
      </c>
      <c r="C14" s="226">
        <v>13.20392942958811</v>
      </c>
      <c r="D14" s="226">
        <v>0</v>
      </c>
      <c r="E14" s="226">
        <v>0</v>
      </c>
      <c r="F14" s="226">
        <v>13.20392942958811</v>
      </c>
      <c r="G14" s="226">
        <v>0</v>
      </c>
      <c r="H14" s="226">
        <v>0</v>
      </c>
      <c r="I14" s="227"/>
    </row>
    <row r="15" spans="2:12">
      <c r="B15" s="225">
        <v>10</v>
      </c>
      <c r="C15" s="226">
        <v>0</v>
      </c>
      <c r="D15" s="226">
        <v>0</v>
      </c>
      <c r="E15" s="226">
        <v>7.5960663558483343</v>
      </c>
      <c r="F15" s="226">
        <v>0</v>
      </c>
      <c r="G15" s="226">
        <v>0</v>
      </c>
      <c r="H15" s="226">
        <v>7.5960663558483343</v>
      </c>
      <c r="I15" s="227"/>
    </row>
    <row r="16" spans="2:12">
      <c r="B16" s="225">
        <v>11</v>
      </c>
      <c r="C16" s="226">
        <v>0</v>
      </c>
      <c r="D16" s="226">
        <v>0</v>
      </c>
      <c r="E16" s="226">
        <v>7.0025137604551535</v>
      </c>
      <c r="F16" s="226">
        <v>0</v>
      </c>
      <c r="G16" s="226">
        <v>0</v>
      </c>
      <c r="H16" s="226">
        <v>7.0025137604551535</v>
      </c>
      <c r="I16" s="227"/>
    </row>
    <row r="17" spans="2:12">
      <c r="B17" s="225">
        <v>12</v>
      </c>
      <c r="C17" s="226">
        <v>0</v>
      </c>
      <c r="D17" s="226">
        <v>0</v>
      </c>
      <c r="E17" s="226">
        <v>6.5519050040105329</v>
      </c>
      <c r="F17" s="226">
        <v>0</v>
      </c>
      <c r="G17" s="226">
        <v>0</v>
      </c>
      <c r="H17" s="226">
        <v>0</v>
      </c>
      <c r="I17" s="227"/>
    </row>
    <row r="18" spans="2:12">
      <c r="B18" s="225">
        <v>13</v>
      </c>
      <c r="C18" s="226">
        <v>0</v>
      </c>
      <c r="D18" s="226">
        <v>0</v>
      </c>
      <c r="E18" s="226">
        <v>4.0263057079933118</v>
      </c>
      <c r="F18" s="226">
        <v>0</v>
      </c>
      <c r="G18" s="226">
        <v>0</v>
      </c>
      <c r="H18" s="226">
        <v>0</v>
      </c>
      <c r="I18" s="227"/>
    </row>
    <row r="19" spans="2:12">
      <c r="B19" s="225">
        <v>14</v>
      </c>
      <c r="C19" s="226">
        <v>0</v>
      </c>
      <c r="D19" s="226">
        <v>0</v>
      </c>
      <c r="E19" s="226">
        <v>2.8017817899716349</v>
      </c>
      <c r="F19" s="226">
        <v>0</v>
      </c>
      <c r="G19" s="226">
        <v>0</v>
      </c>
      <c r="H19" s="226">
        <v>0</v>
      </c>
      <c r="I19" s="227"/>
    </row>
    <row r="20" spans="2:12">
      <c r="B20" s="228" t="s">
        <v>1204</v>
      </c>
      <c r="C20" s="229">
        <v>51.678997616848051</v>
      </c>
      <c r="D20" s="229">
        <v>50.495678357995367</v>
      </c>
      <c r="E20" s="229">
        <v>49.982017026613697</v>
      </c>
      <c r="F20" s="229">
        <v>51.733984178296069</v>
      </c>
      <c r="G20" s="229">
        <v>50.440691796547355</v>
      </c>
      <c r="H20" s="229">
        <v>49.77</v>
      </c>
      <c r="I20" s="227"/>
    </row>
    <row r="21" spans="2:12" ht="15.75" thickBot="1">
      <c r="B21" s="213"/>
      <c r="C21" s="230"/>
      <c r="D21" s="213"/>
      <c r="E21" s="213"/>
      <c r="F21" s="213"/>
      <c r="G21" s="213"/>
      <c r="H21" s="213"/>
      <c r="I21" s="213"/>
    </row>
    <row r="22" spans="2:12" ht="15.75" thickBot="1">
      <c r="B22" s="580"/>
      <c r="C22" s="555"/>
      <c r="D22" s="581"/>
      <c r="E22" s="555"/>
      <c r="F22" s="555"/>
      <c r="G22" s="582" t="s">
        <v>1205</v>
      </c>
      <c r="H22" s="231">
        <f>AVERAGE(C20:H20,1)*1000</f>
        <v>43585.909853757221</v>
      </c>
      <c r="I22" s="213"/>
    </row>
    <row r="23" spans="2:12">
      <c r="B23" s="213"/>
      <c r="C23" s="213"/>
      <c r="D23" s="213"/>
      <c r="E23" s="213"/>
      <c r="F23" s="213"/>
      <c r="G23" s="213"/>
      <c r="H23" s="232"/>
      <c r="I23" s="213"/>
    </row>
    <row r="24" spans="2:12">
      <c r="B24" s="769" t="s">
        <v>1162</v>
      </c>
      <c r="C24" s="769"/>
      <c r="D24" s="769">
        <v>60</v>
      </c>
      <c r="E24" s="769" t="s">
        <v>1108</v>
      </c>
      <c r="G24" s="213"/>
      <c r="H24" s="232"/>
      <c r="I24" s="213"/>
      <c r="L24" s="880" t="s">
        <v>1221</v>
      </c>
    </row>
    <row r="25" spans="2:12" ht="15.75" thickBot="1">
      <c r="B25" s="579"/>
      <c r="C25" s="579"/>
      <c r="D25" s="579"/>
      <c r="E25" s="579"/>
      <c r="F25" s="579"/>
      <c r="G25" s="213"/>
      <c r="H25" s="232"/>
      <c r="I25" s="213"/>
    </row>
    <row r="26" spans="2:12" ht="15.75" thickBot="1">
      <c r="B26" s="580"/>
      <c r="C26" s="555"/>
      <c r="D26" s="555"/>
      <c r="E26" s="555"/>
      <c r="F26" s="555"/>
      <c r="G26" s="582" t="s">
        <v>1110</v>
      </c>
      <c r="H26" s="231">
        <f>ROUND(SUM(C20:H20)*52*D24/1000,2)</f>
        <v>948.8</v>
      </c>
      <c r="I26" s="213"/>
    </row>
    <row r="27" spans="2:12">
      <c r="B27" s="213"/>
      <c r="C27" s="213"/>
      <c r="D27" s="213"/>
      <c r="E27" s="213"/>
      <c r="F27" s="213"/>
      <c r="G27" s="213"/>
      <c r="H27" s="232"/>
      <c r="I27" s="213"/>
    </row>
    <row r="28" spans="2:12">
      <c r="B28" s="215" t="s">
        <v>1026</v>
      </c>
      <c r="C28" s="213"/>
      <c r="D28" s="213"/>
      <c r="E28" s="213"/>
      <c r="F28" s="213"/>
      <c r="G28" s="213"/>
      <c r="H28" s="213"/>
      <c r="I28" s="213"/>
    </row>
    <row r="29" spans="2:12">
      <c r="B29" s="213" t="s">
        <v>560</v>
      </c>
      <c r="C29" s="213"/>
      <c r="D29" s="213"/>
      <c r="E29" s="213"/>
      <c r="F29" s="213"/>
      <c r="G29" s="213"/>
      <c r="H29" s="213"/>
      <c r="I29" s="213"/>
    </row>
    <row r="30" spans="2:12">
      <c r="B30" s="554" t="s">
        <v>556</v>
      </c>
      <c r="C30" s="555" t="str">
        <f t="shared" ref="C30:H30" si="0">C5</f>
        <v>Segunda</v>
      </c>
      <c r="D30" s="555" t="str">
        <f t="shared" si="0"/>
        <v>Terça</v>
      </c>
      <c r="E30" s="555" t="str">
        <f t="shared" si="0"/>
        <v>Quarta</v>
      </c>
      <c r="F30" s="555" t="str">
        <f t="shared" si="0"/>
        <v>Quinta</v>
      </c>
      <c r="G30" s="555" t="str">
        <f t="shared" si="0"/>
        <v>Sexta</v>
      </c>
      <c r="H30" s="556" t="str">
        <f t="shared" si="0"/>
        <v>Sábado</v>
      </c>
      <c r="I30" s="213"/>
    </row>
    <row r="31" spans="2:12">
      <c r="B31" s="559" t="s">
        <v>557</v>
      </c>
      <c r="C31" s="230">
        <f t="shared" ref="C31:H31" si="1">C12</f>
        <v>22.003444408334733</v>
      </c>
      <c r="D31" s="230">
        <f t="shared" si="1"/>
        <v>0</v>
      </c>
      <c r="E31" s="230">
        <f t="shared" si="1"/>
        <v>22.003444408334733</v>
      </c>
      <c r="F31" s="230">
        <f t="shared" si="1"/>
        <v>0</v>
      </c>
      <c r="G31" s="230">
        <f t="shared" si="1"/>
        <v>22.003444408334733</v>
      </c>
      <c r="H31" s="233">
        <f t="shared" si="1"/>
        <v>22.003444408334733</v>
      </c>
      <c r="I31" s="213"/>
    </row>
    <row r="32" spans="2:12">
      <c r="B32" s="552" t="s">
        <v>558</v>
      </c>
      <c r="C32" s="234">
        <f t="shared" ref="C32:H32" si="2">C20-C31</f>
        <v>29.675553208513318</v>
      </c>
      <c r="D32" s="234">
        <f t="shared" si="2"/>
        <v>50.495678357995367</v>
      </c>
      <c r="E32" s="234">
        <f t="shared" si="2"/>
        <v>27.978572618278964</v>
      </c>
      <c r="F32" s="234">
        <f t="shared" si="2"/>
        <v>51.733984178296069</v>
      </c>
      <c r="G32" s="234">
        <f t="shared" si="2"/>
        <v>28.437247388212622</v>
      </c>
      <c r="H32" s="235">
        <f t="shared" si="2"/>
        <v>27.76655559166527</v>
      </c>
      <c r="I32" s="213"/>
    </row>
    <row r="33" spans="2:12">
      <c r="B33" s="213"/>
      <c r="C33" s="230"/>
      <c r="D33" s="230"/>
      <c r="E33" s="213"/>
      <c r="F33" s="236"/>
      <c r="G33" s="230"/>
      <c r="H33" s="213"/>
      <c r="I33" s="213"/>
    </row>
    <row r="34" spans="2:12">
      <c r="B34" s="213" t="s">
        <v>1159</v>
      </c>
      <c r="C34" s="213"/>
      <c r="D34" s="213"/>
      <c r="E34" s="213"/>
      <c r="F34" s="213"/>
      <c r="G34" s="213"/>
      <c r="H34" s="213"/>
      <c r="I34" s="213"/>
    </row>
    <row r="35" spans="2:12">
      <c r="B35" s="554"/>
      <c r="C35" s="555" t="s">
        <v>232</v>
      </c>
      <c r="D35" s="555" t="s">
        <v>233</v>
      </c>
      <c r="E35" s="555" t="s">
        <v>234</v>
      </c>
      <c r="F35" s="555" t="s">
        <v>235</v>
      </c>
      <c r="G35" s="555" t="s">
        <v>236</v>
      </c>
      <c r="H35" s="556" t="s">
        <v>0</v>
      </c>
      <c r="I35" s="213"/>
    </row>
    <row r="36" spans="2:12">
      <c r="B36" s="557" t="s">
        <v>554</v>
      </c>
      <c r="C36" s="558">
        <f t="shared" ref="C36:H36" si="3">ROUNDUP(((C$31*1000)/$E$40)+((C$32*1000)/$E$39),0)</f>
        <v>20</v>
      </c>
      <c r="D36" s="558">
        <f t="shared" si="3"/>
        <v>17</v>
      </c>
      <c r="E36" s="558">
        <f t="shared" si="3"/>
        <v>20</v>
      </c>
      <c r="F36" s="558">
        <f t="shared" si="3"/>
        <v>18</v>
      </c>
      <c r="G36" s="558">
        <f t="shared" si="3"/>
        <v>20</v>
      </c>
      <c r="H36" s="802">
        <f t="shared" si="3"/>
        <v>20</v>
      </c>
      <c r="I36" s="213"/>
    </row>
    <row r="37" spans="2:12">
      <c r="B37" s="552" t="s">
        <v>1158</v>
      </c>
      <c r="C37" s="553">
        <f t="shared" ref="C37:H37" si="4">C36*2</f>
        <v>40</v>
      </c>
      <c r="D37" s="553">
        <f t="shared" si="4"/>
        <v>34</v>
      </c>
      <c r="E37" s="553">
        <f t="shared" si="4"/>
        <v>40</v>
      </c>
      <c r="F37" s="553">
        <f t="shared" si="4"/>
        <v>36</v>
      </c>
      <c r="G37" s="553">
        <f t="shared" si="4"/>
        <v>40</v>
      </c>
      <c r="H37" s="551">
        <f t="shared" si="4"/>
        <v>40</v>
      </c>
      <c r="I37" s="213"/>
    </row>
    <row r="38" spans="2:12">
      <c r="B38" s="213"/>
      <c r="C38" s="213"/>
      <c r="D38" s="213"/>
      <c r="E38" s="213"/>
      <c r="F38" s="213"/>
      <c r="G38" s="213"/>
      <c r="H38" s="213"/>
      <c r="I38" s="213"/>
    </row>
    <row r="39" spans="2:12">
      <c r="B39" s="766" t="s">
        <v>1152</v>
      </c>
      <c r="C39" s="213"/>
      <c r="D39" s="547"/>
      <c r="E39" s="858">
        <v>3000</v>
      </c>
      <c r="F39" s="767" t="s">
        <v>1200</v>
      </c>
      <c r="H39" s="213"/>
      <c r="I39" s="213"/>
      <c r="L39" s="879" t="s">
        <v>1201</v>
      </c>
    </row>
    <row r="40" spans="2:12">
      <c r="B40" s="766" t="s">
        <v>1153</v>
      </c>
      <c r="C40" s="213"/>
      <c r="D40" s="547"/>
      <c r="E40" s="858">
        <v>2250</v>
      </c>
      <c r="F40" s="767" t="s">
        <v>903</v>
      </c>
      <c r="H40" s="213"/>
      <c r="I40" s="213"/>
      <c r="L40" s="879" t="s">
        <v>1201</v>
      </c>
    </row>
    <row r="41" spans="2:12">
      <c r="B41" s="768" t="s">
        <v>1146</v>
      </c>
      <c r="C41" s="213"/>
      <c r="D41" s="213"/>
      <c r="E41" s="859">
        <f>1/14</f>
        <v>7.1428571428571425E-2</v>
      </c>
      <c r="F41" s="766" t="s">
        <v>1150</v>
      </c>
      <c r="H41" s="213"/>
      <c r="I41" s="213"/>
      <c r="L41" s="879" t="s">
        <v>1203</v>
      </c>
    </row>
    <row r="42" spans="2:12">
      <c r="B42" s="768" t="s">
        <v>576</v>
      </c>
      <c r="C42" s="213"/>
      <c r="D42" s="213"/>
      <c r="E42" s="842">
        <v>0</v>
      </c>
      <c r="F42" s="768"/>
      <c r="H42" s="213"/>
      <c r="I42" s="213"/>
    </row>
    <row r="43" spans="2:12" ht="15.75" thickBot="1">
      <c r="B43" s="215"/>
      <c r="C43" s="213"/>
      <c r="D43" s="213"/>
      <c r="E43" s="213"/>
      <c r="F43" s="874"/>
      <c r="G43" s="213"/>
      <c r="H43" s="213"/>
      <c r="I43" s="213"/>
    </row>
    <row r="44" spans="2:12" ht="30.75" customHeight="1">
      <c r="B44" s="1413" t="s">
        <v>1142</v>
      </c>
      <c r="C44" s="1414"/>
      <c r="D44" s="237">
        <f>LARGE(C37:H37,1)</f>
        <v>40</v>
      </c>
      <c r="E44" s="213"/>
      <c r="F44" s="875"/>
      <c r="G44" s="213"/>
      <c r="H44" s="213"/>
      <c r="I44" s="213"/>
    </row>
    <row r="45" spans="2:12">
      <c r="B45" s="554" t="s">
        <v>1141</v>
      </c>
      <c r="C45" s="556"/>
      <c r="D45" s="775">
        <f>ROUNDUP(D44*E41,0)</f>
        <v>3</v>
      </c>
      <c r="E45" s="213"/>
      <c r="F45" s="213"/>
      <c r="G45" s="213"/>
      <c r="H45" s="213"/>
      <c r="I45" s="213"/>
    </row>
    <row r="46" spans="2:12" ht="15.75" thickBot="1">
      <c r="B46" s="552" t="s">
        <v>555</v>
      </c>
      <c r="C46" s="551"/>
      <c r="D46" s="238">
        <v>0</v>
      </c>
      <c r="E46" s="213"/>
      <c r="F46" s="215"/>
      <c r="I46" s="213"/>
    </row>
    <row r="47" spans="2:12" ht="15.75" thickBot="1">
      <c r="B47" s="574" t="s">
        <v>1180</v>
      </c>
      <c r="C47" s="723"/>
      <c r="D47" s="724">
        <f>SUM(D44:D46)</f>
        <v>43</v>
      </c>
      <c r="E47" s="213"/>
      <c r="F47" s="213"/>
      <c r="G47" s="213"/>
      <c r="H47" s="213"/>
      <c r="I47" s="213"/>
    </row>
    <row r="48" spans="2:12">
      <c r="B48" s="213"/>
      <c r="C48" s="213"/>
      <c r="D48" s="213"/>
      <c r="E48" s="213"/>
      <c r="F48" s="213"/>
      <c r="G48" s="213"/>
      <c r="H48" s="213"/>
      <c r="I48" s="213"/>
    </row>
    <row r="49" spans="2:12">
      <c r="B49" s="215" t="s">
        <v>1027</v>
      </c>
      <c r="C49" s="213"/>
      <c r="D49" s="213"/>
      <c r="E49" s="213"/>
      <c r="F49" s="213"/>
      <c r="G49" s="213"/>
      <c r="H49" s="213"/>
      <c r="I49" s="213"/>
    </row>
    <row r="50" spans="2:12" ht="15.75" thickBot="1">
      <c r="B50" s="215" t="s">
        <v>565</v>
      </c>
      <c r="C50" s="213"/>
      <c r="D50" s="213"/>
      <c r="E50" s="524"/>
      <c r="F50" s="213"/>
      <c r="G50" s="213"/>
      <c r="H50" s="213"/>
      <c r="I50" s="213"/>
    </row>
    <row r="51" spans="2:12">
      <c r="B51" s="1401" t="s">
        <v>900</v>
      </c>
      <c r="C51" s="1402"/>
      <c r="D51" s="1403"/>
      <c r="E51" s="574" t="s">
        <v>904</v>
      </c>
      <c r="F51" s="571"/>
      <c r="G51" s="575"/>
      <c r="H51" s="576" t="s">
        <v>570</v>
      </c>
      <c r="I51" s="213"/>
    </row>
    <row r="52" spans="2:12">
      <c r="B52" s="1404" t="s">
        <v>241</v>
      </c>
      <c r="C52" s="1405"/>
      <c r="D52" s="1406"/>
      <c r="E52" s="205">
        <v>12</v>
      </c>
      <c r="F52" s="548" t="s">
        <v>1149</v>
      </c>
      <c r="G52" s="239"/>
      <c r="H52" s="240">
        <f>TRUNC(E52*D44/12,2)</f>
        <v>40</v>
      </c>
      <c r="I52" s="868"/>
      <c r="L52" s="879" t="s">
        <v>1201</v>
      </c>
    </row>
    <row r="53" spans="2:12">
      <c r="B53" s="1407" t="s">
        <v>242</v>
      </c>
      <c r="C53" s="1408"/>
      <c r="D53" s="1409"/>
      <c r="E53" s="206">
        <v>0</v>
      </c>
      <c r="F53" s="549" t="s">
        <v>1150</v>
      </c>
      <c r="G53" s="223"/>
      <c r="H53" s="207">
        <f>TRUNC(E53*D44/12,2)</f>
        <v>0</v>
      </c>
      <c r="I53" s="868"/>
      <c r="L53" s="879" t="s">
        <v>1201</v>
      </c>
    </row>
    <row r="54" spans="2:12">
      <c r="B54" s="1407" t="s">
        <v>562</v>
      </c>
      <c r="C54" s="1408"/>
      <c r="D54" s="1409"/>
      <c r="E54" s="206">
        <v>1</v>
      </c>
      <c r="F54" s="549" t="s">
        <v>700</v>
      </c>
      <c r="G54" s="223"/>
      <c r="H54" s="207">
        <f>TRUNC(E54*E60/12,2)</f>
        <v>0.08</v>
      </c>
      <c r="I54" s="868"/>
      <c r="L54" s="879" t="s">
        <v>1201</v>
      </c>
    </row>
    <row r="55" spans="2:12" ht="15.75" thickBot="1">
      <c r="B55" s="1418" t="s">
        <v>243</v>
      </c>
      <c r="C55" s="1419"/>
      <c r="D55" s="1420"/>
      <c r="E55" s="208">
        <v>10</v>
      </c>
      <c r="F55" s="241" t="s">
        <v>1151</v>
      </c>
      <c r="G55" s="242"/>
      <c r="H55" s="243">
        <f>TRUNC(E55*D44*H3,2)</f>
        <v>10132</v>
      </c>
      <c r="I55" s="868"/>
      <c r="L55" s="879" t="s">
        <v>1201</v>
      </c>
    </row>
    <row r="56" spans="2:12">
      <c r="B56" s="244" t="s">
        <v>595</v>
      </c>
      <c r="C56" s="558"/>
      <c r="D56" s="213"/>
      <c r="E56" s="213"/>
      <c r="F56" s="213"/>
      <c r="G56" s="213"/>
      <c r="H56" s="213"/>
      <c r="I56" s="213"/>
    </row>
    <row r="57" spans="2:12">
      <c r="B57" s="213"/>
      <c r="C57" s="213"/>
      <c r="D57" s="213"/>
      <c r="E57" s="213"/>
      <c r="F57" s="213"/>
      <c r="G57" s="213"/>
      <c r="H57" s="213"/>
      <c r="I57" s="213"/>
    </row>
    <row r="58" spans="2:12" ht="15.75" thickBot="1">
      <c r="B58" s="215" t="s">
        <v>547</v>
      </c>
      <c r="C58" s="213"/>
      <c r="D58" s="213"/>
      <c r="E58" s="524"/>
      <c r="F58" s="213"/>
      <c r="G58" s="213"/>
      <c r="H58" s="213"/>
      <c r="I58" s="213"/>
    </row>
    <row r="59" spans="2:12" ht="25.5" customHeight="1">
      <c r="B59" s="1401" t="s">
        <v>902</v>
      </c>
      <c r="C59" s="1402"/>
      <c r="D59" s="1403"/>
      <c r="E59" s="570" t="s">
        <v>904</v>
      </c>
      <c r="F59" s="571"/>
      <c r="G59" s="745" t="s">
        <v>1163</v>
      </c>
      <c r="H59" s="777" t="s">
        <v>384</v>
      </c>
      <c r="I59" s="213"/>
    </row>
    <row r="60" spans="2:12" ht="15.75" thickBot="1">
      <c r="B60" s="1415" t="s">
        <v>240</v>
      </c>
      <c r="C60" s="1416"/>
      <c r="D60" s="1417"/>
      <c r="E60" s="210">
        <v>1</v>
      </c>
      <c r="F60" s="744" t="s">
        <v>239</v>
      </c>
      <c r="G60" s="746">
        <v>30</v>
      </c>
      <c r="H60" s="246">
        <f>TRUNC(E60*(D44/2),2)</f>
        <v>20</v>
      </c>
      <c r="I60" s="868"/>
      <c r="L60" s="879" t="s">
        <v>1201</v>
      </c>
    </row>
    <row r="61" spans="2:12">
      <c r="B61" s="244" t="s">
        <v>595</v>
      </c>
      <c r="C61" s="213"/>
      <c r="D61" s="213"/>
      <c r="E61" s="213"/>
      <c r="F61" s="213"/>
      <c r="G61" s="213"/>
      <c r="H61" s="213"/>
      <c r="I61" s="213"/>
    </row>
    <row r="62" spans="2:12">
      <c r="B62" s="247"/>
      <c r="C62" s="213"/>
      <c r="D62" s="213"/>
      <c r="E62" s="213"/>
      <c r="F62" s="213"/>
      <c r="G62" s="213"/>
      <c r="H62" s="213"/>
      <c r="I62" s="213"/>
    </row>
    <row r="63" spans="2:12" ht="15.75" thickBot="1">
      <c r="B63" s="215" t="s">
        <v>442</v>
      </c>
      <c r="C63" s="213"/>
      <c r="D63" s="213"/>
      <c r="E63" s="524"/>
      <c r="F63" s="213"/>
      <c r="G63" s="213"/>
      <c r="H63" s="213"/>
      <c r="I63" s="213"/>
    </row>
    <row r="64" spans="2:12">
      <c r="B64" s="1401" t="s">
        <v>902</v>
      </c>
      <c r="C64" s="1402"/>
      <c r="D64" s="1403"/>
      <c r="E64" s="570" t="s">
        <v>904</v>
      </c>
      <c r="F64" s="571"/>
      <c r="G64" s="571"/>
      <c r="H64" s="576" t="s">
        <v>584</v>
      </c>
      <c r="I64" s="213"/>
    </row>
    <row r="65" spans="2:17">
      <c r="B65" s="1404" t="s">
        <v>566</v>
      </c>
      <c r="C65" s="1405"/>
      <c r="D65" s="1406"/>
      <c r="E65" s="214">
        <v>1</v>
      </c>
      <c r="F65" s="1421" t="s">
        <v>592</v>
      </c>
      <c r="G65" s="1406"/>
      <c r="H65" s="248">
        <f t="shared" ref="H65:H73" si="5">TRUNC(E65*$D$47/12,2)</f>
        <v>3.58</v>
      </c>
      <c r="I65" s="868"/>
      <c r="J65" s="869"/>
      <c r="K65" s="869"/>
      <c r="L65" s="879" t="s">
        <v>1222</v>
      </c>
    </row>
    <row r="66" spans="2:17">
      <c r="B66" s="1407" t="s">
        <v>887</v>
      </c>
      <c r="C66" s="1408"/>
      <c r="D66" s="1409"/>
      <c r="E66" s="214">
        <v>3</v>
      </c>
      <c r="F66" s="1422" t="s">
        <v>592</v>
      </c>
      <c r="G66" s="1409"/>
      <c r="H66" s="212">
        <f t="shared" si="5"/>
        <v>10.75</v>
      </c>
      <c r="I66" s="868"/>
      <c r="J66" s="869"/>
      <c r="K66" s="869"/>
      <c r="L66" s="879" t="s">
        <v>1201</v>
      </c>
      <c r="M66" s="869"/>
      <c r="N66" s="22"/>
    </row>
    <row r="67" spans="2:17" ht="29.25" customHeight="1">
      <c r="B67" s="1410" t="s">
        <v>493</v>
      </c>
      <c r="C67" s="1411"/>
      <c r="D67" s="1412"/>
      <c r="E67" s="214">
        <v>3</v>
      </c>
      <c r="F67" s="1422" t="s">
        <v>592</v>
      </c>
      <c r="G67" s="1409"/>
      <c r="H67" s="212">
        <f t="shared" si="5"/>
        <v>10.75</v>
      </c>
      <c r="I67" s="868"/>
      <c r="J67" s="869"/>
      <c r="K67" s="869"/>
      <c r="L67" s="879" t="s">
        <v>1201</v>
      </c>
    </row>
    <row r="68" spans="2:17">
      <c r="B68" s="1407" t="s">
        <v>438</v>
      </c>
      <c r="C68" s="1408"/>
      <c r="D68" s="1409"/>
      <c r="E68" s="214">
        <v>2</v>
      </c>
      <c r="F68" s="1422" t="s">
        <v>592</v>
      </c>
      <c r="G68" s="1409"/>
      <c r="H68" s="212">
        <f t="shared" si="5"/>
        <v>7.16</v>
      </c>
      <c r="I68" s="868"/>
      <c r="J68" s="869"/>
      <c r="K68" s="869"/>
      <c r="L68" s="879" t="s">
        <v>1201</v>
      </c>
    </row>
    <row r="69" spans="2:17" ht="29.25" customHeight="1">
      <c r="B69" s="1410" t="s">
        <v>889</v>
      </c>
      <c r="C69" s="1411"/>
      <c r="D69" s="1412"/>
      <c r="E69" s="214">
        <v>3</v>
      </c>
      <c r="F69" s="1422" t="s">
        <v>593</v>
      </c>
      <c r="G69" s="1409"/>
      <c r="H69" s="212">
        <f t="shared" si="5"/>
        <v>10.75</v>
      </c>
      <c r="I69" s="868"/>
      <c r="J69" s="869"/>
      <c r="K69" s="869"/>
      <c r="L69" s="879" t="s">
        <v>1201</v>
      </c>
    </row>
    <row r="70" spans="2:17">
      <c r="B70" s="1407" t="s">
        <v>496</v>
      </c>
      <c r="C70" s="1408"/>
      <c r="D70" s="1409"/>
      <c r="E70" s="214">
        <v>2</v>
      </c>
      <c r="F70" s="1422" t="s">
        <v>592</v>
      </c>
      <c r="G70" s="1409"/>
      <c r="H70" s="212">
        <f t="shared" si="5"/>
        <v>7.16</v>
      </c>
      <c r="I70" s="868"/>
      <c r="J70" s="869"/>
      <c r="K70" s="869"/>
      <c r="L70" s="879" t="s">
        <v>1201</v>
      </c>
    </row>
    <row r="71" spans="2:17">
      <c r="B71" s="1407" t="s">
        <v>497</v>
      </c>
      <c r="C71" s="1408"/>
      <c r="D71" s="1409"/>
      <c r="E71" s="214">
        <v>2</v>
      </c>
      <c r="F71" s="1422" t="s">
        <v>592</v>
      </c>
      <c r="G71" s="1409"/>
      <c r="H71" s="212">
        <f t="shared" si="5"/>
        <v>7.16</v>
      </c>
      <c r="I71" s="868"/>
      <c r="J71" s="869"/>
      <c r="K71" s="869"/>
      <c r="L71" s="880" t="s">
        <v>1223</v>
      </c>
    </row>
    <row r="72" spans="2:17" ht="17.25" customHeight="1">
      <c r="B72" s="1407" t="s">
        <v>888</v>
      </c>
      <c r="C72" s="1408"/>
      <c r="D72" s="1409"/>
      <c r="E72" s="214">
        <v>8</v>
      </c>
      <c r="F72" s="1422" t="s">
        <v>593</v>
      </c>
      <c r="G72" s="1409"/>
      <c r="H72" s="212">
        <f t="shared" si="5"/>
        <v>28.66</v>
      </c>
      <c r="I72" s="868"/>
      <c r="J72" s="869"/>
      <c r="K72" s="869"/>
      <c r="L72" s="879" t="s">
        <v>1201</v>
      </c>
      <c r="Q72" s="222" t="s">
        <v>1224</v>
      </c>
    </row>
    <row r="73" spans="2:17" ht="15.75" thickBot="1">
      <c r="B73" s="1418" t="s">
        <v>499</v>
      </c>
      <c r="C73" s="1419"/>
      <c r="D73" s="1420"/>
      <c r="E73" s="249">
        <v>12</v>
      </c>
      <c r="F73" s="1429" t="s">
        <v>592</v>
      </c>
      <c r="G73" s="1420"/>
      <c r="H73" s="250">
        <f t="shared" si="5"/>
        <v>43</v>
      </c>
      <c r="I73" s="868"/>
      <c r="J73" s="869"/>
      <c r="K73" s="869"/>
      <c r="L73" s="880" t="s">
        <v>1221</v>
      </c>
    </row>
    <row r="74" spans="2:17">
      <c r="B74" s="244" t="s">
        <v>595</v>
      </c>
      <c r="C74" s="213"/>
      <c r="D74" s="213"/>
      <c r="E74" s="213"/>
      <c r="F74" s="213"/>
      <c r="G74" s="213"/>
      <c r="H74" s="213"/>
      <c r="I74" s="251"/>
      <c r="K74" s="869"/>
    </row>
    <row r="75" spans="2:17">
      <c r="B75" s="247"/>
      <c r="C75" s="213"/>
      <c r="D75" s="213"/>
      <c r="E75" s="213"/>
      <c r="F75" s="213"/>
      <c r="G75" s="213"/>
      <c r="H75" s="213"/>
      <c r="I75" s="251"/>
    </row>
    <row r="76" spans="2:17" ht="15.75" thickBot="1">
      <c r="B76" s="215" t="s">
        <v>1161</v>
      </c>
      <c r="C76" s="213"/>
      <c r="D76" s="213"/>
      <c r="E76" s="524"/>
      <c r="F76" s="213"/>
      <c r="G76" s="213"/>
      <c r="H76" s="213"/>
      <c r="I76" s="251"/>
    </row>
    <row r="77" spans="2:17">
      <c r="B77" s="1401" t="s">
        <v>902</v>
      </c>
      <c r="C77" s="1402"/>
      <c r="D77" s="1403"/>
      <c r="E77" s="570" t="s">
        <v>904</v>
      </c>
      <c r="F77" s="571"/>
      <c r="G77" s="571"/>
      <c r="H77" s="573" t="s">
        <v>584</v>
      </c>
      <c r="I77" s="251"/>
    </row>
    <row r="78" spans="2:17">
      <c r="B78" s="1404" t="s">
        <v>604</v>
      </c>
      <c r="C78" s="1405"/>
      <c r="D78" s="1405"/>
      <c r="E78" s="846">
        <v>0.17</v>
      </c>
      <c r="F78" s="1421" t="s">
        <v>592</v>
      </c>
      <c r="G78" s="1406"/>
      <c r="H78" s="248">
        <f>TRUNC(E78*D47/12,2)</f>
        <v>0.6</v>
      </c>
      <c r="I78" s="868"/>
      <c r="L78" s="879" t="s">
        <v>1203</v>
      </c>
    </row>
    <row r="79" spans="2:17" ht="15.75" thickBot="1">
      <c r="B79" s="1418" t="s">
        <v>1038</v>
      </c>
      <c r="C79" s="1419"/>
      <c r="D79" s="1419"/>
      <c r="E79" s="845">
        <v>0.53600000000000003</v>
      </c>
      <c r="F79" s="764" t="s">
        <v>1171</v>
      </c>
      <c r="G79" s="551"/>
      <c r="H79" s="885">
        <f>TRUNC(E79*$D$44/12,2)</f>
        <v>1.78</v>
      </c>
      <c r="I79" s="868"/>
      <c r="L79" s="879" t="s">
        <v>1225</v>
      </c>
    </row>
    <row r="80" spans="2:17">
      <c r="B80" s="244" t="s">
        <v>595</v>
      </c>
      <c r="C80" s="213"/>
      <c r="D80" s="213"/>
      <c r="E80" s="213"/>
      <c r="F80" s="213"/>
      <c r="G80" s="213"/>
      <c r="H80" s="213"/>
      <c r="I80" s="213"/>
    </row>
    <row r="81" spans="2:9">
      <c r="B81" s="247"/>
      <c r="C81" s="213"/>
      <c r="D81" s="213"/>
      <c r="E81" s="213"/>
      <c r="F81" s="213"/>
      <c r="G81" s="213"/>
      <c r="H81" s="213"/>
      <c r="I81" s="213"/>
    </row>
    <row r="82" spans="2:9" ht="15.75">
      <c r="B82" s="252" t="s">
        <v>1028</v>
      </c>
      <c r="C82" s="213"/>
      <c r="D82" s="213"/>
      <c r="E82" s="213"/>
      <c r="F82" s="213"/>
      <c r="G82" s="213"/>
      <c r="H82" s="213"/>
      <c r="I82" s="213"/>
    </row>
    <row r="83" spans="2:9">
      <c r="B83" s="215" t="s">
        <v>1029</v>
      </c>
      <c r="C83" s="213"/>
      <c r="D83" s="213"/>
      <c r="E83" s="213"/>
      <c r="F83" s="213"/>
      <c r="G83" s="213"/>
      <c r="H83" s="213"/>
      <c r="I83" s="213"/>
    </row>
    <row r="84" spans="2:9" ht="15.75" thickBot="1">
      <c r="B84" s="215" t="s">
        <v>1127</v>
      </c>
      <c r="C84" s="213"/>
      <c r="D84" s="213"/>
      <c r="E84" s="213"/>
      <c r="F84" s="213"/>
      <c r="G84" s="213"/>
      <c r="H84" s="213"/>
      <c r="I84" s="213"/>
    </row>
    <row r="85" spans="2:9">
      <c r="B85" s="583" t="s">
        <v>1128</v>
      </c>
      <c r="C85" s="584"/>
      <c r="D85" s="584"/>
      <c r="E85" s="584"/>
      <c r="F85" s="584"/>
      <c r="G85" s="585"/>
      <c r="H85" s="586">
        <f>H101+H103+H107+H109</f>
        <v>3271.46</v>
      </c>
      <c r="I85" s="213"/>
    </row>
    <row r="86" spans="2:9">
      <c r="B86" s="587" t="str">
        <f>CONCATENATE("Salário - ",B85)</f>
        <v>Salário - Agente de limpeza pública e serviços gerais</v>
      </c>
      <c r="C86" s="588"/>
      <c r="D86" s="589"/>
      <c r="E86" s="590" t="s">
        <v>466</v>
      </c>
      <c r="F86" s="590">
        <v>1</v>
      </c>
      <c r="G86" s="591">
        <f>VLOOKUP(B86,Tabela3[[#All],[descrição]:[fonte]],4,FALSE)</f>
        <v>1115.69</v>
      </c>
      <c r="H86" s="592">
        <f>TRUNC(F86*G86,2)</f>
        <v>1115.69</v>
      </c>
      <c r="I86" s="213"/>
    </row>
    <row r="87" spans="2:9">
      <c r="B87" s="593" t="s">
        <v>855</v>
      </c>
      <c r="C87" s="594"/>
      <c r="D87" s="594"/>
      <c r="E87" s="595" t="s">
        <v>466</v>
      </c>
      <c r="F87" s="595">
        <v>1</v>
      </c>
      <c r="G87" s="591">
        <f>VLOOKUP(B87,Tabela3[[#All],[descrição]:[fonte]],4,FALSE)</f>
        <v>1045</v>
      </c>
      <c r="H87" s="596"/>
      <c r="I87" s="213"/>
    </row>
    <row r="88" spans="2:9">
      <c r="B88" s="593" t="s">
        <v>468</v>
      </c>
      <c r="C88" s="594"/>
      <c r="D88" s="594"/>
      <c r="E88" s="595" t="s">
        <v>469</v>
      </c>
      <c r="F88" s="597"/>
      <c r="G88" s="598"/>
      <c r="H88" s="599"/>
      <c r="I88" s="213"/>
    </row>
    <row r="89" spans="2:9">
      <c r="B89" s="593"/>
      <c r="C89" s="594"/>
      <c r="D89" s="594"/>
      <c r="E89" s="595" t="s">
        <v>470</v>
      </c>
      <c r="F89" s="591">
        <f>F88*8/7</f>
        <v>0</v>
      </c>
      <c r="G89" s="600">
        <f>G86/220*0.2</f>
        <v>1.0142636363636366</v>
      </c>
      <c r="H89" s="596">
        <f>TRUNC(F89*G89,2)</f>
        <v>0</v>
      </c>
      <c r="I89" s="213"/>
    </row>
    <row r="90" spans="2:9">
      <c r="B90" s="593" t="s">
        <v>471</v>
      </c>
      <c r="C90" s="594"/>
      <c r="D90" s="594"/>
      <c r="E90" s="595" t="s">
        <v>472</v>
      </c>
      <c r="F90" s="601"/>
      <c r="G90" s="591">
        <f>G86/220*2</f>
        <v>10.142636363636365</v>
      </c>
      <c r="H90" s="596">
        <f>TRUNC(F90*G90,2)</f>
        <v>0</v>
      </c>
      <c r="I90" s="213"/>
    </row>
    <row r="91" spans="2:9">
      <c r="B91" s="593" t="s">
        <v>473</v>
      </c>
      <c r="C91" s="594"/>
      <c r="D91" s="594"/>
      <c r="E91" s="595" t="s">
        <v>469</v>
      </c>
      <c r="F91" s="597"/>
      <c r="G91" s="591"/>
      <c r="H91" s="596"/>
      <c r="I91" s="213"/>
    </row>
    <row r="92" spans="2:9">
      <c r="B92" s="593"/>
      <c r="C92" s="594"/>
      <c r="D92" s="594"/>
      <c r="E92" s="595" t="s">
        <v>470</v>
      </c>
      <c r="F92" s="591">
        <f>F91*8/7</f>
        <v>0</v>
      </c>
      <c r="G92" s="591">
        <f>G86/220*2*1.2</f>
        <v>12.171163636363637</v>
      </c>
      <c r="H92" s="596">
        <f>TRUNC(F92*G92,2)</f>
        <v>0</v>
      </c>
      <c r="I92" s="213"/>
    </row>
    <row r="93" spans="2:9">
      <c r="B93" s="593" t="s">
        <v>474</v>
      </c>
      <c r="C93" s="594"/>
      <c r="D93" s="594"/>
      <c r="E93" s="595" t="s">
        <v>472</v>
      </c>
      <c r="F93" s="601"/>
      <c r="G93" s="591">
        <f>G86/220*1.5</f>
        <v>7.6069772727272742</v>
      </c>
      <c r="H93" s="596">
        <f>TRUNC(F93*G93,2)</f>
        <v>0</v>
      </c>
      <c r="I93" s="213"/>
    </row>
    <row r="94" spans="2:9">
      <c r="B94" s="593" t="s">
        <v>475</v>
      </c>
      <c r="C94" s="594"/>
      <c r="D94" s="594"/>
      <c r="E94" s="595" t="s">
        <v>469</v>
      </c>
      <c r="F94" s="601"/>
      <c r="G94" s="591"/>
      <c r="H94" s="596"/>
      <c r="I94" s="213"/>
    </row>
    <row r="95" spans="2:9">
      <c r="B95" s="593"/>
      <c r="C95" s="594"/>
      <c r="D95" s="594"/>
      <c r="E95" s="595" t="s">
        <v>470</v>
      </c>
      <c r="F95" s="591">
        <f>F94*8/7</f>
        <v>0</v>
      </c>
      <c r="G95" s="591">
        <f>G86/220*1.5*1.2</f>
        <v>9.128372727272728</v>
      </c>
      <c r="H95" s="596">
        <f>TRUNC(F95*G95,2)</f>
        <v>0</v>
      </c>
      <c r="I95" s="213"/>
    </row>
    <row r="96" spans="2:9">
      <c r="B96" s="593" t="s">
        <v>476</v>
      </c>
      <c r="C96" s="594"/>
      <c r="D96" s="594"/>
      <c r="E96" s="595" t="s">
        <v>477</v>
      </c>
      <c r="F96" s="598"/>
      <c r="G96" s="591">
        <f>TRUNC(((52+9)/304)*(SUM(H90:H95)),2)</f>
        <v>0</v>
      </c>
      <c r="H96" s="596">
        <f>G96</f>
        <v>0</v>
      </c>
      <c r="I96" s="213"/>
    </row>
    <row r="97" spans="2:9">
      <c r="B97" s="593" t="s">
        <v>478</v>
      </c>
      <c r="C97" s="594"/>
      <c r="D97" s="594"/>
      <c r="E97" s="595"/>
      <c r="F97" s="602">
        <v>1</v>
      </c>
      <c r="G97" s="591"/>
      <c r="H97" s="596"/>
      <c r="I97" s="213"/>
    </row>
    <row r="98" spans="2:9">
      <c r="B98" s="593" t="s">
        <v>479</v>
      </c>
      <c r="C98" s="594"/>
      <c r="D98" s="594"/>
      <c r="E98" s="595" t="s">
        <v>480</v>
      </c>
      <c r="F98" s="603">
        <f>VLOOKUP(B86,Tabela3[[#All],[descrição]:[fonte]],3,FALSE)</f>
        <v>40</v>
      </c>
      <c r="G98" s="591">
        <f>IF(F97=2,SUM(H86:H96),IF(F97=1,SUM(H86:H96)*G87/G86,0))</f>
        <v>1045</v>
      </c>
      <c r="H98" s="596">
        <f>TRUNC(F98*G98/100,2)</f>
        <v>418</v>
      </c>
      <c r="I98" s="213"/>
    </row>
    <row r="99" spans="2:9">
      <c r="B99" s="604" t="s">
        <v>481</v>
      </c>
      <c r="C99" s="594"/>
      <c r="D99" s="594"/>
      <c r="E99" s="605"/>
      <c r="F99" s="605"/>
      <c r="G99" s="606"/>
      <c r="H99" s="607">
        <f>SUM(H86:H98)</f>
        <v>1533.69</v>
      </c>
      <c r="I99" s="213"/>
    </row>
    <row r="100" spans="2:9">
      <c r="B100" s="608" t="s">
        <v>482</v>
      </c>
      <c r="C100" s="609"/>
      <c r="D100" s="610"/>
      <c r="E100" s="611" t="s">
        <v>480</v>
      </c>
      <c r="F100" s="612">
        <f>VLOOKUP(B100,Tabela3[[#All],[descrição]:[fonte]],4,FALSE)</f>
        <v>70.489999999999995</v>
      </c>
      <c r="G100" s="612">
        <f>H99</f>
        <v>1533.69</v>
      </c>
      <c r="H100" s="613">
        <f>TRUNC(G100*F100/100,2)</f>
        <v>1081.0899999999999</v>
      </c>
      <c r="I100" s="213"/>
    </row>
    <row r="101" spans="2:9">
      <c r="B101" s="614" t="s">
        <v>861</v>
      </c>
      <c r="C101" s="594"/>
      <c r="D101" s="594"/>
      <c r="E101" s="615"/>
      <c r="F101" s="615"/>
      <c r="G101" s="616"/>
      <c r="H101" s="617">
        <f>TRUNC(H99+H100,2)</f>
        <v>2614.7800000000002</v>
      </c>
      <c r="I101" s="213"/>
    </row>
    <row r="102" spans="2:9">
      <c r="B102" s="618" t="s">
        <v>483</v>
      </c>
      <c r="C102" s="244"/>
      <c r="D102" s="244"/>
      <c r="E102" s="244"/>
      <c r="F102" s="244"/>
      <c r="G102" s="244"/>
      <c r="H102" s="619"/>
      <c r="I102" s="213"/>
    </row>
    <row r="103" spans="2:9">
      <c r="B103" s="620" t="s">
        <v>860</v>
      </c>
      <c r="C103" s="621"/>
      <c r="D103" s="622"/>
      <c r="E103" s="623" t="s">
        <v>484</v>
      </c>
      <c r="F103" s="624">
        <v>1</v>
      </c>
      <c r="G103" s="624">
        <f>H106</f>
        <v>132.72</v>
      </c>
      <c r="H103" s="625">
        <f>TRUNC(G103*F103,2)</f>
        <v>132.72</v>
      </c>
      <c r="I103" s="213"/>
    </row>
    <row r="104" spans="2:9">
      <c r="B104" s="593" t="s">
        <v>485</v>
      </c>
      <c r="C104" s="594"/>
      <c r="D104" s="594"/>
      <c r="E104" s="595" t="s">
        <v>477</v>
      </c>
      <c r="F104" s="591">
        <v>1</v>
      </c>
      <c r="G104" s="591">
        <f>VLOOKUP(B104,Tabela3[[#All],[descrição]:[fonte]],4,FALSE)</f>
        <v>3.95</v>
      </c>
      <c r="H104" s="596"/>
      <c r="I104" s="213"/>
    </row>
    <row r="105" spans="2:9">
      <c r="B105" s="593" t="s">
        <v>486</v>
      </c>
      <c r="C105" s="594"/>
      <c r="D105" s="594"/>
      <c r="E105" s="595" t="s">
        <v>487</v>
      </c>
      <c r="F105" s="626">
        <f>$H$3</f>
        <v>25.33</v>
      </c>
      <c r="G105" s="591"/>
      <c r="H105" s="596"/>
      <c r="I105" s="213"/>
    </row>
    <row r="106" spans="2:9" ht="28.5" customHeight="1">
      <c r="B106" s="1423" t="str">
        <f>CONCATENATE("Vale Transporte - ",B85)</f>
        <v>Vale Transporte - Agente de limpeza pública e serviços gerais</v>
      </c>
      <c r="C106" s="1424"/>
      <c r="D106" s="1425"/>
      <c r="E106" s="628" t="s">
        <v>488</v>
      </c>
      <c r="F106" s="629">
        <f>F105*2*1</f>
        <v>50.66</v>
      </c>
      <c r="G106" s="629">
        <f>IF(TRUNC(IFERROR(((G104)-((G86*0.06)/(F105*2))),"-"),2)&lt;=0,0,TRUNC(IFERROR(((G104)-((G86*0.06)/(F105*2))),"-"),2))</f>
        <v>2.62</v>
      </c>
      <c r="H106" s="630">
        <f>TRUNC(IFERROR(F106*G106,"-"),2)</f>
        <v>132.72</v>
      </c>
      <c r="I106" s="213"/>
    </row>
    <row r="107" spans="2:9">
      <c r="B107" s="620" t="s">
        <v>859</v>
      </c>
      <c r="C107" s="621"/>
      <c r="D107" s="622"/>
      <c r="E107" s="623" t="s">
        <v>484</v>
      </c>
      <c r="F107" s="624">
        <v>1</v>
      </c>
      <c r="G107" s="624">
        <f>H108</f>
        <v>303.95999999999998</v>
      </c>
      <c r="H107" s="625">
        <f>G107*F107</f>
        <v>303.95999999999998</v>
      </c>
      <c r="I107" s="213"/>
    </row>
    <row r="108" spans="2:9">
      <c r="B108" s="631" t="s">
        <v>489</v>
      </c>
      <c r="C108" s="632"/>
      <c r="D108" s="633"/>
      <c r="E108" s="634" t="s">
        <v>490</v>
      </c>
      <c r="F108" s="624">
        <f>F105</f>
        <v>25.33</v>
      </c>
      <c r="G108" s="624">
        <f>VLOOKUP(B108,Tabela3[[#All],[descrição]:[fonte]],4,FALSE)</f>
        <v>12</v>
      </c>
      <c r="H108" s="635">
        <f>TRUNC(F108*G108,2)</f>
        <v>303.95999999999998</v>
      </c>
      <c r="I108" s="213"/>
    </row>
    <row r="109" spans="2:9">
      <c r="B109" s="636" t="s">
        <v>491</v>
      </c>
      <c r="C109" s="637"/>
      <c r="D109" s="638"/>
      <c r="E109" s="605" t="s">
        <v>484</v>
      </c>
      <c r="F109" s="591">
        <v>1</v>
      </c>
      <c r="G109" s="591">
        <f>VLOOKUP(B109,Tabela3[[#All],[descrição]:[fonte]],4,FALSE)</f>
        <v>220</v>
      </c>
      <c r="H109" s="607">
        <f>G109*F109</f>
        <v>220</v>
      </c>
      <c r="I109" s="213"/>
    </row>
    <row r="110" spans="2:9">
      <c r="B110" s="639" t="s">
        <v>384</v>
      </c>
      <c r="C110" s="640"/>
      <c r="D110" s="640"/>
      <c r="E110" s="640"/>
      <c r="F110" s="640"/>
      <c r="G110" s="640"/>
      <c r="H110" s="641">
        <f>D44</f>
        <v>40</v>
      </c>
      <c r="I110" s="213"/>
    </row>
    <row r="111" spans="2:9" ht="15.75" thickBot="1">
      <c r="B111" s="642" t="s">
        <v>854</v>
      </c>
      <c r="C111" s="643"/>
      <c r="D111" s="643"/>
      <c r="E111" s="643"/>
      <c r="F111" s="643"/>
      <c r="G111" s="643"/>
      <c r="H111" s="644">
        <f>H110*H85</f>
        <v>130858.4</v>
      </c>
      <c r="I111" s="213"/>
    </row>
    <row r="112" spans="2:9">
      <c r="B112" s="213"/>
      <c r="C112" s="213"/>
      <c r="D112" s="213"/>
      <c r="E112" s="213"/>
      <c r="F112" s="213"/>
      <c r="G112" s="213"/>
      <c r="H112" s="213"/>
      <c r="I112" s="213"/>
    </row>
    <row r="113" spans="2:9" ht="15.75" thickBot="1">
      <c r="B113" s="215" t="s">
        <v>1131</v>
      </c>
      <c r="C113" s="213"/>
      <c r="D113" s="213"/>
      <c r="E113" s="213"/>
      <c r="F113" s="213"/>
      <c r="G113" s="213"/>
      <c r="H113" s="213"/>
      <c r="I113" s="213"/>
    </row>
    <row r="114" spans="2:9">
      <c r="B114" s="583" t="s">
        <v>1132</v>
      </c>
      <c r="C114" s="584"/>
      <c r="D114" s="584"/>
      <c r="E114" s="584"/>
      <c r="F114" s="584"/>
      <c r="G114" s="585"/>
      <c r="H114" s="586">
        <f>H130+H132+H136+H138</f>
        <v>3490.1499999999996</v>
      </c>
      <c r="I114" s="213"/>
    </row>
    <row r="115" spans="2:9">
      <c r="B115" s="587" t="str">
        <f>CONCATENATE("Salário - ",B114)</f>
        <v>Salário - Encarregado de equipe</v>
      </c>
      <c r="C115" s="588"/>
      <c r="D115" s="589"/>
      <c r="E115" s="590" t="s">
        <v>466</v>
      </c>
      <c r="F115" s="590">
        <v>1</v>
      </c>
      <c r="G115" s="591">
        <f>VLOOKUP(B115,Tabela3[[#All],[descrição]:[fonte]],4,FALSE)</f>
        <v>1465.14</v>
      </c>
      <c r="H115" s="592">
        <f>TRUNC(F115*G115,2)</f>
        <v>1465.14</v>
      </c>
      <c r="I115" s="213"/>
    </row>
    <row r="116" spans="2:9">
      <c r="B116" s="593" t="s">
        <v>855</v>
      </c>
      <c r="C116" s="594"/>
      <c r="D116" s="594"/>
      <c r="E116" s="595" t="s">
        <v>466</v>
      </c>
      <c r="F116" s="595">
        <v>1</v>
      </c>
      <c r="G116" s="591">
        <f>VLOOKUP(B116,Tabela3[[#All],[descrição]:[fonte]],4,FALSE)</f>
        <v>1045</v>
      </c>
      <c r="H116" s="596"/>
      <c r="I116" s="213"/>
    </row>
    <row r="117" spans="2:9">
      <c r="B117" s="593" t="s">
        <v>468</v>
      </c>
      <c r="C117" s="594"/>
      <c r="D117" s="594"/>
      <c r="E117" s="595" t="s">
        <v>469</v>
      </c>
      <c r="F117" s="597"/>
      <c r="G117" s="598"/>
      <c r="H117" s="599"/>
      <c r="I117" s="213"/>
    </row>
    <row r="118" spans="2:9">
      <c r="B118" s="593"/>
      <c r="C118" s="594"/>
      <c r="D118" s="594"/>
      <c r="E118" s="595" t="s">
        <v>470</v>
      </c>
      <c r="F118" s="591">
        <f>F117*8/7</f>
        <v>0</v>
      </c>
      <c r="G118" s="600">
        <f>G115/220*0.2</f>
        <v>1.3319454545454548</v>
      </c>
      <c r="H118" s="596">
        <f>TRUNC(F118*G118,2)</f>
        <v>0</v>
      </c>
      <c r="I118" s="213"/>
    </row>
    <row r="119" spans="2:9">
      <c r="B119" s="593" t="s">
        <v>471</v>
      </c>
      <c r="C119" s="594"/>
      <c r="D119" s="594"/>
      <c r="E119" s="595" t="s">
        <v>472</v>
      </c>
      <c r="F119" s="601"/>
      <c r="G119" s="591">
        <f>G115/220*2</f>
        <v>13.319454545454546</v>
      </c>
      <c r="H119" s="596">
        <f>TRUNC(F119*G119,2)</f>
        <v>0</v>
      </c>
      <c r="I119" s="213"/>
    </row>
    <row r="120" spans="2:9">
      <c r="B120" s="593" t="s">
        <v>473</v>
      </c>
      <c r="C120" s="594"/>
      <c r="D120" s="594"/>
      <c r="E120" s="595" t="s">
        <v>469</v>
      </c>
      <c r="F120" s="597"/>
      <c r="G120" s="591"/>
      <c r="H120" s="596"/>
      <c r="I120" s="213"/>
    </row>
    <row r="121" spans="2:9">
      <c r="B121" s="593"/>
      <c r="C121" s="594"/>
      <c r="D121" s="594"/>
      <c r="E121" s="595" t="s">
        <v>470</v>
      </c>
      <c r="F121" s="591">
        <f>F120*8/7</f>
        <v>0</v>
      </c>
      <c r="G121" s="591">
        <f>G115/220*2*1.2</f>
        <v>15.983345454545454</v>
      </c>
      <c r="H121" s="596">
        <f>TRUNC(F121*G121,2)</f>
        <v>0</v>
      </c>
      <c r="I121" s="213"/>
    </row>
    <row r="122" spans="2:9">
      <c r="B122" s="593" t="s">
        <v>474</v>
      </c>
      <c r="C122" s="594"/>
      <c r="D122" s="594"/>
      <c r="E122" s="595" t="s">
        <v>472</v>
      </c>
      <c r="F122" s="601"/>
      <c r="G122" s="591">
        <f>G115/220*1.5</f>
        <v>9.989590909090909</v>
      </c>
      <c r="H122" s="596">
        <f>TRUNC(F122*G122,2)</f>
        <v>0</v>
      </c>
      <c r="I122" s="213"/>
    </row>
    <row r="123" spans="2:9">
      <c r="B123" s="593" t="s">
        <v>475</v>
      </c>
      <c r="C123" s="594"/>
      <c r="D123" s="594"/>
      <c r="E123" s="595" t="s">
        <v>469</v>
      </c>
      <c r="F123" s="601"/>
      <c r="G123" s="591"/>
      <c r="H123" s="596"/>
      <c r="I123" s="213"/>
    </row>
    <row r="124" spans="2:9">
      <c r="B124" s="593"/>
      <c r="C124" s="594"/>
      <c r="D124" s="594"/>
      <c r="E124" s="595" t="s">
        <v>470</v>
      </c>
      <c r="F124" s="591">
        <f>F123*8/7</f>
        <v>0</v>
      </c>
      <c r="G124" s="591">
        <f>G115/220*1.5*1.2</f>
        <v>11.987509090909091</v>
      </c>
      <c r="H124" s="596">
        <f>TRUNC(F124*G124,2)</f>
        <v>0</v>
      </c>
      <c r="I124" s="213"/>
    </row>
    <row r="125" spans="2:9">
      <c r="B125" s="593" t="s">
        <v>476</v>
      </c>
      <c r="C125" s="594"/>
      <c r="D125" s="594"/>
      <c r="E125" s="595" t="s">
        <v>477</v>
      </c>
      <c r="F125" s="598"/>
      <c r="G125" s="591">
        <f>TRUNC(((52+9)/304)*(SUM(H119:H124)),2)</f>
        <v>0</v>
      </c>
      <c r="H125" s="596">
        <f>G125</f>
        <v>0</v>
      </c>
      <c r="I125" s="213"/>
    </row>
    <row r="126" spans="2:9">
      <c r="B126" s="593" t="s">
        <v>478</v>
      </c>
      <c r="C126" s="594"/>
      <c r="D126" s="594"/>
      <c r="E126" s="595"/>
      <c r="F126" s="602">
        <v>1</v>
      </c>
      <c r="G126" s="591"/>
      <c r="H126" s="596"/>
      <c r="I126" s="213"/>
    </row>
    <row r="127" spans="2:9">
      <c r="B127" s="593" t="s">
        <v>479</v>
      </c>
      <c r="C127" s="594"/>
      <c r="D127" s="594"/>
      <c r="E127" s="595" t="s">
        <v>480</v>
      </c>
      <c r="F127" s="603">
        <f>VLOOKUP(B115,Tabela3[[#All],[descrição]:[fonte]],3,FALSE)</f>
        <v>20</v>
      </c>
      <c r="G127" s="591">
        <f>IF(F126=2,SUM(H115:H125),IF(F126=1,SUM(H115:H125)*G116/G115,0))</f>
        <v>1045</v>
      </c>
      <c r="H127" s="596">
        <f>TRUNC(F127*G127/100,2)</f>
        <v>209</v>
      </c>
      <c r="I127" s="213"/>
    </row>
    <row r="128" spans="2:9">
      <c r="B128" s="604" t="s">
        <v>481</v>
      </c>
      <c r="C128" s="594"/>
      <c r="D128" s="594"/>
      <c r="E128" s="605"/>
      <c r="F128" s="605"/>
      <c r="G128" s="606"/>
      <c r="H128" s="607">
        <f>SUM(H115:H127)</f>
        <v>1674.14</v>
      </c>
      <c r="I128" s="213"/>
    </row>
    <row r="129" spans="2:9">
      <c r="B129" s="608" t="s">
        <v>482</v>
      </c>
      <c r="C129" s="609"/>
      <c r="D129" s="610"/>
      <c r="E129" s="611" t="s">
        <v>480</v>
      </c>
      <c r="F129" s="612">
        <f>VLOOKUP(B129,Tabela3[[#All],[descrição]:[fonte]],4,FALSE)</f>
        <v>70.489999999999995</v>
      </c>
      <c r="G129" s="612">
        <f>H128</f>
        <v>1674.14</v>
      </c>
      <c r="H129" s="613">
        <f>TRUNC(G129*F129/100,2)</f>
        <v>1180.0999999999999</v>
      </c>
      <c r="I129" s="213"/>
    </row>
    <row r="130" spans="2:9">
      <c r="B130" s="614" t="s">
        <v>861</v>
      </c>
      <c r="C130" s="594"/>
      <c r="D130" s="594"/>
      <c r="E130" s="615"/>
      <c r="F130" s="615"/>
      <c r="G130" s="616"/>
      <c r="H130" s="617">
        <f>TRUNC(H128+H129,2)</f>
        <v>2854.24</v>
      </c>
      <c r="I130" s="213"/>
    </row>
    <row r="131" spans="2:9">
      <c r="B131" s="618" t="s">
        <v>483</v>
      </c>
      <c r="C131" s="244"/>
      <c r="D131" s="244"/>
      <c r="E131" s="244"/>
      <c r="F131" s="244"/>
      <c r="G131" s="244"/>
      <c r="H131" s="619"/>
      <c r="I131" s="213"/>
    </row>
    <row r="132" spans="2:9">
      <c r="B132" s="620" t="s">
        <v>860</v>
      </c>
      <c r="C132" s="621"/>
      <c r="D132" s="622"/>
      <c r="E132" s="623" t="s">
        <v>484</v>
      </c>
      <c r="F132" s="624">
        <v>1</v>
      </c>
      <c r="G132" s="624">
        <f>H135</f>
        <v>111.95</v>
      </c>
      <c r="H132" s="625">
        <f>TRUNC(G132*F132,2)</f>
        <v>111.95</v>
      </c>
      <c r="I132" s="213"/>
    </row>
    <row r="133" spans="2:9">
      <c r="B133" s="593" t="s">
        <v>485</v>
      </c>
      <c r="C133" s="594"/>
      <c r="D133" s="594"/>
      <c r="E133" s="595" t="s">
        <v>477</v>
      </c>
      <c r="F133" s="591">
        <v>1</v>
      </c>
      <c r="G133" s="591">
        <f>VLOOKUP(B133,Tabela3[[#All],[descrição]:[fonte]],4,FALSE)</f>
        <v>3.95</v>
      </c>
      <c r="H133" s="596"/>
      <c r="I133" s="213"/>
    </row>
    <row r="134" spans="2:9">
      <c r="B134" s="593" t="s">
        <v>486</v>
      </c>
      <c r="C134" s="594"/>
      <c r="D134" s="594"/>
      <c r="E134" s="595" t="s">
        <v>487</v>
      </c>
      <c r="F134" s="626">
        <f>$H$3</f>
        <v>25.33</v>
      </c>
      <c r="G134" s="591"/>
      <c r="H134" s="596"/>
      <c r="I134" s="213"/>
    </row>
    <row r="135" spans="2:9">
      <c r="B135" s="627" t="str">
        <f>CONCATENATE("Vale Transporte - ",B114)</f>
        <v>Vale Transporte - Encarregado de equipe</v>
      </c>
      <c r="C135" s="594"/>
      <c r="D135" s="594"/>
      <c r="E135" s="628" t="s">
        <v>488</v>
      </c>
      <c r="F135" s="629">
        <f>F134*2*1</f>
        <v>50.66</v>
      </c>
      <c r="G135" s="629">
        <f>IF(TRUNC(IFERROR(((G133)-((G115*0.06)/(F134*2))),"-"),2)&lt;=0,0,TRUNC(IFERROR(((G133)-((G115*0.06)/(F134*2))),"-"),2))</f>
        <v>2.21</v>
      </c>
      <c r="H135" s="630">
        <f>TRUNC(IFERROR(F135*G135,"-"),2)</f>
        <v>111.95</v>
      </c>
      <c r="I135" s="213"/>
    </row>
    <row r="136" spans="2:9">
      <c r="B136" s="620" t="s">
        <v>859</v>
      </c>
      <c r="C136" s="621"/>
      <c r="D136" s="622"/>
      <c r="E136" s="623" t="s">
        <v>484</v>
      </c>
      <c r="F136" s="624">
        <v>1</v>
      </c>
      <c r="G136" s="624">
        <f>H137</f>
        <v>303.95999999999998</v>
      </c>
      <c r="H136" s="625">
        <f>G136*F136</f>
        <v>303.95999999999998</v>
      </c>
      <c r="I136" s="213"/>
    </row>
    <row r="137" spans="2:9">
      <c r="B137" s="631" t="s">
        <v>489</v>
      </c>
      <c r="C137" s="632"/>
      <c r="D137" s="633"/>
      <c r="E137" s="634" t="s">
        <v>490</v>
      </c>
      <c r="F137" s="624">
        <f>F134</f>
        <v>25.33</v>
      </c>
      <c r="G137" s="624">
        <f>VLOOKUP(B137,Tabela3[[#All],[descrição]:[fonte]],4,FALSE)</f>
        <v>12</v>
      </c>
      <c r="H137" s="635">
        <f>TRUNC(F137*G137,2)</f>
        <v>303.95999999999998</v>
      </c>
      <c r="I137" s="213"/>
    </row>
    <row r="138" spans="2:9">
      <c r="B138" s="636" t="s">
        <v>491</v>
      </c>
      <c r="C138" s="637"/>
      <c r="D138" s="638"/>
      <c r="E138" s="605" t="s">
        <v>484</v>
      </c>
      <c r="F138" s="591">
        <v>1</v>
      </c>
      <c r="G138" s="591">
        <f>VLOOKUP(B138,Tabela3[[#All],[descrição]:[fonte]],4,FALSE)</f>
        <v>220</v>
      </c>
      <c r="H138" s="607">
        <f>G138*F138</f>
        <v>220</v>
      </c>
      <c r="I138" s="213"/>
    </row>
    <row r="139" spans="2:9">
      <c r="B139" s="639" t="s">
        <v>384</v>
      </c>
      <c r="C139" s="640"/>
      <c r="D139" s="640"/>
      <c r="E139" s="640"/>
      <c r="F139" s="640"/>
      <c r="G139" s="640"/>
      <c r="H139" s="641">
        <f>D45</f>
        <v>3</v>
      </c>
      <c r="I139" s="213"/>
    </row>
    <row r="140" spans="2:9" ht="15.75" thickBot="1">
      <c r="B140" s="642" t="s">
        <v>854</v>
      </c>
      <c r="C140" s="643"/>
      <c r="D140" s="643"/>
      <c r="E140" s="643"/>
      <c r="F140" s="643"/>
      <c r="G140" s="643"/>
      <c r="H140" s="644">
        <f>H139*H114</f>
        <v>10470.449999999999</v>
      </c>
      <c r="I140" s="213"/>
    </row>
    <row r="141" spans="2:9" ht="15.75" thickBot="1">
      <c r="B141" s="213"/>
      <c r="C141" s="213"/>
      <c r="D141" s="213"/>
      <c r="E141" s="213"/>
      <c r="F141" s="213"/>
      <c r="G141" s="213"/>
      <c r="H141" s="213"/>
      <c r="I141" s="213"/>
    </row>
    <row r="142" spans="2:9" ht="15.75" thickBot="1">
      <c r="B142" s="570" t="s">
        <v>598</v>
      </c>
      <c r="C142" s="555"/>
      <c r="D142" s="555"/>
      <c r="E142" s="555"/>
      <c r="F142" s="555"/>
      <c r="G142" s="555"/>
      <c r="H142" s="231">
        <f>H140+H111</f>
        <v>141328.85</v>
      </c>
      <c r="I142" s="213"/>
    </row>
    <row r="143" spans="2:9">
      <c r="B143" s="213"/>
      <c r="C143" s="213"/>
      <c r="D143" s="213"/>
      <c r="E143" s="213"/>
      <c r="F143" s="213"/>
      <c r="G143" s="213"/>
      <c r="H143" s="213"/>
      <c r="I143" s="213"/>
    </row>
    <row r="144" spans="2:9">
      <c r="B144" s="215" t="s">
        <v>1030</v>
      </c>
      <c r="C144" s="213"/>
      <c r="D144" s="213"/>
      <c r="E144" s="213"/>
      <c r="F144" s="213"/>
      <c r="G144" s="213"/>
      <c r="H144" s="213"/>
      <c r="I144" s="213"/>
    </row>
    <row r="145" spans="2:12" ht="30">
      <c r="B145" s="645" t="s">
        <v>900</v>
      </c>
      <c r="C145" s="646"/>
      <c r="D145" s="648"/>
      <c r="E145" s="649" t="s">
        <v>1164</v>
      </c>
      <c r="F145" s="650" t="s">
        <v>1165</v>
      </c>
      <c r="G145" s="649" t="s">
        <v>1166</v>
      </c>
      <c r="H145" s="651" t="s">
        <v>1167</v>
      </c>
      <c r="I145" s="213"/>
    </row>
    <row r="146" spans="2:12">
      <c r="B146" s="559" t="str">
        <f>B52</f>
        <v>Vassourão</v>
      </c>
      <c r="C146" s="213"/>
      <c r="D146" s="652"/>
      <c r="E146" s="253" t="s">
        <v>601</v>
      </c>
      <c r="F146" s="256">
        <f>H52</f>
        <v>40</v>
      </c>
      <c r="G146" s="254">
        <f>VLOOKUP(B146,Tabela1[[#All],[ITENS PARA ORÇAMENTO]:[MEDIANA]],11,FALSE)</f>
        <v>28.49</v>
      </c>
      <c r="H146" s="653">
        <f>TRUNC(F146*G146,2)</f>
        <v>1139.5999999999999</v>
      </c>
      <c r="I146" s="213"/>
    </row>
    <row r="147" spans="2:12">
      <c r="B147" s="559" t="str">
        <f>B53</f>
        <v>Vassoura de aço</v>
      </c>
      <c r="C147" s="213"/>
      <c r="D147" s="652"/>
      <c r="E147" s="255" t="s">
        <v>601</v>
      </c>
      <c r="F147" s="256">
        <f>H53</f>
        <v>0</v>
      </c>
      <c r="G147" s="256">
        <f>VLOOKUP(B147,Tabela1[[#All],[ITENS PARA ORÇAMENTO]:[MEDIANA]],11,FALSE)</f>
        <v>28.44</v>
      </c>
      <c r="H147" s="257">
        <f>TRUNC(F147*G147,2)</f>
        <v>0</v>
      </c>
      <c r="I147" s="213"/>
    </row>
    <row r="148" spans="2:12">
      <c r="B148" s="559" t="str">
        <f>B54</f>
        <v>Pá</v>
      </c>
      <c r="C148" s="213"/>
      <c r="D148" s="652"/>
      <c r="E148" s="255" t="s">
        <v>601</v>
      </c>
      <c r="F148" s="256">
        <f>H54</f>
        <v>0.08</v>
      </c>
      <c r="G148" s="256">
        <f>VLOOKUP(B148,Tabela1[[#All],[ITENS PARA ORÇAMENTO]:[MEDIANA]],11,FALSE)</f>
        <v>42.5</v>
      </c>
      <c r="H148" s="257">
        <f>TRUNC(F148*G148,2)</f>
        <v>3.4</v>
      </c>
      <c r="I148" s="213"/>
    </row>
    <row r="149" spans="2:12">
      <c r="B149" s="552" t="str">
        <f>B55</f>
        <v>Sacos plásticos</v>
      </c>
      <c r="C149" s="553"/>
      <c r="D149" s="654"/>
      <c r="E149" s="258" t="s">
        <v>601</v>
      </c>
      <c r="F149" s="259">
        <f>H55</f>
        <v>10132</v>
      </c>
      <c r="G149" s="259">
        <f>VLOOKUP(B149,Tabela1[[#All],[ITENS PARA ORÇAMENTO]:[MEDIANA]],11,FALSE)</f>
        <v>0.4</v>
      </c>
      <c r="H149" s="260">
        <f>TRUNC(F149*G149,2)</f>
        <v>4052.8</v>
      </c>
      <c r="I149" s="213"/>
    </row>
    <row r="150" spans="2:12" ht="15.75" thickBot="1">
      <c r="B150" s="244" t="s">
        <v>595</v>
      </c>
      <c r="C150" s="213"/>
      <c r="D150" s="555"/>
      <c r="E150" s="213"/>
      <c r="F150" s="213"/>
      <c r="G150" s="213"/>
      <c r="H150" s="213"/>
      <c r="I150" s="213"/>
    </row>
    <row r="151" spans="2:12" ht="15.75" thickBot="1">
      <c r="B151" s="570" t="s">
        <v>602</v>
      </c>
      <c r="C151" s="555"/>
      <c r="D151" s="555"/>
      <c r="E151" s="555"/>
      <c r="F151" s="555"/>
      <c r="G151" s="555"/>
      <c r="H151" s="231">
        <f>SUM(H146:H149)</f>
        <v>5195.8</v>
      </c>
      <c r="I151" s="213"/>
    </row>
    <row r="152" spans="2:12">
      <c r="B152" s="213"/>
      <c r="C152" s="213"/>
      <c r="D152" s="213"/>
      <c r="E152" s="213"/>
      <c r="F152" s="213"/>
      <c r="G152" s="213"/>
      <c r="H152" s="213"/>
      <c r="I152" s="213"/>
    </row>
    <row r="153" spans="2:12">
      <c r="B153" s="215" t="s">
        <v>1031</v>
      </c>
      <c r="C153" s="213"/>
      <c r="D153" s="881"/>
      <c r="E153" s="213"/>
      <c r="F153" s="213"/>
      <c r="G153" s="213"/>
      <c r="H153" s="213"/>
      <c r="I153" s="213"/>
      <c r="L153" s="73"/>
    </row>
    <row r="154" spans="2:12">
      <c r="B154" s="570" t="s">
        <v>900</v>
      </c>
      <c r="C154" s="571"/>
      <c r="D154" s="571"/>
      <c r="E154" s="571" t="s">
        <v>1164</v>
      </c>
      <c r="F154" s="571"/>
      <c r="G154" s="571"/>
      <c r="H154" s="750" t="s">
        <v>1168</v>
      </c>
      <c r="I154" s="213"/>
    </row>
    <row r="155" spans="2:12">
      <c r="B155" s="261" t="s">
        <v>240</v>
      </c>
      <c r="C155" s="555"/>
      <c r="D155" s="555"/>
      <c r="E155" s="245" t="s">
        <v>616</v>
      </c>
      <c r="F155" s="555"/>
      <c r="G155" s="555"/>
      <c r="H155" s="569">
        <f>TRUNC(H159+H162+H165,2)</f>
        <v>30.88</v>
      </c>
      <c r="I155" s="213"/>
    </row>
    <row r="156" spans="2:12">
      <c r="B156" s="557" t="s">
        <v>882</v>
      </c>
      <c r="C156" s="558"/>
      <c r="D156" s="213"/>
      <c r="E156" s="253" t="s">
        <v>601</v>
      </c>
      <c r="F156" s="558"/>
      <c r="G156" s="558"/>
      <c r="H156" s="262">
        <f>VLOOKUP(B155,Tabela1[[#All],[ITENS PARA ORÇAMENTO]:[MEDIANA]],11,FALSE)</f>
        <v>748</v>
      </c>
      <c r="I156" s="230"/>
    </row>
    <row r="157" spans="2:12">
      <c r="B157" s="559" t="s">
        <v>605</v>
      </c>
      <c r="C157" s="213"/>
      <c r="D157" s="213"/>
      <c r="E157" s="255" t="s">
        <v>615</v>
      </c>
      <c r="F157" s="213"/>
      <c r="G157" s="213"/>
      <c r="H157" s="550">
        <v>2.5</v>
      </c>
      <c r="I157" s="547"/>
      <c r="L157" s="879" t="s">
        <v>1312</v>
      </c>
    </row>
    <row r="158" spans="2:12">
      <c r="B158" s="559" t="s">
        <v>606</v>
      </c>
      <c r="C158" s="213"/>
      <c r="D158" s="213"/>
      <c r="E158" s="255" t="s">
        <v>615</v>
      </c>
      <c r="F158" s="213"/>
      <c r="G158" s="213"/>
      <c r="H158" s="550">
        <v>0</v>
      </c>
      <c r="I158" s="213"/>
    </row>
    <row r="159" spans="2:12">
      <c r="B159" s="570" t="s">
        <v>607</v>
      </c>
      <c r="C159" s="555"/>
      <c r="D159" s="555"/>
      <c r="E159" s="245" t="s">
        <v>616</v>
      </c>
      <c r="F159" s="555"/>
      <c r="G159" s="555"/>
      <c r="H159" s="572">
        <f>TRUNC((H156-H161)/H157/12,2)</f>
        <v>17.45</v>
      </c>
      <c r="I159" s="213"/>
      <c r="L159" s="879" t="s">
        <v>1230</v>
      </c>
    </row>
    <row r="160" spans="2:12">
      <c r="B160" s="559" t="s">
        <v>608</v>
      </c>
      <c r="C160" s="213"/>
      <c r="D160" s="213"/>
      <c r="E160" s="255" t="s">
        <v>480</v>
      </c>
      <c r="F160" s="213"/>
      <c r="G160" s="213"/>
      <c r="H160" s="887">
        <v>0.3</v>
      </c>
      <c r="L160" s="565" t="s">
        <v>1233</v>
      </c>
    </row>
    <row r="161" spans="2:20">
      <c r="B161" s="559" t="s">
        <v>609</v>
      </c>
      <c r="C161" s="213"/>
      <c r="D161" s="213"/>
      <c r="E161" s="255" t="s">
        <v>477</v>
      </c>
      <c r="F161" s="213"/>
      <c r="G161" s="213"/>
      <c r="H161" s="233">
        <f>H160*H156</f>
        <v>224.4</v>
      </c>
      <c r="I161" s="213"/>
    </row>
    <row r="162" spans="2:20">
      <c r="B162" s="570" t="s">
        <v>610</v>
      </c>
      <c r="C162" s="555"/>
      <c r="D162" s="555"/>
      <c r="E162" s="245" t="s">
        <v>616</v>
      </c>
      <c r="F162" s="555"/>
      <c r="G162" s="555"/>
      <c r="H162" s="572">
        <f>TRUNC(((1+H163)^(1/12)-1)*H164,2)</f>
        <v>0.97</v>
      </c>
      <c r="I162" s="213"/>
      <c r="L162" s="879" t="s">
        <v>1230</v>
      </c>
    </row>
    <row r="163" spans="2:20">
      <c r="B163" s="559" t="s">
        <v>612</v>
      </c>
      <c r="C163" s="213"/>
      <c r="D163" s="213"/>
      <c r="E163" s="255" t="s">
        <v>480</v>
      </c>
      <c r="F163" s="213"/>
      <c r="G163" s="213"/>
      <c r="H163" s="910">
        <f>VLOOKUP(B163,Tabela1[[#All],[ITENS PARA ORÇAMENTO]:[MEDIANA]],11,FALSE)</f>
        <v>0.02</v>
      </c>
      <c r="I163" s="213"/>
      <c r="L163" s="879" t="s">
        <v>1232</v>
      </c>
    </row>
    <row r="164" spans="2:20">
      <c r="B164" s="559" t="s">
        <v>611</v>
      </c>
      <c r="C164" s="213"/>
      <c r="D164" s="213"/>
      <c r="E164" s="255" t="s">
        <v>477</v>
      </c>
      <c r="F164" s="213"/>
      <c r="G164" s="213"/>
      <c r="H164" s="361">
        <f>(((H157+1)*(H156-H161)/(2*H157))+H161)</f>
        <v>590.92000000000007</v>
      </c>
      <c r="I164" s="213"/>
      <c r="L164" s="879" t="s">
        <v>1230</v>
      </c>
    </row>
    <row r="165" spans="2:20">
      <c r="B165" s="570" t="s">
        <v>613</v>
      </c>
      <c r="C165" s="555"/>
      <c r="D165" s="555"/>
      <c r="E165" s="245" t="s">
        <v>616</v>
      </c>
      <c r="F165" s="263" t="s">
        <v>874</v>
      </c>
      <c r="G165" s="264">
        <v>0.5</v>
      </c>
      <c r="H165" s="265">
        <f>TRUNC(H156*G165/(H157*12),2)</f>
        <v>12.46</v>
      </c>
      <c r="I165" s="213"/>
      <c r="L165" s="879" t="s">
        <v>1231</v>
      </c>
      <c r="T165" s="222" t="s">
        <v>1234</v>
      </c>
    </row>
    <row r="166" spans="2:20">
      <c r="B166" s="570" t="s">
        <v>384</v>
      </c>
      <c r="C166" s="555"/>
      <c r="D166" s="213"/>
      <c r="E166" s="245"/>
      <c r="F166" s="555"/>
      <c r="G166" s="555"/>
      <c r="H166" s="266">
        <f>H60</f>
        <v>20</v>
      </c>
      <c r="I166" s="213"/>
    </row>
    <row r="167" spans="2:20">
      <c r="B167" s="570" t="s">
        <v>244</v>
      </c>
      <c r="C167" s="555"/>
      <c r="D167" s="555"/>
      <c r="E167" s="245" t="s">
        <v>616</v>
      </c>
      <c r="F167" s="555"/>
      <c r="G167" s="555"/>
      <c r="H167" s="572">
        <f>TRUNC(H166*H155,2)</f>
        <v>617.6</v>
      </c>
      <c r="I167" s="213"/>
    </row>
    <row r="168" spans="2:20" ht="15.75" thickBot="1">
      <c r="B168" s="244" t="s">
        <v>595</v>
      </c>
      <c r="C168" s="213"/>
      <c r="D168" s="213"/>
      <c r="E168" s="213"/>
      <c r="F168" s="213"/>
      <c r="G168" s="213"/>
      <c r="H168" s="213"/>
      <c r="I168" s="213"/>
    </row>
    <row r="169" spans="2:20" ht="15.75" thickBot="1">
      <c r="B169" s="570" t="s">
        <v>636</v>
      </c>
      <c r="C169" s="555"/>
      <c r="D169" s="555"/>
      <c r="E169" s="555"/>
      <c r="F169" s="555"/>
      <c r="G169" s="555"/>
      <c r="H169" s="231">
        <f>H167</f>
        <v>617.6</v>
      </c>
      <c r="I169" s="213"/>
    </row>
    <row r="170" spans="2:20">
      <c r="B170" s="213"/>
      <c r="C170" s="213"/>
      <c r="D170" s="213"/>
      <c r="E170" s="213"/>
      <c r="F170" s="213"/>
      <c r="G170" s="213"/>
      <c r="H170" s="213"/>
      <c r="I170" s="213"/>
    </row>
    <row r="171" spans="2:20">
      <c r="B171" s="215" t="s">
        <v>1032</v>
      </c>
      <c r="C171" s="213"/>
      <c r="D171" s="213"/>
      <c r="E171" s="213"/>
      <c r="F171" s="213"/>
      <c r="G171" s="213"/>
      <c r="H171" s="213"/>
      <c r="I171" s="213"/>
    </row>
    <row r="172" spans="2:20" ht="30">
      <c r="B172" s="645" t="s">
        <v>900</v>
      </c>
      <c r="C172" s="646"/>
      <c r="D172" s="648"/>
      <c r="E172" s="649" t="s">
        <v>1164</v>
      </c>
      <c r="F172" s="650" t="s">
        <v>1165</v>
      </c>
      <c r="G172" s="650" t="s">
        <v>1166</v>
      </c>
      <c r="H172" s="651" t="s">
        <v>1167</v>
      </c>
      <c r="I172" s="213"/>
    </row>
    <row r="173" spans="2:20">
      <c r="B173" s="557" t="str">
        <f t="shared" ref="B173:B180" si="6">B65</f>
        <v>Jaqueta com reflexivo</v>
      </c>
      <c r="C173" s="558"/>
      <c r="D173" s="652"/>
      <c r="E173" s="253" t="s">
        <v>601</v>
      </c>
      <c r="F173" s="254">
        <f t="shared" ref="F173:F181" si="7">H65</f>
        <v>3.58</v>
      </c>
      <c r="G173" s="254">
        <f>VLOOKUP(B173,Tabela1[[#All],[ITENS PARA ORÇAMENTO]:[MEDIANA]],11,FALSE)</f>
        <v>132.91</v>
      </c>
      <c r="H173" s="653">
        <f>TRUNC(F173*G173,2)</f>
        <v>475.81</v>
      </c>
      <c r="I173" s="213"/>
    </row>
    <row r="174" spans="2:20">
      <c r="B174" s="559" t="str">
        <f t="shared" si="6"/>
        <v>Calça de brim</v>
      </c>
      <c r="C174" s="213"/>
      <c r="D174" s="652"/>
      <c r="E174" s="255" t="s">
        <v>601</v>
      </c>
      <c r="F174" s="256">
        <f t="shared" si="7"/>
        <v>10.75</v>
      </c>
      <c r="G174" s="256">
        <f>VLOOKUP(B174,Tabela1[[#All],[ITENS PARA ORÇAMENTO]:[MEDIANA]],11,FALSE)</f>
        <v>43.86</v>
      </c>
      <c r="H174" s="257">
        <f t="shared" ref="H174:H181" si="8">TRUNC(F174*G174,2)</f>
        <v>471.49</v>
      </c>
      <c r="I174" s="213"/>
    </row>
    <row r="175" spans="2:20">
      <c r="B175" s="559" t="str">
        <f t="shared" si="6"/>
        <v>Camiseta manga longa com faixa reflexiva</v>
      </c>
      <c r="C175" s="213"/>
      <c r="D175" s="652"/>
      <c r="E175" s="255" t="s">
        <v>601</v>
      </c>
      <c r="F175" s="256">
        <f t="shared" si="7"/>
        <v>10.75</v>
      </c>
      <c r="G175" s="256">
        <f>VLOOKUP(B175,Tabela1[[#All],[ITENS PARA ORÇAMENTO]:[MEDIANA]],11,FALSE)</f>
        <v>43.02</v>
      </c>
      <c r="H175" s="257">
        <f t="shared" si="8"/>
        <v>462.46</v>
      </c>
      <c r="I175" s="213"/>
    </row>
    <row r="176" spans="2:20">
      <c r="B176" s="559" t="str">
        <f t="shared" si="6"/>
        <v>Boné de brim</v>
      </c>
      <c r="C176" s="213"/>
      <c r="D176" s="652"/>
      <c r="E176" s="255" t="s">
        <v>601</v>
      </c>
      <c r="F176" s="256">
        <f t="shared" si="7"/>
        <v>7.16</v>
      </c>
      <c r="G176" s="256">
        <f>VLOOKUP(B176,Tabela1[[#All],[ITENS PARA ORÇAMENTO]:[MEDIANA]],11,FALSE)</f>
        <v>17.59</v>
      </c>
      <c r="H176" s="257">
        <f t="shared" si="8"/>
        <v>125.94</v>
      </c>
      <c r="I176" s="213"/>
    </row>
    <row r="177" spans="2:9" ht="32.25" customHeight="1">
      <c r="B177" s="1426" t="str">
        <f t="shared" si="6"/>
        <v>Botina De segurança c/ ponta E biqueira com sola antiderrapante</v>
      </c>
      <c r="C177" s="1427"/>
      <c r="D177" s="1428"/>
      <c r="E177" s="255" t="s">
        <v>495</v>
      </c>
      <c r="F177" s="256">
        <f t="shared" si="7"/>
        <v>10.75</v>
      </c>
      <c r="G177" s="256">
        <f>VLOOKUP(B177,Tabela1[[#All],[ITENS PARA ORÇAMENTO]:[MEDIANA]],11,FALSE)</f>
        <v>57.7</v>
      </c>
      <c r="H177" s="257">
        <f t="shared" si="8"/>
        <v>620.27</v>
      </c>
      <c r="I177" s="213"/>
    </row>
    <row r="178" spans="2:9">
      <c r="B178" s="559" t="str">
        <f t="shared" si="6"/>
        <v>Capa de chuva amarela com reflexivo</v>
      </c>
      <c r="C178" s="213"/>
      <c r="D178" s="652"/>
      <c r="E178" s="255" t="s">
        <v>601</v>
      </c>
      <c r="F178" s="256">
        <f t="shared" si="7"/>
        <v>7.16</v>
      </c>
      <c r="G178" s="256">
        <f>VLOOKUP(B178,Tabela1[[#All],[ITENS PARA ORÇAMENTO]:[MEDIANA]],11,FALSE)</f>
        <v>23</v>
      </c>
      <c r="H178" s="257">
        <f t="shared" si="8"/>
        <v>164.68</v>
      </c>
      <c r="I178" s="213"/>
    </row>
    <row r="179" spans="2:9">
      <c r="B179" s="559" t="str">
        <f t="shared" si="6"/>
        <v>Colete reflexivo</v>
      </c>
      <c r="C179" s="213"/>
      <c r="D179" s="652"/>
      <c r="E179" s="255" t="s">
        <v>601</v>
      </c>
      <c r="F179" s="256">
        <f t="shared" si="7"/>
        <v>7.16</v>
      </c>
      <c r="G179" s="256">
        <f>VLOOKUP(B179,Tabela1[[#All],[ITENS PARA ORÇAMENTO]:[MEDIANA]],11,FALSE)</f>
        <v>19.989999999999998</v>
      </c>
      <c r="H179" s="257">
        <f t="shared" si="8"/>
        <v>143.12</v>
      </c>
      <c r="I179" s="213"/>
    </row>
    <row r="180" spans="2:9">
      <c r="B180" s="559" t="str">
        <f t="shared" si="6"/>
        <v>Luva Tricotada com revestimento nitrílico</v>
      </c>
      <c r="C180" s="213"/>
      <c r="D180" s="652"/>
      <c r="E180" s="255" t="s">
        <v>495</v>
      </c>
      <c r="F180" s="256">
        <f t="shared" si="7"/>
        <v>28.66</v>
      </c>
      <c r="G180" s="256">
        <f>VLOOKUP(B180,Tabela1[[#All],[ITENS PARA ORÇAMENTO]:[MEDIANA]],11,FALSE)</f>
        <v>9.99</v>
      </c>
      <c r="H180" s="257">
        <f t="shared" si="8"/>
        <v>286.31</v>
      </c>
      <c r="I180" s="213"/>
    </row>
    <row r="181" spans="2:9">
      <c r="B181" s="552" t="str">
        <f>B73</f>
        <v>Protetor solar FPS 30</v>
      </c>
      <c r="C181" s="553"/>
      <c r="D181" s="654"/>
      <c r="E181" s="258" t="s">
        <v>601</v>
      </c>
      <c r="F181" s="259">
        <f t="shared" si="7"/>
        <v>43</v>
      </c>
      <c r="G181" s="259">
        <f>VLOOKUP(B181,Tabela1[[#All],[ITENS PARA ORÇAMENTO]:[MEDIANA]],11,FALSE)</f>
        <v>9.65</v>
      </c>
      <c r="H181" s="260">
        <f t="shared" si="8"/>
        <v>414.95</v>
      </c>
      <c r="I181" s="213"/>
    </row>
    <row r="182" spans="2:9" ht="15.75" thickBot="1">
      <c r="B182" s="244" t="s">
        <v>595</v>
      </c>
      <c r="C182" s="213"/>
      <c r="D182" s="555"/>
      <c r="E182" s="213"/>
      <c r="F182" s="213"/>
      <c r="G182" s="213"/>
      <c r="H182" s="213"/>
      <c r="I182" s="213"/>
    </row>
    <row r="183" spans="2:9" ht="15.75" thickBot="1">
      <c r="B183" s="570" t="s">
        <v>614</v>
      </c>
      <c r="C183" s="555"/>
      <c r="D183" s="555"/>
      <c r="E183" s="555"/>
      <c r="F183" s="555"/>
      <c r="G183" s="555"/>
      <c r="H183" s="231">
        <f>SUM(H173:H181)</f>
        <v>3165.0299999999997</v>
      </c>
      <c r="I183" s="213"/>
    </row>
    <row r="184" spans="2:9">
      <c r="B184" s="213"/>
      <c r="C184" s="213"/>
      <c r="D184" s="213"/>
      <c r="E184" s="213"/>
      <c r="F184" s="213"/>
      <c r="G184" s="213"/>
      <c r="H184" s="213"/>
      <c r="I184" s="213"/>
    </row>
    <row r="185" spans="2:9">
      <c r="B185" s="215" t="s">
        <v>1169</v>
      </c>
      <c r="C185" s="213"/>
      <c r="D185" s="213"/>
      <c r="E185" s="213"/>
      <c r="F185" s="213"/>
      <c r="G185" s="213"/>
      <c r="H185" s="213"/>
      <c r="I185" s="213"/>
    </row>
    <row r="186" spans="2:9" ht="30">
      <c r="B186" s="645" t="s">
        <v>900</v>
      </c>
      <c r="C186" s="646"/>
      <c r="D186" s="648"/>
      <c r="E186" s="649" t="s">
        <v>1164</v>
      </c>
      <c r="F186" s="650" t="s">
        <v>1165</v>
      </c>
      <c r="G186" s="650" t="s">
        <v>1166</v>
      </c>
      <c r="H186" s="651" t="s">
        <v>1167</v>
      </c>
      <c r="I186" s="213"/>
    </row>
    <row r="187" spans="2:9">
      <c r="B187" s="557" t="str">
        <f>B78</f>
        <v>Recipiente térmico para água (5L)</v>
      </c>
      <c r="C187" s="558"/>
      <c r="D187" s="558"/>
      <c r="E187" s="253" t="s">
        <v>601</v>
      </c>
      <c r="F187" s="721">
        <f>H78</f>
        <v>0.6</v>
      </c>
      <c r="G187" s="254">
        <f>VLOOKUP(B187,Tabela1[[ITENS PARA ORÇAMENTO]:[MEDIANA]],11,FALSE)</f>
        <v>29.86</v>
      </c>
      <c r="H187" s="653">
        <f>G187*F187</f>
        <v>17.916</v>
      </c>
      <c r="I187" s="213"/>
    </row>
    <row r="188" spans="2:9">
      <c r="B188" s="552" t="str">
        <f>B79</f>
        <v>Cone de sinalização</v>
      </c>
      <c r="C188" s="553"/>
      <c r="D188" s="553"/>
      <c r="E188" s="258" t="s">
        <v>601</v>
      </c>
      <c r="F188" s="722">
        <f>H79</f>
        <v>1.78</v>
      </c>
      <c r="G188" s="259">
        <f>VLOOKUP(B188,Tabela1[[ITENS PARA ORÇAMENTO]:[MEDIANA]],11,FALSE)</f>
        <v>27.5</v>
      </c>
      <c r="H188" s="260">
        <f>G188*F188</f>
        <v>48.95</v>
      </c>
      <c r="I188" s="213"/>
    </row>
    <row r="189" spans="2:9" ht="15.75" thickBot="1">
      <c r="B189" s="244" t="s">
        <v>595</v>
      </c>
      <c r="C189" s="213"/>
      <c r="D189" s="213"/>
      <c r="E189" s="213"/>
      <c r="F189" s="213"/>
      <c r="G189" s="213"/>
      <c r="H189" s="213"/>
      <c r="I189" s="213"/>
    </row>
    <row r="190" spans="2:9" ht="15.75" thickBot="1">
      <c r="B190" s="570" t="s">
        <v>1174</v>
      </c>
      <c r="C190" s="555"/>
      <c r="D190" s="555"/>
      <c r="E190" s="555"/>
      <c r="F190" s="555"/>
      <c r="G190" s="555"/>
      <c r="H190" s="231">
        <f>TRUNC(SUM(H187:H188),2)</f>
        <v>66.86</v>
      </c>
      <c r="I190" s="213"/>
    </row>
    <row r="191" spans="2:9">
      <c r="B191" s="213"/>
      <c r="C191" s="213"/>
      <c r="D191" s="213"/>
      <c r="E191" s="213"/>
      <c r="F191" s="213"/>
      <c r="G191" s="213"/>
      <c r="H191" s="213"/>
      <c r="I191" s="213"/>
    </row>
    <row r="192" spans="2:9">
      <c r="B192" s="215" t="s">
        <v>1033</v>
      </c>
      <c r="C192" s="213"/>
      <c r="D192" s="213"/>
      <c r="E192" s="213"/>
      <c r="F192" s="213"/>
      <c r="G192" s="213"/>
      <c r="H192" s="213"/>
      <c r="I192" s="213"/>
    </row>
    <row r="193" spans="2:9">
      <c r="B193" s="557" t="str">
        <f>B142</f>
        <v>Custo mensal com mão-de-obra (R$/mês)</v>
      </c>
      <c r="C193" s="558"/>
      <c r="D193" s="558"/>
      <c r="E193" s="558"/>
      <c r="F193" s="558"/>
      <c r="G193" s="558"/>
      <c r="H193" s="909">
        <f>H142</f>
        <v>141328.85</v>
      </c>
      <c r="I193" s="213"/>
    </row>
    <row r="194" spans="2:9">
      <c r="B194" s="559" t="str">
        <f>B151</f>
        <v>Custo mensal com ferramentas (R$/mês)</v>
      </c>
      <c r="C194" s="213"/>
      <c r="D194" s="213"/>
      <c r="E194" s="213"/>
      <c r="F194" s="213"/>
      <c r="G194" s="213"/>
      <c r="H194" s="226">
        <f>H151</f>
        <v>5195.8</v>
      </c>
      <c r="I194" s="213"/>
    </row>
    <row r="195" spans="2:9">
      <c r="B195" s="559" t="str">
        <f>B169</f>
        <v>Custo mensal com equipamentos (R$/mês)</v>
      </c>
      <c r="C195" s="213"/>
      <c r="D195" s="213"/>
      <c r="E195" s="213"/>
      <c r="F195" s="213"/>
      <c r="G195" s="213"/>
      <c r="H195" s="226">
        <f>H169</f>
        <v>617.6</v>
      </c>
      <c r="I195" s="213"/>
    </row>
    <row r="196" spans="2:9">
      <c r="B196" s="559" t="str">
        <f>B183</f>
        <v>Custo mensal com EPI's (R$/mês)</v>
      </c>
      <c r="C196" s="213"/>
      <c r="D196" s="213"/>
      <c r="E196" s="213"/>
      <c r="F196" s="213"/>
      <c r="G196" s="213"/>
      <c r="H196" s="226">
        <f>H183</f>
        <v>3165.0299999999997</v>
      </c>
      <c r="I196" s="873"/>
    </row>
    <row r="197" spans="2:9" ht="15.75" thickBot="1">
      <c r="B197" s="559" t="str">
        <f>B190</f>
        <v>Custo mensal com EPC's (R$/mês)</v>
      </c>
      <c r="C197" s="213"/>
      <c r="D197" s="213"/>
      <c r="E197" s="213"/>
      <c r="F197" s="213"/>
      <c r="G197" s="213"/>
      <c r="H197" s="226">
        <f>H190</f>
        <v>66.86</v>
      </c>
      <c r="I197" s="213"/>
    </row>
    <row r="198" spans="2:9" ht="15.75" thickBot="1">
      <c r="B198" s="570" t="s">
        <v>873</v>
      </c>
      <c r="C198" s="555"/>
      <c r="D198" s="555"/>
      <c r="E198" s="555"/>
      <c r="F198" s="555"/>
      <c r="G198" s="581"/>
      <c r="H198" s="647">
        <f>SUM(H193:H197)</f>
        <v>150374.13999999998</v>
      </c>
      <c r="I198" s="230"/>
    </row>
    <row r="199" spans="2:9">
      <c r="B199" s="215"/>
      <c r="C199" s="213"/>
      <c r="D199" s="213"/>
      <c r="E199" s="213"/>
      <c r="F199" s="213"/>
      <c r="G199" s="213"/>
      <c r="H199" s="213"/>
      <c r="I199" s="213"/>
    </row>
    <row r="200" spans="2:9">
      <c r="B200" s="215" t="s">
        <v>1211</v>
      </c>
      <c r="C200" s="213"/>
      <c r="D200" s="213"/>
      <c r="E200" s="213"/>
      <c r="F200" s="213"/>
      <c r="G200" s="213"/>
      <c r="H200" s="213"/>
      <c r="I200" s="213"/>
    </row>
    <row r="201" spans="2:9">
      <c r="B201" s="557" t="s">
        <v>1212</v>
      </c>
      <c r="C201" s="558"/>
      <c r="D201" s="558"/>
      <c r="E201" s="558"/>
      <c r="F201" s="558"/>
      <c r="G201" s="558"/>
      <c r="H201" s="866">
        <f>H198</f>
        <v>150374.13999999998</v>
      </c>
      <c r="I201" s="213"/>
    </row>
    <row r="202" spans="2:9" ht="15.75" thickBot="1">
      <c r="B202" s="559" t="s">
        <v>1210</v>
      </c>
      <c r="C202" s="213"/>
      <c r="D202" s="213"/>
      <c r="E202" s="213"/>
      <c r="F202" s="213"/>
      <c r="G202" s="213"/>
      <c r="H202" s="867">
        <f>TRUNC('6.ADM'!F334*'1.VARRICAO_MAN'!D47,2)</f>
        <v>28469.439999999999</v>
      </c>
      <c r="I202" s="213"/>
    </row>
    <row r="203" spans="2:9" ht="15.75" thickBot="1">
      <c r="B203" s="570" t="s">
        <v>873</v>
      </c>
      <c r="C203" s="555"/>
      <c r="D203" s="555"/>
      <c r="E203" s="555"/>
      <c r="F203" s="555"/>
      <c r="G203" s="555"/>
      <c r="H203" s="870">
        <f>TRUNC(SUM(H201:H202),2)</f>
        <v>178843.58</v>
      </c>
      <c r="I203" s="213"/>
    </row>
    <row r="204" spans="2:9">
      <c r="B204" s="215"/>
      <c r="C204" s="213"/>
      <c r="D204" s="213"/>
      <c r="E204" s="213"/>
      <c r="F204" s="213"/>
      <c r="G204" s="213"/>
      <c r="H204" s="213"/>
      <c r="I204" s="213"/>
    </row>
    <row r="205" spans="2:9">
      <c r="B205" s="372" t="s">
        <v>1213</v>
      </c>
      <c r="C205" s="547"/>
      <c r="D205" s="213"/>
      <c r="E205" s="213"/>
      <c r="F205" s="213"/>
      <c r="G205" s="213"/>
      <c r="H205" s="213"/>
      <c r="I205" s="213"/>
    </row>
    <row r="206" spans="2:9">
      <c r="B206" s="563" t="s">
        <v>924</v>
      </c>
      <c r="C206" s="558"/>
      <c r="D206" s="558"/>
      <c r="E206" s="268">
        <f>H203</f>
        <v>178843.58</v>
      </c>
      <c r="F206" s="213"/>
      <c r="G206" s="213"/>
      <c r="H206" s="213"/>
      <c r="I206" s="213"/>
    </row>
    <row r="207" spans="2:9">
      <c r="B207" s="567" t="s">
        <v>926</v>
      </c>
      <c r="C207" s="553"/>
      <c r="D207" s="553"/>
      <c r="E207" s="269">
        <f>ANEXO_IIId_BDI!$D$16</f>
        <v>0.32340000000000002</v>
      </c>
      <c r="F207" s="213"/>
      <c r="G207" s="213"/>
      <c r="H207" s="213"/>
      <c r="I207" s="213"/>
    </row>
    <row r="208" spans="2:9">
      <c r="B208" s="219" t="s">
        <v>925</v>
      </c>
      <c r="C208" s="553"/>
      <c r="D208" s="553"/>
      <c r="E208" s="270">
        <f>TRUNC(E206*(1+E207),2)</f>
        <v>236681.59</v>
      </c>
      <c r="F208" s="213"/>
      <c r="G208" s="213"/>
      <c r="H208" s="213"/>
      <c r="I208" s="213"/>
    </row>
    <row r="209" spans="2:9">
      <c r="B209" s="370"/>
      <c r="C209" s="213"/>
      <c r="D209" s="213"/>
      <c r="E209" s="213"/>
      <c r="F209" s="213"/>
      <c r="G209" s="213"/>
      <c r="H209" s="213"/>
      <c r="I209" s="213"/>
    </row>
    <row r="210" spans="2:9">
      <c r="B210" s="372" t="s">
        <v>1214</v>
      </c>
      <c r="C210" s="213"/>
      <c r="D210" s="213"/>
      <c r="E210" s="213"/>
      <c r="F210" s="213"/>
      <c r="G210" s="213"/>
      <c r="H210" s="213"/>
      <c r="I210" s="213"/>
    </row>
    <row r="211" spans="2:9">
      <c r="B211" s="563" t="s">
        <v>925</v>
      </c>
      <c r="C211" s="558"/>
      <c r="D211" s="558"/>
      <c r="E211" s="268">
        <f>E208</f>
        <v>236681.59</v>
      </c>
      <c r="F211" s="230"/>
      <c r="G211" s="213"/>
      <c r="H211" s="213"/>
      <c r="I211" s="213"/>
    </row>
    <row r="212" spans="2:9">
      <c r="B212" s="567" t="s">
        <v>1175</v>
      </c>
      <c r="C212" s="553"/>
      <c r="D212" s="553"/>
      <c r="E212" s="267">
        <f>TRUNC(H22*H3/1000,2)</f>
        <v>1104.03</v>
      </c>
      <c r="F212" s="213"/>
      <c r="G212" s="213"/>
      <c r="H212" s="213"/>
      <c r="I212" s="213"/>
    </row>
    <row r="213" spans="2:9">
      <c r="B213" s="219" t="s">
        <v>1176</v>
      </c>
      <c r="C213" s="553"/>
      <c r="D213" s="553"/>
      <c r="E213" s="270">
        <f>TRUNC(E211/E212,2)</f>
        <v>214.37</v>
      </c>
      <c r="F213" s="230"/>
      <c r="G213" s="213"/>
      <c r="H213" s="213"/>
      <c r="I213" s="213"/>
    </row>
  </sheetData>
  <mergeCells count="33">
    <mergeCell ref="F70:G70"/>
    <mergeCell ref="B106:D106"/>
    <mergeCell ref="B177:D177"/>
    <mergeCell ref="B79:D79"/>
    <mergeCell ref="F71:G71"/>
    <mergeCell ref="F72:G72"/>
    <mergeCell ref="F73:G73"/>
    <mergeCell ref="B77:D77"/>
    <mergeCell ref="B78:D78"/>
    <mergeCell ref="F78:G78"/>
    <mergeCell ref="B73:D73"/>
    <mergeCell ref="F65:G65"/>
    <mergeCell ref="F66:G66"/>
    <mergeCell ref="F67:G67"/>
    <mergeCell ref="F68:G68"/>
    <mergeCell ref="F69:G69"/>
    <mergeCell ref="B68:D68"/>
    <mergeCell ref="B69:D69"/>
    <mergeCell ref="B70:D70"/>
    <mergeCell ref="B71:D71"/>
    <mergeCell ref="B72:D72"/>
    <mergeCell ref="B64:D64"/>
    <mergeCell ref="B65:D65"/>
    <mergeCell ref="B66:D66"/>
    <mergeCell ref="B67:D67"/>
    <mergeCell ref="B44:C44"/>
    <mergeCell ref="B59:D59"/>
    <mergeCell ref="B60:D60"/>
    <mergeCell ref="B51:D51"/>
    <mergeCell ref="B52:D52"/>
    <mergeCell ref="B53:D53"/>
    <mergeCell ref="B54:D54"/>
    <mergeCell ref="B55:D55"/>
  </mergeCells>
  <pageMargins left="0.78740157480314965" right="0.78740157480314965" top="1.1811023622047245" bottom="0.78740157480314965" header="0.31496062992125984" footer="0.31496062992125984"/>
  <pageSetup paperSize="9" scale="83" fitToHeight="0" orientation="portrait" r:id="rId1"/>
  <rowBreaks count="5" manualBreakCount="5">
    <brk id="47" min="1" max="7" man="1"/>
    <brk id="81" min="1" max="7" man="1"/>
    <brk id="112" min="1" max="7" man="1"/>
    <brk id="143" min="1" max="7" man="1"/>
    <brk id="170" min="1" max="7" man="1"/>
  </rowBreaks>
  <legacy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2:S619"/>
  <sheetViews>
    <sheetView showGridLines="0" view="pageBreakPreview" topLeftCell="A133" zoomScale="130" zoomScaleNormal="70" zoomScaleSheetLayoutView="130" zoomScalePageLayoutView="80" workbookViewId="0">
      <selection activeCell="P211" sqref="P211"/>
    </sheetView>
  </sheetViews>
  <sheetFormatPr defaultColWidth="9.140625" defaultRowHeight="15"/>
  <cols>
    <col min="1" max="1" width="9.140625" style="307" customWidth="1"/>
    <col min="2" max="2" width="11.28515625" style="307" customWidth="1"/>
    <col min="3" max="3" width="11.85546875" style="307" customWidth="1"/>
    <col min="4" max="4" width="16.85546875" style="307" customWidth="1"/>
    <col min="5" max="5" width="16.5703125" style="307" customWidth="1"/>
    <col min="6" max="6" width="18.140625" style="307" customWidth="1"/>
    <col min="7" max="7" width="16.42578125" style="307" customWidth="1"/>
    <col min="8" max="8" width="17.140625" style="307" bestFit="1" customWidth="1"/>
    <col min="9" max="9" width="10.42578125" style="307" customWidth="1"/>
    <col min="10" max="10" width="9.140625" style="307"/>
    <col min="11" max="11" width="9.140625" style="318"/>
    <col min="12" max="14" width="9.140625" style="307"/>
    <col min="15" max="15" width="17.7109375" style="307" bestFit="1" customWidth="1"/>
    <col min="16" max="16" width="11.7109375" style="307" bestFit="1" customWidth="1"/>
    <col min="17" max="17" width="18" style="307" customWidth="1"/>
    <col min="18" max="16384" width="9.140625" style="307"/>
  </cols>
  <sheetData>
    <row r="2" spans="2:18" ht="18.75">
      <c r="B2" s="306" t="s">
        <v>1254</v>
      </c>
    </row>
    <row r="3" spans="2:18">
      <c r="F3" s="523"/>
      <c r="M3" s="308"/>
      <c r="N3" s="308"/>
      <c r="O3" s="308"/>
      <c r="P3" s="308"/>
    </row>
    <row r="4" spans="2:18" ht="15.75">
      <c r="B4" s="347" t="s">
        <v>1256</v>
      </c>
      <c r="G4" s="308"/>
      <c r="H4" s="779"/>
      <c r="M4" s="308"/>
      <c r="Q4" s="308"/>
    </row>
    <row r="5" spans="2:18">
      <c r="B5" s="309" t="s">
        <v>1257</v>
      </c>
      <c r="G5" s="308" t="s">
        <v>891</v>
      </c>
      <c r="H5" s="776">
        <v>25.33</v>
      </c>
      <c r="I5" s="779"/>
      <c r="M5" s="308"/>
      <c r="P5" s="308"/>
      <c r="Q5" s="308"/>
    </row>
    <row r="6" spans="2:18">
      <c r="B6" s="309"/>
      <c r="M6" s="308"/>
      <c r="P6" s="308"/>
    </row>
    <row r="7" spans="2:18">
      <c r="B7" s="307" t="s">
        <v>890</v>
      </c>
      <c r="E7" s="313">
        <v>1878347.3824266025</v>
      </c>
      <c r="F7" s="307" t="s">
        <v>1178</v>
      </c>
      <c r="G7" s="313"/>
      <c r="M7" s="308"/>
      <c r="P7" s="308"/>
    </row>
    <row r="8" spans="2:18">
      <c r="B8" s="307" t="s">
        <v>572</v>
      </c>
      <c r="E8" s="310">
        <f>E7/12</f>
        <v>156528.94853555021</v>
      </c>
      <c r="F8" s="307" t="s">
        <v>863</v>
      </c>
      <c r="G8" s="313"/>
      <c r="M8" s="308"/>
      <c r="P8" s="308"/>
    </row>
    <row r="9" spans="2:18">
      <c r="M9" s="308"/>
      <c r="N9" s="308"/>
      <c r="O9" s="308"/>
      <c r="P9" s="308"/>
    </row>
    <row r="10" spans="2:18">
      <c r="B10" s="726" t="s">
        <v>574</v>
      </c>
      <c r="C10" s="726"/>
      <c r="D10" s="726"/>
      <c r="E10" s="728">
        <v>800</v>
      </c>
      <c r="F10" s="726" t="s">
        <v>1179</v>
      </c>
      <c r="G10" s="313"/>
      <c r="K10" s="879" t="s">
        <v>1203</v>
      </c>
      <c r="M10" s="308"/>
      <c r="N10" s="308"/>
      <c r="O10" s="308"/>
      <c r="P10" s="308"/>
    </row>
    <row r="11" spans="2:18" ht="15.75" thickBot="1">
      <c r="M11" s="308"/>
      <c r="N11"/>
      <c r="O11"/>
      <c r="P11"/>
      <c r="Q11"/>
      <c r="R11"/>
    </row>
    <row r="12" spans="2:18" ht="15.75" thickBot="1">
      <c r="B12" s="311" t="s">
        <v>1143</v>
      </c>
      <c r="C12" s="312"/>
      <c r="D12" s="312"/>
      <c r="E12" s="323">
        <f>ROUND(E8/H5/E10,0)</f>
        <v>8</v>
      </c>
      <c r="G12" s="313"/>
      <c r="N12"/>
      <c r="O12"/>
      <c r="P12"/>
      <c r="Q12"/>
      <c r="R12"/>
    </row>
    <row r="13" spans="2:18">
      <c r="E13" s="309"/>
      <c r="G13" s="313"/>
      <c r="N13"/>
      <c r="O13"/>
      <c r="P13"/>
      <c r="Q13"/>
      <c r="R13"/>
    </row>
    <row r="14" spans="2:18">
      <c r="B14" s="771" t="s">
        <v>1185</v>
      </c>
      <c r="C14" s="726"/>
      <c r="D14" s="726"/>
      <c r="E14" s="772">
        <v>250</v>
      </c>
      <c r="F14" s="726" t="s">
        <v>1035</v>
      </c>
      <c r="G14" s="313"/>
      <c r="K14" s="73"/>
      <c r="N14"/>
      <c r="O14"/>
      <c r="P14"/>
      <c r="Q14"/>
      <c r="R14"/>
    </row>
    <row r="15" spans="2:18">
      <c r="B15" s="771" t="s">
        <v>1186</v>
      </c>
      <c r="C15" s="726"/>
      <c r="D15" s="726"/>
      <c r="E15" s="772">
        <v>6.0000000000000001E-3</v>
      </c>
      <c r="F15" s="726" t="s">
        <v>1183</v>
      </c>
      <c r="G15" s="313"/>
      <c r="K15" s="73"/>
      <c r="N15"/>
      <c r="O15"/>
      <c r="P15"/>
      <c r="Q15"/>
      <c r="R15"/>
    </row>
    <row r="16" spans="2:18">
      <c r="B16" s="771" t="s">
        <v>1187</v>
      </c>
      <c r="C16" s="726"/>
      <c r="D16" s="726"/>
      <c r="E16" s="772">
        <f>E15*E14</f>
        <v>1.5</v>
      </c>
      <c r="F16" s="726" t="s">
        <v>1184</v>
      </c>
      <c r="G16" s="313"/>
      <c r="K16" s="73"/>
      <c r="N16"/>
      <c r="O16"/>
      <c r="P16"/>
      <c r="Q16"/>
      <c r="R16"/>
    </row>
    <row r="17" spans="2:18">
      <c r="B17" s="771" t="s">
        <v>1188</v>
      </c>
      <c r="C17" s="726"/>
      <c r="D17" s="726"/>
      <c r="E17" s="773">
        <v>46.202089783850042</v>
      </c>
      <c r="F17" s="726" t="s">
        <v>1021</v>
      </c>
      <c r="G17" s="313"/>
      <c r="K17" s="73"/>
      <c r="N17"/>
      <c r="O17"/>
      <c r="P17"/>
      <c r="Q17"/>
      <c r="R17"/>
    </row>
    <row r="18" spans="2:18" ht="15.75" thickBot="1">
      <c r="E18" s="309"/>
      <c r="G18" s="313"/>
      <c r="K18" s="73"/>
      <c r="N18"/>
      <c r="O18"/>
      <c r="P18"/>
      <c r="Q18"/>
      <c r="R18"/>
    </row>
    <row r="19" spans="2:18" ht="15.75" thickBot="1">
      <c r="B19" s="311" t="s">
        <v>1182</v>
      </c>
      <c r="C19" s="312"/>
      <c r="D19" s="312"/>
      <c r="E19" s="349">
        <f>E17*E16*10000/1000</f>
        <v>693.03134675775061</v>
      </c>
      <c r="G19" s="313"/>
      <c r="N19"/>
      <c r="O19"/>
      <c r="P19"/>
      <c r="Q19"/>
      <c r="R19"/>
    </row>
    <row r="20" spans="2:18">
      <c r="N20"/>
      <c r="O20"/>
      <c r="P20"/>
      <c r="Q20"/>
      <c r="R20"/>
    </row>
    <row r="21" spans="2:18">
      <c r="B21" s="309" t="s">
        <v>1258</v>
      </c>
      <c r="N21"/>
      <c r="O21"/>
      <c r="P21"/>
      <c r="Q21"/>
      <c r="R21"/>
    </row>
    <row r="22" spans="2:18">
      <c r="B22" s="309"/>
      <c r="N22"/>
      <c r="O22"/>
      <c r="P22"/>
      <c r="Q22"/>
      <c r="R22"/>
    </row>
    <row r="23" spans="2:18">
      <c r="B23" s="726" t="s">
        <v>1199</v>
      </c>
      <c r="C23" s="726"/>
      <c r="D23" s="727"/>
      <c r="E23" s="728">
        <v>2</v>
      </c>
      <c r="F23" s="726" t="s">
        <v>577</v>
      </c>
      <c r="K23" s="879" t="s">
        <v>1203</v>
      </c>
      <c r="N23" t="s">
        <v>1226</v>
      </c>
      <c r="O23"/>
      <c r="P23"/>
      <c r="Q23"/>
      <c r="R23"/>
    </row>
    <row r="24" spans="2:18">
      <c r="B24" s="726" t="s">
        <v>1145</v>
      </c>
      <c r="C24" s="726"/>
      <c r="D24" s="726"/>
      <c r="E24" s="726">
        <v>6.25E-2</v>
      </c>
      <c r="F24" s="726" t="s">
        <v>1150</v>
      </c>
      <c r="K24" s="879" t="s">
        <v>1203</v>
      </c>
    </row>
    <row r="25" spans="2:18">
      <c r="B25" s="726" t="s">
        <v>576</v>
      </c>
      <c r="C25" s="726"/>
      <c r="D25" s="726"/>
      <c r="E25" s="841">
        <v>0</v>
      </c>
      <c r="F25" s="726"/>
    </row>
    <row r="26" spans="2:18" ht="15.75" thickBot="1"/>
    <row r="27" spans="2:18" ht="28.5" customHeight="1">
      <c r="B27" s="1430" t="s">
        <v>1148</v>
      </c>
      <c r="C27" s="1431"/>
      <c r="D27" s="1432"/>
      <c r="E27" s="730">
        <f>E12*E23</f>
        <v>16</v>
      </c>
    </row>
    <row r="28" spans="2:18">
      <c r="B28" s="311" t="s">
        <v>1140</v>
      </c>
      <c r="C28" s="312"/>
      <c r="D28" s="324"/>
      <c r="E28" s="774">
        <f>ROUND(E27*E24,0)</f>
        <v>1</v>
      </c>
    </row>
    <row r="29" spans="2:18" ht="15.75" thickBot="1">
      <c r="B29" s="320" t="s">
        <v>555</v>
      </c>
      <c r="C29" s="321"/>
      <c r="D29" s="334"/>
      <c r="E29" s="731">
        <f>E25</f>
        <v>0</v>
      </c>
    </row>
    <row r="30" spans="2:18" ht="15.75" thickBot="1">
      <c r="B30" s="729" t="s">
        <v>1180</v>
      </c>
      <c r="C30" s="312"/>
      <c r="D30" s="324"/>
      <c r="E30" s="374">
        <f>SUM(E26:E29)</f>
        <v>17</v>
      </c>
    </row>
    <row r="32" spans="2:18">
      <c r="B32" s="309" t="s">
        <v>1259</v>
      </c>
    </row>
    <row r="33" spans="2:12" ht="15.75" thickBot="1">
      <c r="B33" s="309" t="s">
        <v>565</v>
      </c>
    </row>
    <row r="34" spans="2:12">
      <c r="B34" s="348" t="s">
        <v>900</v>
      </c>
      <c r="C34" s="732"/>
      <c r="D34" s="732"/>
      <c r="E34" s="348" t="s">
        <v>901</v>
      </c>
      <c r="F34" s="732"/>
      <c r="G34" s="359"/>
      <c r="H34" s="733" t="s">
        <v>584</v>
      </c>
    </row>
    <row r="35" spans="2:12">
      <c r="B35" s="315" t="s">
        <v>425</v>
      </c>
      <c r="C35" s="316"/>
      <c r="D35" s="316"/>
      <c r="E35" s="735">
        <v>0.5</v>
      </c>
      <c r="F35" s="316" t="s">
        <v>1149</v>
      </c>
      <c r="G35" s="328"/>
      <c r="H35" s="319">
        <f t="shared" ref="H35:H40" si="0">ROUND($E$27*E35/12,2)</f>
        <v>0.67</v>
      </c>
      <c r="I35" s="509"/>
      <c r="K35" s="879" t="s">
        <v>1203</v>
      </c>
      <c r="L35" s="313"/>
    </row>
    <row r="36" spans="2:12">
      <c r="B36" s="318" t="s">
        <v>429</v>
      </c>
      <c r="E36" s="736">
        <v>0</v>
      </c>
      <c r="F36" s="307" t="s">
        <v>1149</v>
      </c>
      <c r="G36" s="331"/>
      <c r="H36" s="319">
        <f t="shared" si="0"/>
        <v>0</v>
      </c>
      <c r="K36" s="879" t="s">
        <v>1203</v>
      </c>
      <c r="L36" s="313"/>
    </row>
    <row r="37" spans="2:12">
      <c r="B37" s="318" t="s">
        <v>428</v>
      </c>
      <c r="E37" s="736">
        <v>0</v>
      </c>
      <c r="F37" s="307" t="s">
        <v>1149</v>
      </c>
      <c r="G37" s="331"/>
      <c r="H37" s="319">
        <f t="shared" si="0"/>
        <v>0</v>
      </c>
      <c r="K37" s="879" t="s">
        <v>1203</v>
      </c>
      <c r="L37" s="313"/>
    </row>
    <row r="38" spans="2:12">
      <c r="B38" s="318" t="s">
        <v>581</v>
      </c>
      <c r="E38" s="736">
        <v>0.5</v>
      </c>
      <c r="F38" s="307" t="s">
        <v>1149</v>
      </c>
      <c r="G38" s="331"/>
      <c r="H38" s="319">
        <f t="shared" si="0"/>
        <v>0.67</v>
      </c>
      <c r="K38" s="879" t="s">
        <v>1203</v>
      </c>
      <c r="L38" s="313"/>
    </row>
    <row r="39" spans="2:12">
      <c r="B39" s="318" t="s">
        <v>423</v>
      </c>
      <c r="E39" s="736">
        <v>0.5</v>
      </c>
      <c r="F39" s="307" t="s">
        <v>1149</v>
      </c>
      <c r="G39" s="331"/>
      <c r="H39" s="319">
        <f t="shared" si="0"/>
        <v>0.67</v>
      </c>
      <c r="K39" s="879" t="s">
        <v>1203</v>
      </c>
      <c r="L39" s="313"/>
    </row>
    <row r="40" spans="2:12">
      <c r="B40" s="318" t="s">
        <v>427</v>
      </c>
      <c r="E40" s="736">
        <v>1.5</v>
      </c>
      <c r="F40" s="307" t="s">
        <v>1149</v>
      </c>
      <c r="G40" s="331"/>
      <c r="H40" s="319">
        <f t="shared" si="0"/>
        <v>2</v>
      </c>
      <c r="K40" s="879" t="s">
        <v>1203</v>
      </c>
      <c r="L40" s="313"/>
    </row>
    <row r="41" spans="2:12">
      <c r="B41" s="318" t="s">
        <v>243</v>
      </c>
      <c r="E41" s="736">
        <v>10</v>
      </c>
      <c r="F41" s="307" t="s">
        <v>1151</v>
      </c>
      <c r="G41" s="331"/>
      <c r="H41" s="319">
        <f>ROUND($E$27*E41*H5,2)</f>
        <v>4052.8</v>
      </c>
      <c r="K41" s="879" t="s">
        <v>1203</v>
      </c>
      <c r="L41" s="313"/>
    </row>
    <row r="42" spans="2:12" ht="15.75" thickBot="1">
      <c r="B42" s="320" t="s">
        <v>582</v>
      </c>
      <c r="C42" s="321"/>
      <c r="D42" s="321"/>
      <c r="E42" s="737">
        <v>0.17</v>
      </c>
      <c r="F42" s="321" t="s">
        <v>701</v>
      </c>
      <c r="G42" s="334"/>
      <c r="H42" s="335">
        <f>ROUND($E$30*E42/12,2)</f>
        <v>0.24</v>
      </c>
      <c r="I42" s="313"/>
      <c r="K42" s="879" t="s">
        <v>1203</v>
      </c>
    </row>
    <row r="43" spans="2:12">
      <c r="B43" s="336" t="s">
        <v>595</v>
      </c>
    </row>
    <row r="44" spans="2:12">
      <c r="B44" s="337"/>
    </row>
    <row r="45" spans="2:12" ht="15.75" thickBot="1">
      <c r="B45" s="309" t="s">
        <v>585</v>
      </c>
    </row>
    <row r="46" spans="2:12">
      <c r="B46" s="348" t="s">
        <v>900</v>
      </c>
      <c r="C46" s="732"/>
      <c r="D46" s="732"/>
      <c r="E46" s="348" t="s">
        <v>901</v>
      </c>
      <c r="F46" s="732"/>
      <c r="G46" s="747" t="s">
        <v>1163</v>
      </c>
      <c r="H46" s="733" t="s">
        <v>384</v>
      </c>
    </row>
    <row r="47" spans="2:12" ht="15.75" thickBot="1">
      <c r="B47" s="320" t="s">
        <v>586</v>
      </c>
      <c r="C47" s="321"/>
      <c r="D47" s="321"/>
      <c r="E47" s="734">
        <v>1</v>
      </c>
      <c r="F47" s="321" t="s">
        <v>1227</v>
      </c>
      <c r="G47" s="339">
        <v>36</v>
      </c>
      <c r="H47" s="335">
        <f>TRUNC(E47*E12,2)</f>
        <v>8</v>
      </c>
    </row>
    <row r="48" spans="2:12">
      <c r="B48" s="336" t="s">
        <v>595</v>
      </c>
    </row>
    <row r="49" spans="2:11">
      <c r="B49" s="337"/>
    </row>
    <row r="50" spans="2:11" ht="15.75" thickBot="1">
      <c r="B50" s="309" t="s">
        <v>442</v>
      </c>
    </row>
    <row r="51" spans="2:11">
      <c r="B51" s="348" t="s">
        <v>902</v>
      </c>
      <c r="C51" s="732"/>
      <c r="D51" s="732"/>
      <c r="E51" s="348" t="s">
        <v>901</v>
      </c>
      <c r="F51" s="732"/>
      <c r="G51" s="732"/>
      <c r="H51" s="733" t="s">
        <v>584</v>
      </c>
    </row>
    <row r="52" spans="2:11">
      <c r="B52" s="315" t="s">
        <v>587</v>
      </c>
      <c r="C52" s="316"/>
      <c r="D52" s="316"/>
      <c r="E52" s="738">
        <v>1</v>
      </c>
      <c r="F52" s="340" t="s">
        <v>701</v>
      </c>
      <c r="G52" s="341"/>
      <c r="H52" s="342">
        <f t="shared" ref="H52:H60" si="1">TRUNC(E52*$E$30/12,2)</f>
        <v>1.41</v>
      </c>
      <c r="K52" s="879" t="s">
        <v>1222</v>
      </c>
    </row>
    <row r="53" spans="2:11">
      <c r="B53" s="318" t="s">
        <v>492</v>
      </c>
      <c r="E53" s="739">
        <v>3</v>
      </c>
      <c r="F53" s="343" t="s">
        <v>701</v>
      </c>
      <c r="G53" s="344"/>
      <c r="H53" s="319">
        <f t="shared" si="1"/>
        <v>4.25</v>
      </c>
      <c r="K53" s="879" t="s">
        <v>1201</v>
      </c>
    </row>
    <row r="54" spans="2:11" ht="29.25" customHeight="1">
      <c r="B54" s="1433" t="s">
        <v>493</v>
      </c>
      <c r="C54" s="1434"/>
      <c r="D54" s="1435"/>
      <c r="E54" s="748">
        <v>3</v>
      </c>
      <c r="F54" s="381" t="s">
        <v>701</v>
      </c>
      <c r="G54" s="749"/>
      <c r="H54" s="376">
        <f t="shared" si="1"/>
        <v>4.25</v>
      </c>
      <c r="K54" s="879" t="s">
        <v>1201</v>
      </c>
    </row>
    <row r="55" spans="2:11">
      <c r="B55" s="318" t="s">
        <v>494</v>
      </c>
      <c r="E55" s="739">
        <v>2</v>
      </c>
      <c r="F55" s="343" t="s">
        <v>701</v>
      </c>
      <c r="G55" s="344"/>
      <c r="H55" s="319">
        <f t="shared" si="1"/>
        <v>2.83</v>
      </c>
      <c r="K55" s="879" t="s">
        <v>1201</v>
      </c>
    </row>
    <row r="56" spans="2:11" ht="30.75" customHeight="1">
      <c r="B56" s="1436" t="s">
        <v>502</v>
      </c>
      <c r="C56" s="1437"/>
      <c r="D56" s="1438"/>
      <c r="E56" s="748">
        <v>3</v>
      </c>
      <c r="F56" s="381" t="s">
        <v>706</v>
      </c>
      <c r="G56" s="749"/>
      <c r="H56" s="376">
        <f t="shared" si="1"/>
        <v>4.25</v>
      </c>
      <c r="K56" s="879" t="s">
        <v>1201</v>
      </c>
    </row>
    <row r="57" spans="2:11">
      <c r="B57" s="318" t="s">
        <v>496</v>
      </c>
      <c r="E57" s="739">
        <v>2</v>
      </c>
      <c r="F57" s="343" t="s">
        <v>701</v>
      </c>
      <c r="G57" s="344"/>
      <c r="H57" s="319">
        <f t="shared" si="1"/>
        <v>2.83</v>
      </c>
      <c r="K57" s="879" t="s">
        <v>1201</v>
      </c>
    </row>
    <row r="58" spans="2:11">
      <c r="B58" s="318" t="s">
        <v>497</v>
      </c>
      <c r="E58" s="739">
        <v>2</v>
      </c>
      <c r="F58" s="343" t="s">
        <v>701</v>
      </c>
      <c r="G58" s="344"/>
      <c r="H58" s="319">
        <f t="shared" si="1"/>
        <v>2.83</v>
      </c>
      <c r="K58" s="880" t="s">
        <v>1223</v>
      </c>
    </row>
    <row r="59" spans="2:11">
      <c r="B59" s="318" t="s">
        <v>498</v>
      </c>
      <c r="E59" s="739">
        <v>8</v>
      </c>
      <c r="F59" s="343" t="s">
        <v>706</v>
      </c>
      <c r="G59" s="344"/>
      <c r="H59" s="319">
        <f t="shared" si="1"/>
        <v>11.33</v>
      </c>
      <c r="K59" s="879" t="s">
        <v>1201</v>
      </c>
    </row>
    <row r="60" spans="2:11">
      <c r="B60" s="318" t="s">
        <v>499</v>
      </c>
      <c r="E60" s="739">
        <v>12</v>
      </c>
      <c r="F60" s="343" t="s">
        <v>701</v>
      </c>
      <c r="G60" s="344"/>
      <c r="H60" s="319">
        <f t="shared" si="1"/>
        <v>17</v>
      </c>
      <c r="K60" s="880" t="s">
        <v>1221</v>
      </c>
    </row>
    <row r="61" spans="2:11">
      <c r="B61" s="318" t="s">
        <v>503</v>
      </c>
      <c r="E61" s="739">
        <v>1</v>
      </c>
      <c r="F61" s="343" t="s">
        <v>1144</v>
      </c>
      <c r="G61" s="331"/>
      <c r="H61" s="319">
        <f>TRUNC(E61*$E$12/12,2)</f>
        <v>0.66</v>
      </c>
      <c r="K61" s="880" t="s">
        <v>1221</v>
      </c>
    </row>
    <row r="62" spans="2:11">
      <c r="B62" s="318" t="s">
        <v>591</v>
      </c>
      <c r="E62" s="739">
        <v>1</v>
      </c>
      <c r="F62" s="343" t="s">
        <v>1144</v>
      </c>
      <c r="G62" s="331"/>
      <c r="H62" s="319">
        <f>TRUNC(E62*$E$12/12,2)</f>
        <v>0.66</v>
      </c>
      <c r="K62" s="880" t="s">
        <v>1221</v>
      </c>
    </row>
    <row r="63" spans="2:11" ht="15.75" thickBot="1">
      <c r="B63" s="320" t="s">
        <v>504</v>
      </c>
      <c r="C63" s="321"/>
      <c r="D63" s="321"/>
      <c r="E63" s="740">
        <v>1</v>
      </c>
      <c r="F63" s="346" t="s">
        <v>1144</v>
      </c>
      <c r="G63" s="334"/>
      <c r="H63" s="335">
        <f>TRUNC(E63*$E$12/12,2)</f>
        <v>0.66</v>
      </c>
      <c r="K63" s="880"/>
    </row>
    <row r="64" spans="2:11">
      <c r="B64" s="337" t="s">
        <v>595</v>
      </c>
    </row>
    <row r="65" spans="2:15">
      <c r="B65" s="337"/>
    </row>
    <row r="66" spans="2:15" ht="15.75" thickBot="1">
      <c r="B66" s="309" t="s">
        <v>1161</v>
      </c>
    </row>
    <row r="67" spans="2:15">
      <c r="B67" s="348" t="s">
        <v>902</v>
      </c>
      <c r="C67" s="732"/>
      <c r="D67" s="732"/>
      <c r="E67" s="348" t="s">
        <v>901</v>
      </c>
      <c r="F67" s="732"/>
      <c r="G67" s="732"/>
      <c r="H67" s="733" t="s">
        <v>584</v>
      </c>
    </row>
    <row r="68" spans="2:15">
      <c r="B68" s="716" t="s">
        <v>604</v>
      </c>
      <c r="C68" s="353"/>
      <c r="D68" s="343"/>
      <c r="E68" s="742">
        <v>0.17</v>
      </c>
      <c r="F68" s="353" t="s">
        <v>592</v>
      </c>
      <c r="G68" s="717"/>
      <c r="H68" s="718">
        <f>TRUNC(E68*E30/12,2)</f>
        <v>0.24</v>
      </c>
      <c r="K68" s="879" t="s">
        <v>1203</v>
      </c>
    </row>
    <row r="69" spans="2:15">
      <c r="B69" s="318" t="s">
        <v>638</v>
      </c>
      <c r="E69" s="743">
        <v>1</v>
      </c>
      <c r="F69" s="353" t="s">
        <v>1170</v>
      </c>
      <c r="G69" s="343"/>
      <c r="H69" s="719">
        <f>TRUNC(E69*$E$12/12,2)</f>
        <v>0.66</v>
      </c>
      <c r="K69" s="879" t="s">
        <v>1225</v>
      </c>
      <c r="O69" s="307" t="s">
        <v>1237</v>
      </c>
    </row>
    <row r="70" spans="2:15">
      <c r="B70" s="318" t="s">
        <v>1038</v>
      </c>
      <c r="E70" s="716">
        <v>0.53600000000000003</v>
      </c>
      <c r="F70" s="353" t="s">
        <v>1170</v>
      </c>
      <c r="G70" s="343"/>
      <c r="H70" s="719">
        <f>TRUNC(E70*$E$12/12,2)</f>
        <v>0.35</v>
      </c>
      <c r="K70" s="879" t="s">
        <v>1225</v>
      </c>
    </row>
    <row r="71" spans="2:15">
      <c r="B71" s="318" t="s">
        <v>457</v>
      </c>
      <c r="E71" s="716">
        <v>7.0999999999999994E-2</v>
      </c>
      <c r="F71" s="353" t="s">
        <v>1170</v>
      </c>
      <c r="G71" s="343"/>
      <c r="H71" s="719">
        <f>TRUNC(E71*$E$12/12,2)</f>
        <v>0.04</v>
      </c>
      <c r="K71" s="879" t="s">
        <v>1225</v>
      </c>
    </row>
    <row r="72" spans="2:15" ht="15.75" thickBot="1">
      <c r="B72" s="320" t="s">
        <v>1181</v>
      </c>
      <c r="C72" s="321"/>
      <c r="D72" s="321"/>
      <c r="E72" s="741">
        <v>7.0999999999999994E-2</v>
      </c>
      <c r="F72" s="355" t="s">
        <v>1170</v>
      </c>
      <c r="G72" s="346"/>
      <c r="H72" s="720">
        <f>TRUNC(E72*$E$12/12,2)</f>
        <v>0.04</v>
      </c>
      <c r="K72" s="879" t="s">
        <v>1225</v>
      </c>
    </row>
    <row r="73" spans="2:15">
      <c r="B73" s="337"/>
    </row>
    <row r="74" spans="2:15" ht="15.75">
      <c r="B74" s="347" t="s">
        <v>1260</v>
      </c>
    </row>
    <row r="75" spans="2:15" ht="4.5" customHeight="1"/>
    <row r="76" spans="2:15">
      <c r="B76" s="309" t="s">
        <v>1261</v>
      </c>
    </row>
    <row r="77" spans="2:15" ht="7.5" customHeight="1"/>
    <row r="78" spans="2:15" ht="15.75" thickBot="1">
      <c r="B78" s="309" t="s">
        <v>1262</v>
      </c>
    </row>
    <row r="79" spans="2:15">
      <c r="B79" s="583" t="s">
        <v>1128</v>
      </c>
      <c r="C79" s="656"/>
      <c r="D79" s="656"/>
      <c r="E79" s="656"/>
      <c r="F79" s="656"/>
      <c r="G79" s="657"/>
      <c r="H79" s="658">
        <f>H95+H97+H101+H103</f>
        <v>3271.46</v>
      </c>
    </row>
    <row r="80" spans="2:15">
      <c r="B80" s="587" t="str">
        <f>CONCATENATE("Salário - ",B79)</f>
        <v>Salário - Agente de limpeza pública e serviços gerais</v>
      </c>
      <c r="C80" s="660"/>
      <c r="D80" s="661"/>
      <c r="E80" s="662" t="s">
        <v>466</v>
      </c>
      <c r="F80" s="662">
        <v>1</v>
      </c>
      <c r="G80" s="626">
        <f>VLOOKUP(B80,Tabela3[[#All],[descrição]:[fonte]],4,FALSE)</f>
        <v>1115.69</v>
      </c>
      <c r="H80" s="663">
        <f>TRUNC(F80*G80,2)</f>
        <v>1115.69</v>
      </c>
    </row>
    <row r="81" spans="2:8">
      <c r="B81" s="664" t="s">
        <v>855</v>
      </c>
      <c r="C81" s="665"/>
      <c r="D81" s="665"/>
      <c r="E81" s="666" t="s">
        <v>466</v>
      </c>
      <c r="F81" s="666">
        <v>1</v>
      </c>
      <c r="G81" s="626">
        <f>VLOOKUP(B81,Tabela3[[#All],[descrição]:[fonte]],4,FALSE)</f>
        <v>1045</v>
      </c>
      <c r="H81" s="667"/>
    </row>
    <row r="82" spans="2:8">
      <c r="B82" s="664" t="s">
        <v>468</v>
      </c>
      <c r="C82" s="665"/>
      <c r="D82" s="665"/>
      <c r="E82" s="666" t="s">
        <v>469</v>
      </c>
      <c r="F82" s="668"/>
      <c r="G82" s="669"/>
      <c r="H82" s="670"/>
    </row>
    <row r="83" spans="2:8">
      <c r="B83" s="664"/>
      <c r="C83" s="665"/>
      <c r="D83" s="665"/>
      <c r="E83" s="666" t="s">
        <v>470</v>
      </c>
      <c r="F83" s="626">
        <f>F82*8/7</f>
        <v>0</v>
      </c>
      <c r="G83" s="671">
        <f>G80/220*0.2</f>
        <v>1.0142636363636366</v>
      </c>
      <c r="H83" s="667">
        <f>TRUNC(F83*G83,2)</f>
        <v>0</v>
      </c>
    </row>
    <row r="84" spans="2:8">
      <c r="B84" s="664" t="s">
        <v>471</v>
      </c>
      <c r="C84" s="665"/>
      <c r="D84" s="665"/>
      <c r="E84" s="666" t="s">
        <v>472</v>
      </c>
      <c r="F84" s="668"/>
      <c r="G84" s="626">
        <f>G80/220*2</f>
        <v>10.142636363636365</v>
      </c>
      <c r="H84" s="667">
        <f>TRUNC(F84*G84,2)</f>
        <v>0</v>
      </c>
    </row>
    <row r="85" spans="2:8">
      <c r="B85" s="664" t="s">
        <v>473</v>
      </c>
      <c r="C85" s="665"/>
      <c r="D85" s="665"/>
      <c r="E85" s="666" t="s">
        <v>469</v>
      </c>
      <c r="F85" s="668"/>
      <c r="G85" s="626"/>
      <c r="H85" s="667"/>
    </row>
    <row r="86" spans="2:8">
      <c r="B86" s="664"/>
      <c r="C86" s="665"/>
      <c r="D86" s="665"/>
      <c r="E86" s="666" t="s">
        <v>470</v>
      </c>
      <c r="F86" s="626">
        <f>F85*8/7</f>
        <v>0</v>
      </c>
      <c r="G86" s="626">
        <f>G80/220*2*1.2</f>
        <v>12.171163636363637</v>
      </c>
      <c r="H86" s="667">
        <f>TRUNC(F86*G86,2)</f>
        <v>0</v>
      </c>
    </row>
    <row r="87" spans="2:8">
      <c r="B87" s="664" t="s">
        <v>474</v>
      </c>
      <c r="C87" s="665"/>
      <c r="D87" s="665"/>
      <c r="E87" s="666" t="s">
        <v>472</v>
      </c>
      <c r="F87" s="668"/>
      <c r="G87" s="626">
        <f>G80/220*1.5</f>
        <v>7.6069772727272742</v>
      </c>
      <c r="H87" s="667">
        <f>TRUNC(F87*G87,2)</f>
        <v>0</v>
      </c>
    </row>
    <row r="88" spans="2:8">
      <c r="B88" s="664" t="s">
        <v>475</v>
      </c>
      <c r="C88" s="665"/>
      <c r="D88" s="665"/>
      <c r="E88" s="666" t="s">
        <v>469</v>
      </c>
      <c r="F88" s="668"/>
      <c r="G88" s="626"/>
      <c r="H88" s="667"/>
    </row>
    <row r="89" spans="2:8">
      <c r="B89" s="664"/>
      <c r="C89" s="665"/>
      <c r="D89" s="665"/>
      <c r="E89" s="666" t="s">
        <v>470</v>
      </c>
      <c r="F89" s="626">
        <f>F88*8/7</f>
        <v>0</v>
      </c>
      <c r="G89" s="626">
        <f>G80/220*1.5*1.2</f>
        <v>9.128372727272728</v>
      </c>
      <c r="H89" s="667">
        <f>TRUNC(F89*G89,2)</f>
        <v>0</v>
      </c>
    </row>
    <row r="90" spans="2:8">
      <c r="B90" s="664" t="s">
        <v>476</v>
      </c>
      <c r="C90" s="665"/>
      <c r="D90" s="665"/>
      <c r="E90" s="666" t="s">
        <v>477</v>
      </c>
      <c r="F90" s="669"/>
      <c r="G90" s="626">
        <f>TRUNC(((52+9)/304)*(SUM(H84:H89)),2)</f>
        <v>0</v>
      </c>
      <c r="H90" s="667">
        <f>G90</f>
        <v>0</v>
      </c>
    </row>
    <row r="91" spans="2:8">
      <c r="B91" s="664" t="s">
        <v>478</v>
      </c>
      <c r="C91" s="665"/>
      <c r="D91" s="665"/>
      <c r="E91" s="666"/>
      <c r="F91" s="672">
        <v>1</v>
      </c>
      <c r="G91" s="626"/>
      <c r="H91" s="667"/>
    </row>
    <row r="92" spans="2:8">
      <c r="B92" s="664" t="s">
        <v>479</v>
      </c>
      <c r="C92" s="665"/>
      <c r="D92" s="665"/>
      <c r="E92" s="666" t="s">
        <v>480</v>
      </c>
      <c r="F92" s="673">
        <f>VLOOKUP(B80,Tabela3[[#All],[descrição]:[fonte]],3,FALSE)</f>
        <v>40</v>
      </c>
      <c r="G92" s="626">
        <f>IF(F91=2,SUM(H80:H90),IF(F91=1,SUM(H80:H90)*G81/G80,0))</f>
        <v>1045</v>
      </c>
      <c r="H92" s="667">
        <f>TRUNC(F92*G92/100,2)</f>
        <v>418</v>
      </c>
    </row>
    <row r="93" spans="2:8">
      <c r="B93" s="674" t="s">
        <v>481</v>
      </c>
      <c r="C93" s="665"/>
      <c r="D93" s="665"/>
      <c r="E93" s="675"/>
      <c r="F93" s="675"/>
      <c r="G93" s="676"/>
      <c r="H93" s="677">
        <f>SUM(H80:H92)</f>
        <v>1533.69</v>
      </c>
    </row>
    <row r="94" spans="2:8">
      <c r="B94" s="678" t="s">
        <v>482</v>
      </c>
      <c r="C94" s="679"/>
      <c r="D94" s="680"/>
      <c r="E94" s="681" t="s">
        <v>480</v>
      </c>
      <c r="F94" s="682">
        <f>VLOOKUP(B94,Tabela3[[#All],[descrição]:[fonte]],4,FALSE)</f>
        <v>70.489999999999995</v>
      </c>
      <c r="G94" s="682">
        <f>H93</f>
        <v>1533.69</v>
      </c>
      <c r="H94" s="683">
        <f>TRUNC(G94*F94/100,2)</f>
        <v>1081.0899999999999</v>
      </c>
    </row>
    <row r="95" spans="2:8">
      <c r="B95" s="684" t="s">
        <v>861</v>
      </c>
      <c r="C95" s="665"/>
      <c r="D95" s="665"/>
      <c r="E95" s="685"/>
      <c r="F95" s="685"/>
      <c r="G95" s="686"/>
      <c r="H95" s="687">
        <f>TRUNC(H93+H94,2)</f>
        <v>2614.7800000000002</v>
      </c>
    </row>
    <row r="96" spans="2:8">
      <c r="B96" s="688" t="s">
        <v>483</v>
      </c>
      <c r="C96" s="336"/>
      <c r="D96" s="336"/>
      <c r="E96" s="336"/>
      <c r="F96" s="336"/>
      <c r="G96" s="336"/>
      <c r="H96" s="689"/>
    </row>
    <row r="97" spans="2:8">
      <c r="B97" s="690" t="s">
        <v>860</v>
      </c>
      <c r="C97" s="691"/>
      <c r="D97" s="692"/>
      <c r="E97" s="693" t="s">
        <v>484</v>
      </c>
      <c r="F97" s="694">
        <v>1</v>
      </c>
      <c r="G97" s="694">
        <f>H100</f>
        <v>132.72</v>
      </c>
      <c r="H97" s="695">
        <f>TRUNC(G97*F97,2)</f>
        <v>132.72</v>
      </c>
    </row>
    <row r="98" spans="2:8">
      <c r="B98" s="664" t="s">
        <v>485</v>
      </c>
      <c r="C98" s="665"/>
      <c r="D98" s="665"/>
      <c r="E98" s="666" t="s">
        <v>477</v>
      </c>
      <c r="F98" s="626">
        <v>1</v>
      </c>
      <c r="G98" s="626">
        <f>VLOOKUP(B98,Tabela3[[#All],[descrição]:[fonte]],4,FALSE)</f>
        <v>3.95</v>
      </c>
      <c r="H98" s="667"/>
    </row>
    <row r="99" spans="2:8">
      <c r="B99" s="664" t="s">
        <v>486</v>
      </c>
      <c r="C99" s="665"/>
      <c r="D99" s="665"/>
      <c r="E99" s="666" t="s">
        <v>487</v>
      </c>
      <c r="F99" s="626">
        <f>$H$5</f>
        <v>25.33</v>
      </c>
      <c r="G99" s="626"/>
      <c r="H99" s="667"/>
    </row>
    <row r="100" spans="2:8" ht="28.5" customHeight="1">
      <c r="B100" s="1439" t="str">
        <f>CONCATENATE("Vale Transporte - ",B79)</f>
        <v>Vale Transporte - Agente de limpeza pública e serviços gerais</v>
      </c>
      <c r="C100" s="1440"/>
      <c r="D100" s="1441"/>
      <c r="E100" s="697" t="s">
        <v>488</v>
      </c>
      <c r="F100" s="698">
        <f>F99*2*1</f>
        <v>50.66</v>
      </c>
      <c r="G100" s="698">
        <f>IF(TRUNC(IFERROR(((G98)-((G80*0.06)/(F99*2))),"-"),2)&lt;=0,0,TRUNC(IFERROR(((G98)-((G80*0.06)/(F99*2))),"-"),2))</f>
        <v>2.62</v>
      </c>
      <c r="H100" s="699">
        <f>TRUNC(IFERROR(F100*G100,"-"),2)</f>
        <v>132.72</v>
      </c>
    </row>
    <row r="101" spans="2:8">
      <c r="B101" s="690" t="s">
        <v>859</v>
      </c>
      <c r="C101" s="691"/>
      <c r="D101" s="692"/>
      <c r="E101" s="693" t="s">
        <v>484</v>
      </c>
      <c r="F101" s="694">
        <v>1</v>
      </c>
      <c r="G101" s="694">
        <f>H102</f>
        <v>303.95999999999998</v>
      </c>
      <c r="H101" s="695">
        <f>G101*F101</f>
        <v>303.95999999999998</v>
      </c>
    </row>
    <row r="102" spans="2:8">
      <c r="B102" s="700" t="s">
        <v>489</v>
      </c>
      <c r="C102" s="701"/>
      <c r="D102" s="702"/>
      <c r="E102" s="703" t="s">
        <v>490</v>
      </c>
      <c r="F102" s="694">
        <f>F99</f>
        <v>25.33</v>
      </c>
      <c r="G102" s="694">
        <f>VLOOKUP(B102,Tabela3[[#All],[descrição]:[fonte]],4,FALSE)</f>
        <v>12</v>
      </c>
      <c r="H102" s="704">
        <f>TRUNC(F102*G102,2)</f>
        <v>303.95999999999998</v>
      </c>
    </row>
    <row r="103" spans="2:8">
      <c r="B103" s="705" t="s">
        <v>491</v>
      </c>
      <c r="C103" s="706"/>
      <c r="D103" s="707"/>
      <c r="E103" s="675" t="s">
        <v>484</v>
      </c>
      <c r="F103" s="626">
        <v>1</v>
      </c>
      <c r="G103" s="626">
        <f>VLOOKUP(B103,Tabela3[[#All],[descrição]:[fonte]],4,FALSE)</f>
        <v>220</v>
      </c>
      <c r="H103" s="677">
        <f>G103*F103</f>
        <v>220</v>
      </c>
    </row>
    <row r="104" spans="2:8">
      <c r="B104" s="708" t="s">
        <v>384</v>
      </c>
      <c r="C104" s="709"/>
      <c r="D104" s="709"/>
      <c r="E104" s="709"/>
      <c r="F104" s="709"/>
      <c r="G104" s="709"/>
      <c r="H104" s="725">
        <f>E27</f>
        <v>16</v>
      </c>
    </row>
    <row r="105" spans="2:8" ht="15.75" thickBot="1">
      <c r="B105" s="710" t="s">
        <v>854</v>
      </c>
      <c r="C105" s="711"/>
      <c r="D105" s="711"/>
      <c r="E105" s="711"/>
      <c r="F105" s="711"/>
      <c r="G105" s="711"/>
      <c r="H105" s="712">
        <f>H104*H79</f>
        <v>52343.360000000001</v>
      </c>
    </row>
    <row r="107" spans="2:8" ht="15.75" thickBot="1">
      <c r="B107" s="309" t="s">
        <v>1263</v>
      </c>
    </row>
    <row r="108" spans="2:8">
      <c r="B108" s="655" t="s">
        <v>1132</v>
      </c>
      <c r="C108" s="656"/>
      <c r="D108" s="656"/>
      <c r="E108" s="656"/>
      <c r="F108" s="656"/>
      <c r="G108" s="657"/>
      <c r="H108" s="658">
        <f>H124+H126+H130+H132</f>
        <v>3490.1499999999996</v>
      </c>
    </row>
    <row r="109" spans="2:8">
      <c r="B109" s="587" t="str">
        <f>CONCATENATE("Salário - ",B108)</f>
        <v>Salário - Encarregado de equipe</v>
      </c>
      <c r="C109" s="660"/>
      <c r="D109" s="661"/>
      <c r="E109" s="662" t="s">
        <v>466</v>
      </c>
      <c r="F109" s="662">
        <v>1</v>
      </c>
      <c r="G109" s="626">
        <f>VLOOKUP(B109,Tabela3[[#All],[descrição]:[fonte]],4,FALSE)</f>
        <v>1465.14</v>
      </c>
      <c r="H109" s="663">
        <f>TRUNC(F109*G109,2)</f>
        <v>1465.14</v>
      </c>
    </row>
    <row r="110" spans="2:8">
      <c r="B110" s="664" t="s">
        <v>855</v>
      </c>
      <c r="C110" s="665"/>
      <c r="D110" s="665"/>
      <c r="E110" s="666" t="s">
        <v>466</v>
      </c>
      <c r="F110" s="666">
        <v>1</v>
      </c>
      <c r="G110" s="626">
        <f>VLOOKUP(B110,Tabela3[[#All],[descrição]:[fonte]],4,FALSE)</f>
        <v>1045</v>
      </c>
      <c r="H110" s="667"/>
    </row>
    <row r="111" spans="2:8">
      <c r="B111" s="664" t="s">
        <v>468</v>
      </c>
      <c r="C111" s="665"/>
      <c r="D111" s="665"/>
      <c r="E111" s="666" t="s">
        <v>469</v>
      </c>
      <c r="F111" s="668"/>
      <c r="G111" s="669"/>
      <c r="H111" s="670"/>
    </row>
    <row r="112" spans="2:8">
      <c r="B112" s="664"/>
      <c r="C112" s="665"/>
      <c r="D112" s="665"/>
      <c r="E112" s="666" t="s">
        <v>470</v>
      </c>
      <c r="F112" s="626">
        <f>F111*8/7</f>
        <v>0</v>
      </c>
      <c r="G112" s="671">
        <f>G109/220*0.2</f>
        <v>1.3319454545454548</v>
      </c>
      <c r="H112" s="667">
        <f>TRUNC(F112*G112,2)</f>
        <v>0</v>
      </c>
    </row>
    <row r="113" spans="2:8">
      <c r="B113" s="664" t="s">
        <v>471</v>
      </c>
      <c r="C113" s="665"/>
      <c r="D113" s="665"/>
      <c r="E113" s="666" t="s">
        <v>472</v>
      </c>
      <c r="F113" s="668"/>
      <c r="G113" s="626">
        <f>G109/220*2</f>
        <v>13.319454545454546</v>
      </c>
      <c r="H113" s="667">
        <f>TRUNC(F113*G113,2)</f>
        <v>0</v>
      </c>
    </row>
    <row r="114" spans="2:8">
      <c r="B114" s="664" t="s">
        <v>473</v>
      </c>
      <c r="C114" s="665"/>
      <c r="D114" s="665"/>
      <c r="E114" s="666" t="s">
        <v>469</v>
      </c>
      <c r="F114" s="668"/>
      <c r="G114" s="626"/>
      <c r="H114" s="667"/>
    </row>
    <row r="115" spans="2:8">
      <c r="B115" s="664"/>
      <c r="C115" s="665"/>
      <c r="D115" s="665"/>
      <c r="E115" s="666" t="s">
        <v>470</v>
      </c>
      <c r="F115" s="626">
        <f>F114*8/7</f>
        <v>0</v>
      </c>
      <c r="G115" s="626">
        <f>G109/220*2*1.2</f>
        <v>15.983345454545454</v>
      </c>
      <c r="H115" s="667">
        <f>TRUNC(F115*G115,2)</f>
        <v>0</v>
      </c>
    </row>
    <row r="116" spans="2:8">
      <c r="B116" s="664" t="s">
        <v>474</v>
      </c>
      <c r="C116" s="665"/>
      <c r="D116" s="665"/>
      <c r="E116" s="666" t="s">
        <v>472</v>
      </c>
      <c r="F116" s="668"/>
      <c r="G116" s="626">
        <f>G109/220*1.5</f>
        <v>9.989590909090909</v>
      </c>
      <c r="H116" s="667">
        <f>TRUNC(F116*G116,2)</f>
        <v>0</v>
      </c>
    </row>
    <row r="117" spans="2:8">
      <c r="B117" s="664" t="s">
        <v>475</v>
      </c>
      <c r="C117" s="665"/>
      <c r="D117" s="665"/>
      <c r="E117" s="666" t="s">
        <v>469</v>
      </c>
      <c r="F117" s="668"/>
      <c r="G117" s="626"/>
      <c r="H117" s="667"/>
    </row>
    <row r="118" spans="2:8">
      <c r="B118" s="664"/>
      <c r="C118" s="665"/>
      <c r="D118" s="665"/>
      <c r="E118" s="666" t="s">
        <v>470</v>
      </c>
      <c r="F118" s="626">
        <f>F117*8/7</f>
        <v>0</v>
      </c>
      <c r="G118" s="626">
        <f>G109/220*1.5*1.2</f>
        <v>11.987509090909091</v>
      </c>
      <c r="H118" s="667">
        <f>TRUNC(F118*G118,2)</f>
        <v>0</v>
      </c>
    </row>
    <row r="119" spans="2:8">
      <c r="B119" s="664" t="s">
        <v>476</v>
      </c>
      <c r="C119" s="665"/>
      <c r="D119" s="665"/>
      <c r="E119" s="666" t="s">
        <v>477</v>
      </c>
      <c r="F119" s="669"/>
      <c r="G119" s="626">
        <f>TRUNC(((52+9)/304)*(SUM(H113:H118)),2)</f>
        <v>0</v>
      </c>
      <c r="H119" s="667">
        <f>G119</f>
        <v>0</v>
      </c>
    </row>
    <row r="120" spans="2:8">
      <c r="B120" s="664" t="s">
        <v>478</v>
      </c>
      <c r="C120" s="665"/>
      <c r="D120" s="665"/>
      <c r="E120" s="666"/>
      <c r="F120" s="672">
        <v>1</v>
      </c>
      <c r="G120" s="626"/>
      <c r="H120" s="667"/>
    </row>
    <row r="121" spans="2:8">
      <c r="B121" s="664" t="s">
        <v>479</v>
      </c>
      <c r="C121" s="665"/>
      <c r="D121" s="665"/>
      <c r="E121" s="666" t="s">
        <v>480</v>
      </c>
      <c r="F121" s="673">
        <f>VLOOKUP(B109,Tabela3[[#All],[descrição]:[fonte]],3,FALSE)</f>
        <v>20</v>
      </c>
      <c r="G121" s="626">
        <f>IF(F120=2,SUM(H109:H119),IF(F120=1,SUM(H109:H119)*G110/G109,0))</f>
        <v>1045</v>
      </c>
      <c r="H121" s="667">
        <f>TRUNC(F121*G121/100,2)</f>
        <v>209</v>
      </c>
    </row>
    <row r="122" spans="2:8">
      <c r="B122" s="674" t="s">
        <v>481</v>
      </c>
      <c r="C122" s="665"/>
      <c r="D122" s="665"/>
      <c r="E122" s="675"/>
      <c r="F122" s="675"/>
      <c r="G122" s="676"/>
      <c r="H122" s="677">
        <f>SUM(H109:H121)</f>
        <v>1674.14</v>
      </c>
    </row>
    <row r="123" spans="2:8">
      <c r="B123" s="678" t="s">
        <v>482</v>
      </c>
      <c r="C123" s="679"/>
      <c r="D123" s="680"/>
      <c r="E123" s="681" t="s">
        <v>480</v>
      </c>
      <c r="F123" s="682">
        <f>VLOOKUP(B123,Tabela3[[#All],[descrição]:[fonte]],4,FALSE)</f>
        <v>70.489999999999995</v>
      </c>
      <c r="G123" s="682">
        <f>H122</f>
        <v>1674.14</v>
      </c>
      <c r="H123" s="683">
        <f>TRUNC(G123*F123/100,2)</f>
        <v>1180.0999999999999</v>
      </c>
    </row>
    <row r="124" spans="2:8">
      <c r="B124" s="684" t="s">
        <v>861</v>
      </c>
      <c r="C124" s="665"/>
      <c r="D124" s="665"/>
      <c r="E124" s="685"/>
      <c r="F124" s="685"/>
      <c r="G124" s="686"/>
      <c r="H124" s="687">
        <f>TRUNC(H122+H123,2)</f>
        <v>2854.24</v>
      </c>
    </row>
    <row r="125" spans="2:8">
      <c r="B125" s="688" t="s">
        <v>483</v>
      </c>
      <c r="C125" s="336"/>
      <c r="D125" s="336"/>
      <c r="E125" s="336"/>
      <c r="F125" s="336"/>
      <c r="G125" s="336"/>
      <c r="H125" s="689"/>
    </row>
    <row r="126" spans="2:8">
      <c r="B126" s="690" t="s">
        <v>860</v>
      </c>
      <c r="C126" s="691"/>
      <c r="D126" s="692"/>
      <c r="E126" s="693" t="s">
        <v>484</v>
      </c>
      <c r="F126" s="694">
        <v>1</v>
      </c>
      <c r="G126" s="694">
        <f>H129</f>
        <v>111.95</v>
      </c>
      <c r="H126" s="695">
        <f>TRUNC(G126*F126,2)</f>
        <v>111.95</v>
      </c>
    </row>
    <row r="127" spans="2:8">
      <c r="B127" s="664" t="s">
        <v>485</v>
      </c>
      <c r="C127" s="665"/>
      <c r="D127" s="665"/>
      <c r="E127" s="666" t="s">
        <v>477</v>
      </c>
      <c r="F127" s="626">
        <v>1</v>
      </c>
      <c r="G127" s="626">
        <f>VLOOKUP(B127,Tabela3[[#All],[descrição]:[fonte]],4,FALSE)</f>
        <v>3.95</v>
      </c>
      <c r="H127" s="667"/>
    </row>
    <row r="128" spans="2:8">
      <c r="B128" s="664" t="s">
        <v>486</v>
      </c>
      <c r="C128" s="665"/>
      <c r="D128" s="665"/>
      <c r="E128" s="666" t="s">
        <v>487</v>
      </c>
      <c r="F128" s="626">
        <f>$H$5</f>
        <v>25.33</v>
      </c>
      <c r="G128" s="626"/>
      <c r="H128" s="667"/>
    </row>
    <row r="129" spans="2:8">
      <c r="B129" s="627" t="str">
        <f>CONCATENATE("Vale Transporte - ",B108)</f>
        <v>Vale Transporte - Encarregado de equipe</v>
      </c>
      <c r="C129" s="665"/>
      <c r="D129" s="665"/>
      <c r="E129" s="697" t="s">
        <v>488</v>
      </c>
      <c r="F129" s="698">
        <f>F128*2*1</f>
        <v>50.66</v>
      </c>
      <c r="G129" s="698">
        <f>IF(TRUNC(IFERROR(((G127)-((G109*0.06)/(F128*2))),"-"),2)&lt;=0,0,TRUNC(IFERROR(((G127)-((G109*0.06)/(F128*2))),"-"),2))</f>
        <v>2.21</v>
      </c>
      <c r="H129" s="699">
        <f>TRUNC(IFERROR(F129*G129,"-"),2)</f>
        <v>111.95</v>
      </c>
    </row>
    <row r="130" spans="2:8">
      <c r="B130" s="690" t="s">
        <v>859</v>
      </c>
      <c r="C130" s="691"/>
      <c r="D130" s="692"/>
      <c r="E130" s="693" t="s">
        <v>484</v>
      </c>
      <c r="F130" s="694">
        <v>1</v>
      </c>
      <c r="G130" s="694">
        <f>H131</f>
        <v>303.95999999999998</v>
      </c>
      <c r="H130" s="695">
        <f>G130*F130</f>
        <v>303.95999999999998</v>
      </c>
    </row>
    <row r="131" spans="2:8">
      <c r="B131" s="700" t="s">
        <v>489</v>
      </c>
      <c r="C131" s="701"/>
      <c r="D131" s="702"/>
      <c r="E131" s="703" t="s">
        <v>490</v>
      </c>
      <c r="F131" s="694">
        <f>F128</f>
        <v>25.33</v>
      </c>
      <c r="G131" s="694">
        <f>VLOOKUP(B131,Tabela3[[#All],[descrição]:[fonte]],4,FALSE)</f>
        <v>12</v>
      </c>
      <c r="H131" s="704">
        <f>TRUNC(F131*G131,2)</f>
        <v>303.95999999999998</v>
      </c>
    </row>
    <row r="132" spans="2:8">
      <c r="B132" s="705" t="s">
        <v>491</v>
      </c>
      <c r="C132" s="706"/>
      <c r="D132" s="707"/>
      <c r="E132" s="675" t="s">
        <v>484</v>
      </c>
      <c r="F132" s="626">
        <v>1</v>
      </c>
      <c r="G132" s="626">
        <f>VLOOKUP(B132,Tabela3[[#All],[descrição]:[fonte]],4,FALSE)</f>
        <v>220</v>
      </c>
      <c r="H132" s="677">
        <f>G132*F132</f>
        <v>220</v>
      </c>
    </row>
    <row r="133" spans="2:8">
      <c r="B133" s="708" t="s">
        <v>384</v>
      </c>
      <c r="C133" s="709"/>
      <c r="D133" s="709"/>
      <c r="E133" s="709"/>
      <c r="F133" s="709"/>
      <c r="G133" s="709"/>
      <c r="H133" s="725">
        <f>E28</f>
        <v>1</v>
      </c>
    </row>
    <row r="134" spans="2:8" ht="15.75" thickBot="1">
      <c r="B134" s="710" t="s">
        <v>854</v>
      </c>
      <c r="C134" s="711"/>
      <c r="D134" s="711"/>
      <c r="E134" s="711"/>
      <c r="F134" s="711"/>
      <c r="G134" s="711"/>
      <c r="H134" s="712">
        <f>H133*H108</f>
        <v>3490.1499999999996</v>
      </c>
    </row>
    <row r="135" spans="2:8" ht="15.75" thickBot="1"/>
    <row r="136" spans="2:8" ht="15.75" thickBot="1">
      <c r="B136" s="348" t="s">
        <v>598</v>
      </c>
      <c r="C136" s="312"/>
      <c r="D136" s="312"/>
      <c r="E136" s="312"/>
      <c r="F136" s="312"/>
      <c r="G136" s="312"/>
      <c r="H136" s="349">
        <f>H134+H105</f>
        <v>55833.51</v>
      </c>
    </row>
    <row r="138" spans="2:8">
      <c r="B138" s="309" t="s">
        <v>1264</v>
      </c>
    </row>
    <row r="139" spans="2:8" ht="30">
      <c r="B139" s="645" t="s">
        <v>900</v>
      </c>
      <c r="C139" s="646"/>
      <c r="D139" s="648"/>
      <c r="E139" s="649" t="s">
        <v>1164</v>
      </c>
      <c r="F139" s="650" t="s">
        <v>1165</v>
      </c>
      <c r="G139" s="649" t="s">
        <v>1166</v>
      </c>
      <c r="H139" s="651" t="s">
        <v>1167</v>
      </c>
    </row>
    <row r="140" spans="2:8">
      <c r="B140" s="315" t="s">
        <v>637</v>
      </c>
      <c r="C140" s="316"/>
      <c r="D140" s="326"/>
      <c r="E140" s="350" t="s">
        <v>601</v>
      </c>
      <c r="F140" s="327">
        <f t="shared" ref="F140:F147" si="2">H35</f>
        <v>0.67</v>
      </c>
      <c r="G140" s="254">
        <f>VLOOKUP(B140,Tabela1[[#All],[ITENS PARA ORÇAMENTO]:[MEDIANA]],11,FALSE)</f>
        <v>136.5</v>
      </c>
      <c r="H140" s="352">
        <f t="shared" ref="H140:H147" si="3">F140*G140</f>
        <v>91.455000000000013</v>
      </c>
    </row>
    <row r="141" spans="2:8">
      <c r="B141" s="318" t="s">
        <v>550</v>
      </c>
      <c r="D141" s="329"/>
      <c r="E141" s="353" t="s">
        <v>601</v>
      </c>
      <c r="F141" s="330">
        <f t="shared" si="2"/>
        <v>0</v>
      </c>
      <c r="G141" s="394">
        <f>VLOOKUP(B141,Tabela1[[#All],[ITENS PARA ORÇAMENTO]:[MEDIANA]],11,FALSE)</f>
        <v>40.53</v>
      </c>
      <c r="H141" s="354">
        <f t="shared" si="3"/>
        <v>0</v>
      </c>
    </row>
    <row r="142" spans="2:8">
      <c r="B142" s="318" t="s">
        <v>640</v>
      </c>
      <c r="D142" s="329"/>
      <c r="E142" s="353" t="s">
        <v>601</v>
      </c>
      <c r="F142" s="330">
        <f t="shared" si="2"/>
        <v>0</v>
      </c>
      <c r="G142" s="394">
        <f>VLOOKUP(B142,Tabela1[[#All],[ITENS PARA ORÇAMENTO]:[MEDIANA]],11,FALSE)</f>
        <v>39.799999999999997</v>
      </c>
      <c r="H142" s="354">
        <f t="shared" si="3"/>
        <v>0</v>
      </c>
    </row>
    <row r="143" spans="2:8">
      <c r="B143" s="318" t="s">
        <v>588</v>
      </c>
      <c r="D143" s="329"/>
      <c r="E143" s="353" t="s">
        <v>601</v>
      </c>
      <c r="F143" s="330">
        <f t="shared" si="2"/>
        <v>0.67</v>
      </c>
      <c r="G143" s="394">
        <f>VLOOKUP(B143,Tabela1[[#All],[ITENS PARA ORÇAMENTO]:[MEDIANA]],11,FALSE)</f>
        <v>39.979999999999997</v>
      </c>
      <c r="H143" s="354">
        <f t="shared" si="3"/>
        <v>26.7866</v>
      </c>
    </row>
    <row r="144" spans="2:8">
      <c r="B144" s="318" t="s">
        <v>242</v>
      </c>
      <c r="D144" s="329"/>
      <c r="E144" s="353" t="s">
        <v>601</v>
      </c>
      <c r="F144" s="330">
        <f t="shared" si="2"/>
        <v>0.67</v>
      </c>
      <c r="G144" s="394">
        <f>VLOOKUP(B144,Tabela1[[#All],[ITENS PARA ORÇAMENTO]:[MEDIANA]],11,FALSE)</f>
        <v>28.44</v>
      </c>
      <c r="H144" s="354">
        <f t="shared" si="3"/>
        <v>19.054800000000004</v>
      </c>
    </row>
    <row r="145" spans="2:11">
      <c r="B145" s="318" t="s">
        <v>241</v>
      </c>
      <c r="D145" s="329"/>
      <c r="E145" s="353" t="s">
        <v>601</v>
      </c>
      <c r="F145" s="330">
        <f t="shared" si="2"/>
        <v>2</v>
      </c>
      <c r="G145" s="394">
        <f>VLOOKUP(B145,Tabela1[[#All],[ITENS PARA ORÇAMENTO]:[MEDIANA]],11,FALSE)</f>
        <v>28.49</v>
      </c>
      <c r="H145" s="354">
        <f t="shared" si="3"/>
        <v>56.98</v>
      </c>
    </row>
    <row r="146" spans="2:11">
      <c r="B146" s="318" t="s">
        <v>243</v>
      </c>
      <c r="D146" s="329"/>
      <c r="E146" s="353" t="s">
        <v>601</v>
      </c>
      <c r="F146" s="330">
        <f t="shared" si="2"/>
        <v>4052.8</v>
      </c>
      <c r="G146" s="394">
        <f>VLOOKUP(B146,Tabela1[[#All],[ITENS PARA ORÇAMENTO]:[MEDIANA]],11,FALSE)</f>
        <v>0.4</v>
      </c>
      <c r="H146" s="354">
        <f t="shared" si="3"/>
        <v>1621.1200000000001</v>
      </c>
    </row>
    <row r="147" spans="2:11">
      <c r="B147" s="320" t="s">
        <v>639</v>
      </c>
      <c r="C147" s="321"/>
      <c r="D147" s="332"/>
      <c r="E147" s="355" t="s">
        <v>601</v>
      </c>
      <c r="F147" s="333">
        <f t="shared" si="2"/>
        <v>0.24</v>
      </c>
      <c r="G147" s="397">
        <f>VLOOKUP(B147,Tabela1[[#All],[ITENS PARA ORÇAMENTO]:[MEDIANA]],11,FALSE)</f>
        <v>138.74</v>
      </c>
      <c r="H147" s="356">
        <f t="shared" si="3"/>
        <v>33.297600000000003</v>
      </c>
    </row>
    <row r="148" spans="2:11" ht="15.75" thickBot="1">
      <c r="B148" s="336" t="s">
        <v>595</v>
      </c>
    </row>
    <row r="149" spans="2:11" ht="15.75" thickBot="1">
      <c r="B149" s="348" t="s">
        <v>602</v>
      </c>
      <c r="C149" s="312"/>
      <c r="D149" s="312"/>
      <c r="E149" s="312"/>
      <c r="F149" s="312"/>
      <c r="G149" s="312"/>
      <c r="H149" s="349">
        <f>SUM(H140:H147)</f>
        <v>1848.6940000000002</v>
      </c>
    </row>
    <row r="151" spans="2:11">
      <c r="B151" s="309" t="s">
        <v>1265</v>
      </c>
      <c r="E151" s="881"/>
      <c r="K151" s="883"/>
    </row>
    <row r="152" spans="2:11">
      <c r="B152" s="570" t="s">
        <v>900</v>
      </c>
      <c r="C152" s="571"/>
      <c r="D152" s="571"/>
      <c r="E152" s="571" t="s">
        <v>1164</v>
      </c>
      <c r="F152" s="571"/>
      <c r="G152" s="571"/>
      <c r="H152" s="750" t="s">
        <v>1168</v>
      </c>
    </row>
    <row r="153" spans="2:11">
      <c r="B153" s="357" t="s">
        <v>586</v>
      </c>
      <c r="C153" s="312"/>
      <c r="D153" s="312"/>
      <c r="E153" s="358" t="s">
        <v>616</v>
      </c>
      <c r="F153" s="312"/>
      <c r="G153" s="312"/>
      <c r="H153" s="778">
        <f>TRUNC(H157+H160+H163,2)</f>
        <v>31.53</v>
      </c>
    </row>
    <row r="154" spans="2:11">
      <c r="B154" s="315" t="s">
        <v>882</v>
      </c>
      <c r="C154" s="316"/>
      <c r="E154" s="350" t="s">
        <v>601</v>
      </c>
      <c r="F154" s="316"/>
      <c r="G154" s="316"/>
      <c r="H154" s="525">
        <f>VLOOKUP(B153,Tabela1[[#All],[ITENS PARA ORÇAMENTO]:[MEDIANA]],11,FALSE)</f>
        <v>785.75</v>
      </c>
    </row>
    <row r="155" spans="2:11">
      <c r="B155" s="318" t="s">
        <v>605</v>
      </c>
      <c r="E155" s="353" t="s">
        <v>615</v>
      </c>
      <c r="H155" s="500">
        <f>G47/12</f>
        <v>3</v>
      </c>
      <c r="K155" s="879" t="s">
        <v>1233</v>
      </c>
    </row>
    <row r="156" spans="2:11">
      <c r="B156" s="318" t="s">
        <v>606</v>
      </c>
      <c r="E156" s="353" t="s">
        <v>615</v>
      </c>
      <c r="H156" s="331">
        <v>0</v>
      </c>
      <c r="K156" s="879"/>
    </row>
    <row r="157" spans="2:11">
      <c r="B157" s="348" t="s">
        <v>607</v>
      </c>
      <c r="C157" s="312"/>
      <c r="D157" s="312"/>
      <c r="E157" s="358" t="s">
        <v>616</v>
      </c>
      <c r="F157" s="312"/>
      <c r="G157" s="312"/>
      <c r="H157" s="359">
        <f>TRUNC((H154-H159)/H155/12,2)</f>
        <v>15.27</v>
      </c>
      <c r="K157" s="879" t="s">
        <v>1230</v>
      </c>
    </row>
    <row r="158" spans="2:11">
      <c r="B158" s="318" t="s">
        <v>608</v>
      </c>
      <c r="E158" s="353" t="s">
        <v>480</v>
      </c>
      <c r="H158" s="360">
        <v>0.3</v>
      </c>
      <c r="I158" s="547"/>
      <c r="K158" s="890" t="s">
        <v>1235</v>
      </c>
    </row>
    <row r="159" spans="2:11">
      <c r="B159" s="318" t="s">
        <v>609</v>
      </c>
      <c r="E159" s="353" t="s">
        <v>477</v>
      </c>
      <c r="H159" s="331">
        <f>H158*H154</f>
        <v>235.72499999999999</v>
      </c>
      <c r="K159" s="879"/>
    </row>
    <row r="160" spans="2:11">
      <c r="B160" s="348" t="s">
        <v>610</v>
      </c>
      <c r="C160" s="312"/>
      <c r="D160" s="312"/>
      <c r="E160" s="358" t="s">
        <v>616</v>
      </c>
      <c r="F160" s="312"/>
      <c r="G160" s="312"/>
      <c r="H160" s="359">
        <f>TRUNC(((1+H161)^(1/12)-1)*H162,2)</f>
        <v>0.99</v>
      </c>
      <c r="K160" s="879" t="s">
        <v>1230</v>
      </c>
    </row>
    <row r="161" spans="2:18">
      <c r="B161" s="318" t="s">
        <v>612</v>
      </c>
      <c r="E161" s="353" t="s">
        <v>480</v>
      </c>
      <c r="H161" s="328">
        <f>VLOOKUP(B161,Tabela1[[#All],[ITENS PARA ORÇAMENTO]:[MEDIANA]],11,FALSE)</f>
        <v>0.02</v>
      </c>
      <c r="K161" s="879" t="s">
        <v>1232</v>
      </c>
    </row>
    <row r="162" spans="2:18">
      <c r="B162" s="318" t="s">
        <v>611</v>
      </c>
      <c r="E162" s="353" t="s">
        <v>477</v>
      </c>
      <c r="H162" s="361">
        <f>(((H155+1)*(H154-H159)/(2*H155))+H159)</f>
        <v>602.4083333333333</v>
      </c>
      <c r="K162" s="879" t="s">
        <v>1230</v>
      </c>
    </row>
    <row r="163" spans="2:18">
      <c r="B163" s="348" t="s">
        <v>613</v>
      </c>
      <c r="C163" s="312"/>
      <c r="D163" s="312"/>
      <c r="E163" s="358" t="s">
        <v>616</v>
      </c>
      <c r="F163" s="362" t="s">
        <v>874</v>
      </c>
      <c r="G163" s="363">
        <v>0.7</v>
      </c>
      <c r="H163" s="359">
        <f>TRUNC(H154*G163/(H155*12),2)</f>
        <v>15.27</v>
      </c>
      <c r="K163" s="879" t="s">
        <v>1231</v>
      </c>
      <c r="R163" s="307" t="s">
        <v>1238</v>
      </c>
    </row>
    <row r="164" spans="2:18">
      <c r="B164" s="348" t="s">
        <v>384</v>
      </c>
      <c r="C164" s="312"/>
      <c r="E164" s="358"/>
      <c r="F164" s="312"/>
      <c r="G164" s="312"/>
      <c r="H164" s="483">
        <f>E12</f>
        <v>8</v>
      </c>
    </row>
    <row r="165" spans="2:18">
      <c r="B165" s="348" t="s">
        <v>244</v>
      </c>
      <c r="C165" s="312"/>
      <c r="D165" s="312"/>
      <c r="E165" s="358" t="s">
        <v>616</v>
      </c>
      <c r="F165" s="312"/>
      <c r="G165" s="312"/>
      <c r="H165" s="359">
        <f>TRUNC(H164*H153,2)</f>
        <v>252.24</v>
      </c>
    </row>
    <row r="166" spans="2:18" ht="15.75" thickBot="1">
      <c r="B166" s="336" t="s">
        <v>595</v>
      </c>
    </row>
    <row r="167" spans="2:18" ht="15.75" thickBot="1">
      <c r="B167" s="348" t="s">
        <v>636</v>
      </c>
      <c r="C167" s="312"/>
      <c r="D167" s="312"/>
      <c r="E167" s="312"/>
      <c r="F167" s="312"/>
      <c r="G167" s="312"/>
      <c r="H167" s="349">
        <f>H165</f>
        <v>252.24</v>
      </c>
    </row>
    <row r="169" spans="2:18">
      <c r="B169" s="309" t="s">
        <v>1266</v>
      </c>
    </row>
    <row r="170" spans="2:18" ht="30">
      <c r="B170" s="645" t="s">
        <v>900</v>
      </c>
      <c r="C170" s="646"/>
      <c r="D170" s="648"/>
      <c r="E170" s="649" t="s">
        <v>1164</v>
      </c>
      <c r="F170" s="650" t="s">
        <v>1165</v>
      </c>
      <c r="G170" s="649" t="s">
        <v>1166</v>
      </c>
      <c r="H170" s="651" t="s">
        <v>1167</v>
      </c>
    </row>
    <row r="171" spans="2:18">
      <c r="B171" s="315" t="s">
        <v>566</v>
      </c>
      <c r="C171" s="316"/>
      <c r="D171" s="326"/>
      <c r="E171" s="350" t="s">
        <v>601</v>
      </c>
      <c r="F171" s="327">
        <f t="shared" ref="F171:F182" si="4">H52</f>
        <v>1.41</v>
      </c>
      <c r="G171" s="254">
        <f>VLOOKUP(B171,Tabela1[[#All],[ITENS PARA ORÇAMENTO]:[MEDIANA]],11,FALSE)</f>
        <v>132.91</v>
      </c>
      <c r="H171" s="352">
        <f t="shared" ref="H171:H182" si="5">F171*G171</f>
        <v>187.40309999999999</v>
      </c>
    </row>
    <row r="172" spans="2:18">
      <c r="B172" s="318" t="s">
        <v>492</v>
      </c>
      <c r="D172" s="329"/>
      <c r="E172" s="353" t="s">
        <v>601</v>
      </c>
      <c r="F172" s="330">
        <f t="shared" si="4"/>
        <v>4.25</v>
      </c>
      <c r="G172" s="330">
        <f>VLOOKUP(B172,Tabela1[[#All],[ITENS PARA ORÇAMENTO]:[MEDIANA]],11,FALSE)</f>
        <v>43.86</v>
      </c>
      <c r="H172" s="354">
        <f t="shared" si="5"/>
        <v>186.405</v>
      </c>
    </row>
    <row r="173" spans="2:18">
      <c r="B173" s="318" t="s">
        <v>493</v>
      </c>
      <c r="D173" s="329"/>
      <c r="E173" s="353" t="s">
        <v>601</v>
      </c>
      <c r="F173" s="330">
        <f t="shared" si="4"/>
        <v>4.25</v>
      </c>
      <c r="G173" s="330">
        <f>VLOOKUP(B173,Tabela1[[#All],[ITENS PARA ORÇAMENTO]:[MEDIANA]],11,FALSE)</f>
        <v>43.02</v>
      </c>
      <c r="H173" s="354">
        <f t="shared" si="5"/>
        <v>182.83500000000001</v>
      </c>
    </row>
    <row r="174" spans="2:18">
      <c r="B174" s="318" t="s">
        <v>494</v>
      </c>
      <c r="D174" s="329"/>
      <c r="E174" s="353" t="s">
        <v>601</v>
      </c>
      <c r="F174" s="330">
        <f t="shared" si="4"/>
        <v>2.83</v>
      </c>
      <c r="G174" s="330">
        <f>VLOOKUP(B174,Tabela1[[#All],[ITENS PARA ORÇAMENTO]:[MEDIANA]],11,FALSE)</f>
        <v>17.59</v>
      </c>
      <c r="H174" s="354">
        <f t="shared" si="5"/>
        <v>49.779699999999998</v>
      </c>
    </row>
    <row r="175" spans="2:18">
      <c r="B175" s="318" t="s">
        <v>502</v>
      </c>
      <c r="D175" s="329"/>
      <c r="E175" s="353" t="s">
        <v>495</v>
      </c>
      <c r="F175" s="330">
        <f t="shared" si="4"/>
        <v>4.25</v>
      </c>
      <c r="G175" s="330">
        <f>VLOOKUP(B175,Tabela1[[#All],[ITENS PARA ORÇAMENTO]:[MEDIANA]],11,FALSE)</f>
        <v>57.7</v>
      </c>
      <c r="H175" s="354">
        <f t="shared" si="5"/>
        <v>245.22500000000002</v>
      </c>
    </row>
    <row r="176" spans="2:18">
      <c r="B176" s="318" t="s">
        <v>496</v>
      </c>
      <c r="D176" s="329"/>
      <c r="E176" s="353" t="s">
        <v>601</v>
      </c>
      <c r="F176" s="330">
        <f t="shared" si="4"/>
        <v>2.83</v>
      </c>
      <c r="G176" s="330">
        <f>VLOOKUP(B176,Tabela1[[#All],[ITENS PARA ORÇAMENTO]:[MEDIANA]],11,FALSE)</f>
        <v>23</v>
      </c>
      <c r="H176" s="354">
        <f t="shared" si="5"/>
        <v>65.09</v>
      </c>
    </row>
    <row r="177" spans="2:8">
      <c r="B177" s="318" t="s">
        <v>497</v>
      </c>
      <c r="D177" s="329"/>
      <c r="E177" s="353" t="s">
        <v>601</v>
      </c>
      <c r="F177" s="330">
        <f t="shared" si="4"/>
        <v>2.83</v>
      </c>
      <c r="G177" s="330">
        <f>VLOOKUP(B177,Tabela1[[#All],[ITENS PARA ORÇAMENTO]:[MEDIANA]],11,FALSE)</f>
        <v>19.989999999999998</v>
      </c>
      <c r="H177" s="354">
        <f t="shared" si="5"/>
        <v>56.5717</v>
      </c>
    </row>
    <row r="178" spans="2:8">
      <c r="B178" s="318" t="s">
        <v>498</v>
      </c>
      <c r="D178" s="329"/>
      <c r="E178" s="353" t="s">
        <v>495</v>
      </c>
      <c r="F178" s="330">
        <f t="shared" si="4"/>
        <v>11.33</v>
      </c>
      <c r="G178" s="330">
        <f>VLOOKUP(B178,Tabela1[[#All],[ITENS PARA ORÇAMENTO]:[MEDIANA]],11,FALSE)</f>
        <v>9.99</v>
      </c>
      <c r="H178" s="354">
        <f t="shared" si="5"/>
        <v>113.1867</v>
      </c>
    </row>
    <row r="179" spans="2:8">
      <c r="B179" s="318" t="s">
        <v>499</v>
      </c>
      <c r="D179" s="329"/>
      <c r="E179" s="353" t="s">
        <v>601</v>
      </c>
      <c r="F179" s="330">
        <f t="shared" si="4"/>
        <v>17</v>
      </c>
      <c r="G179" s="330">
        <f>VLOOKUP(B179,Tabela1[[#All],[ITENS PARA ORÇAMENTO]:[MEDIANA]],11,FALSE)</f>
        <v>9.65</v>
      </c>
      <c r="H179" s="354">
        <f t="shared" si="5"/>
        <v>164.05</v>
      </c>
    </row>
    <row r="180" spans="2:8">
      <c r="B180" s="318" t="s">
        <v>503</v>
      </c>
      <c r="D180" s="329"/>
      <c r="E180" s="353" t="s">
        <v>601</v>
      </c>
      <c r="F180" s="330">
        <f t="shared" si="4"/>
        <v>0.66</v>
      </c>
      <c r="G180" s="330">
        <f>VLOOKUP(B180,Tabela1[[#All],[ITENS PARA ORÇAMENTO]:[MEDIANA]],11,FALSE)</f>
        <v>6.66</v>
      </c>
      <c r="H180" s="354">
        <f t="shared" si="5"/>
        <v>4.3956</v>
      </c>
    </row>
    <row r="181" spans="2:8">
      <c r="B181" s="318" t="str">
        <f>B62</f>
        <v>Protetor auricular</v>
      </c>
      <c r="D181" s="329"/>
      <c r="E181" s="353"/>
      <c r="F181" s="330">
        <f t="shared" si="4"/>
        <v>0.66</v>
      </c>
      <c r="G181" s="330">
        <f>VLOOKUP(B181,Tabela1[[#All],[ITENS PARA ORÇAMENTO]:[MEDIANA]],11,FALSE)</f>
        <v>5.83</v>
      </c>
      <c r="H181" s="354">
        <f>F181*G181</f>
        <v>3.8478000000000003</v>
      </c>
    </row>
    <row r="182" spans="2:8">
      <c r="B182" s="320" t="s">
        <v>504</v>
      </c>
      <c r="C182" s="321"/>
      <c r="D182" s="332"/>
      <c r="E182" s="355" t="s">
        <v>601</v>
      </c>
      <c r="F182" s="333">
        <f t="shared" si="4"/>
        <v>0.66</v>
      </c>
      <c r="G182" s="333">
        <f>VLOOKUP(B182,Tabela1[[#All],[ITENS PARA ORÇAMENTO]:[MEDIANA]],11,FALSE)</f>
        <v>47.02</v>
      </c>
      <c r="H182" s="356">
        <f t="shared" si="5"/>
        <v>31.033200000000004</v>
      </c>
    </row>
    <row r="183" spans="2:8" ht="15.75" thickBot="1">
      <c r="B183" s="337" t="s">
        <v>595</v>
      </c>
    </row>
    <row r="184" spans="2:8" ht="15.75" thickBot="1">
      <c r="B184" s="348" t="s">
        <v>614</v>
      </c>
      <c r="C184" s="312"/>
      <c r="D184" s="312"/>
      <c r="E184" s="312"/>
      <c r="F184" s="312"/>
      <c r="G184" s="312"/>
      <c r="H184" s="349">
        <f>SUM(H171:H182)</f>
        <v>1289.8228000000001</v>
      </c>
    </row>
    <row r="185" spans="2:8">
      <c r="B185" s="309"/>
      <c r="H185" s="412"/>
    </row>
    <row r="186" spans="2:8">
      <c r="B186" s="309" t="s">
        <v>1267</v>
      </c>
    </row>
    <row r="187" spans="2:8" ht="30">
      <c r="B187" s="645" t="s">
        <v>900</v>
      </c>
      <c r="C187" s="646"/>
      <c r="D187" s="648"/>
      <c r="E187" s="649" t="s">
        <v>1164</v>
      </c>
      <c r="F187" s="650" t="s">
        <v>1165</v>
      </c>
      <c r="G187" s="649" t="s">
        <v>1166</v>
      </c>
      <c r="H187" s="651" t="s">
        <v>1167</v>
      </c>
    </row>
    <row r="188" spans="2:8">
      <c r="B188" s="315" t="str">
        <f>B68</f>
        <v>Recipiente térmico para água (5L)</v>
      </c>
      <c r="C188" s="316"/>
      <c r="D188" s="316"/>
      <c r="E188" s="350" t="s">
        <v>601</v>
      </c>
      <c r="F188" s="350">
        <f>H68</f>
        <v>0.24</v>
      </c>
      <c r="G188" s="254">
        <f>VLOOKUP(B188,Tabela1[[ITENS PARA ORÇAMENTO]:[MEDIANA]],11,FALSE)</f>
        <v>29.86</v>
      </c>
      <c r="H188" s="365">
        <f>TRUNC(G188*F188,2)</f>
        <v>7.16</v>
      </c>
    </row>
    <row r="189" spans="2:8">
      <c r="B189" s="318" t="str">
        <f>B69</f>
        <v>Tela de proteção</v>
      </c>
      <c r="E189" s="353" t="s">
        <v>601</v>
      </c>
      <c r="F189" s="353">
        <f>H69</f>
        <v>0.66</v>
      </c>
      <c r="G189" s="353">
        <f>VLOOKUP(B189,Tabela1[[ITENS PARA ORÇAMENTO]:[MEDIANA]],11,FALSE)</f>
        <v>85.3</v>
      </c>
      <c r="H189" s="500">
        <f>TRUNC(G189*F189,2)</f>
        <v>56.29</v>
      </c>
    </row>
    <row r="190" spans="2:8">
      <c r="B190" s="318" t="str">
        <f>B70</f>
        <v>Cone de sinalização</v>
      </c>
      <c r="E190" s="353" t="s">
        <v>601</v>
      </c>
      <c r="F190" s="353">
        <f>H70</f>
        <v>0.35</v>
      </c>
      <c r="G190" s="353">
        <f>VLOOKUP(B190,Tabela1[[ITENS PARA ORÇAMENTO]:[MEDIANA]],11,FALSE)</f>
        <v>27.5</v>
      </c>
      <c r="H190" s="500">
        <f>TRUNC(G190*F190,2)</f>
        <v>9.6199999999999992</v>
      </c>
    </row>
    <row r="191" spans="2:8">
      <c r="B191" s="318" t="str">
        <f>B71</f>
        <v>Bandeirola</v>
      </c>
      <c r="E191" s="353" t="s">
        <v>601</v>
      </c>
      <c r="F191" s="353">
        <f>H71</f>
        <v>0.04</v>
      </c>
      <c r="G191" s="353">
        <f>VLOOKUP(B191,Tabela1[[ITENS PARA ORÇAMENTO]:[MEDIANA]],11,FALSE)</f>
        <v>10.5</v>
      </c>
      <c r="H191" s="500">
        <f>TRUNC(G191*F191,2)</f>
        <v>0.42</v>
      </c>
    </row>
    <row r="192" spans="2:8">
      <c r="B192" s="320" t="str">
        <f>B72</f>
        <v>Cavalete de sinalização</v>
      </c>
      <c r="C192" s="321"/>
      <c r="D192" s="321"/>
      <c r="E192" s="355" t="s">
        <v>601</v>
      </c>
      <c r="F192" s="355">
        <f>H72</f>
        <v>0.04</v>
      </c>
      <c r="G192" s="355">
        <f>VLOOKUP(B192,Tabela1[[ITENS PARA ORÇAMENTO]:[MEDIANA]],11,FALSE)</f>
        <v>136.625</v>
      </c>
      <c r="H192" s="502">
        <f>TRUNC(G192*F192,2)</f>
        <v>5.46</v>
      </c>
    </row>
    <row r="193" spans="2:17" ht="15.75" thickBot="1">
      <c r="B193" s="337" t="s">
        <v>595</v>
      </c>
    </row>
    <row r="194" spans="2:17" ht="15.75" thickBot="1">
      <c r="B194" s="348" t="s">
        <v>1174</v>
      </c>
      <c r="C194" s="312"/>
      <c r="D194" s="312"/>
      <c r="E194" s="312"/>
      <c r="F194" s="312"/>
      <c r="G194" s="312"/>
      <c r="H194" s="349">
        <f>SUM(H188:H192)</f>
        <v>78.95</v>
      </c>
    </row>
    <row r="196" spans="2:17" ht="15.75">
      <c r="B196" s="389" t="s">
        <v>1268</v>
      </c>
      <c r="D196" s="370"/>
      <c r="E196" s="370"/>
      <c r="F196" s="523"/>
      <c r="G196" s="370"/>
      <c r="H196" s="370"/>
      <c r="I196" s="779"/>
      <c r="Q196" s="307" t="s">
        <v>1313</v>
      </c>
    </row>
    <row r="197" spans="2:17">
      <c r="B197" s="372" t="s">
        <v>1269</v>
      </c>
      <c r="C197" s="370"/>
      <c r="D197" s="370"/>
      <c r="E197" s="370"/>
      <c r="F197" s="370"/>
      <c r="G197" s="371" t="s">
        <v>891</v>
      </c>
      <c r="H197" s="370">
        <v>25.33</v>
      </c>
      <c r="P197" s="310">
        <v>13000</v>
      </c>
      <c r="Q197" s="307" t="s">
        <v>1314</v>
      </c>
    </row>
    <row r="198" spans="2:17">
      <c r="B198" s="372"/>
      <c r="C198" s="370"/>
      <c r="D198" s="370"/>
      <c r="E198" s="370"/>
      <c r="F198" s="370"/>
      <c r="G198" s="370"/>
      <c r="H198" s="370"/>
      <c r="P198" s="310">
        <v>10000</v>
      </c>
      <c r="Q198" s="307" t="s">
        <v>1315</v>
      </c>
    </row>
    <row r="199" spans="2:17">
      <c r="B199" s="370" t="s">
        <v>571</v>
      </c>
      <c r="C199" s="370"/>
      <c r="E199" s="375">
        <v>3790749.4456352773</v>
      </c>
      <c r="F199" s="370" t="s">
        <v>1178</v>
      </c>
      <c r="G199" s="375">
        <v>3790749.4456352773</v>
      </c>
      <c r="H199" s="370"/>
      <c r="O199" s="370" t="s">
        <v>1316</v>
      </c>
      <c r="P199" s="310">
        <v>2400</v>
      </c>
      <c r="Q199" s="307" t="s">
        <v>1317</v>
      </c>
    </row>
    <row r="200" spans="2:17">
      <c r="B200" s="370" t="s">
        <v>572</v>
      </c>
      <c r="C200" s="370"/>
      <c r="E200" s="373">
        <f>E199/12</f>
        <v>315895.78713627311</v>
      </c>
      <c r="F200" s="370" t="s">
        <v>863</v>
      </c>
      <c r="G200" s="370"/>
      <c r="H200" s="370"/>
      <c r="P200" s="310">
        <v>8903.08</v>
      </c>
      <c r="Q200" s="307" t="s">
        <v>1317</v>
      </c>
    </row>
    <row r="201" spans="2:17">
      <c r="C201" s="370"/>
      <c r="D201" s="370"/>
      <c r="E201" s="370"/>
      <c r="F201" s="370"/>
      <c r="G201" s="370"/>
      <c r="H201" s="370"/>
      <c r="O201" s="308"/>
      <c r="P201" s="310">
        <v>23471.8</v>
      </c>
      <c r="Q201" s="307" t="s">
        <v>1317</v>
      </c>
    </row>
    <row r="202" spans="2:17">
      <c r="B202" s="784" t="s">
        <v>573</v>
      </c>
      <c r="C202" s="784"/>
      <c r="D202" s="726"/>
      <c r="E202" s="785">
        <v>2400</v>
      </c>
      <c r="F202" s="784" t="s">
        <v>1190</v>
      </c>
      <c r="G202" s="375">
        <v>0.27181818181818201</v>
      </c>
      <c r="H202" s="307" t="s">
        <v>1239</v>
      </c>
      <c r="K202" s="879" t="s">
        <v>1203</v>
      </c>
      <c r="O202" s="308"/>
    </row>
    <row r="203" spans="2:17">
      <c r="B203" s="771" t="s">
        <v>1115</v>
      </c>
      <c r="C203" s="784"/>
      <c r="D203" s="726"/>
      <c r="E203" s="882">
        <f>E202*44/6</f>
        <v>17600</v>
      </c>
      <c r="F203" s="784" t="s">
        <v>1250</v>
      </c>
      <c r="G203" s="375"/>
      <c r="K203" s="73"/>
      <c r="O203" s="308"/>
    </row>
    <row r="204" spans="2:17" ht="15.75" thickBot="1">
      <c r="B204" s="370"/>
      <c r="C204" s="370"/>
      <c r="D204" s="370"/>
      <c r="E204" s="370"/>
      <c r="F204" s="370"/>
      <c r="G204" s="370"/>
      <c r="O204" s="308"/>
    </row>
    <row r="205" spans="2:17" ht="15.75" thickBot="1">
      <c r="B205" s="561" t="s">
        <v>659</v>
      </c>
      <c r="C205" s="562"/>
      <c r="D205" s="562"/>
      <c r="E205" s="562"/>
      <c r="F205" s="374">
        <f>ROUNDUP(E200/H197/E203,0)</f>
        <v>1</v>
      </c>
      <c r="G205" s="375"/>
      <c r="H205" s="370"/>
    </row>
    <row r="206" spans="2:17" ht="15.75" thickBot="1">
      <c r="B206" s="370"/>
      <c r="C206" s="370"/>
      <c r="D206" s="370"/>
      <c r="E206" s="370"/>
      <c r="F206" s="370"/>
      <c r="G206" s="370"/>
      <c r="H206" s="370"/>
    </row>
    <row r="207" spans="2:17" ht="15.75" thickBot="1">
      <c r="B207" s="561" t="s">
        <v>1143</v>
      </c>
      <c r="C207" s="562"/>
      <c r="D207" s="562"/>
      <c r="E207" s="562"/>
      <c r="F207" s="374">
        <f>F205*2</f>
        <v>2</v>
      </c>
      <c r="G207" s="370"/>
      <c r="H207" s="370"/>
    </row>
    <row r="208" spans="2:17">
      <c r="B208" s="370"/>
      <c r="C208" s="370"/>
      <c r="D208" s="370"/>
      <c r="E208" s="370"/>
      <c r="F208" s="780"/>
      <c r="G208" s="370"/>
      <c r="H208" s="370"/>
    </row>
    <row r="209" spans="2:19">
      <c r="B209" s="781" t="s">
        <v>1111</v>
      </c>
      <c r="C209" s="782"/>
      <c r="D209" s="782"/>
      <c r="E209" s="783">
        <v>250</v>
      </c>
      <c r="F209" s="726" t="s">
        <v>1035</v>
      </c>
      <c r="G209" s="370"/>
      <c r="H209" s="370"/>
      <c r="K209" s="73"/>
    </row>
    <row r="210" spans="2:19">
      <c r="B210" s="781" t="s">
        <v>1112</v>
      </c>
      <c r="C210" s="782"/>
      <c r="D210" s="782"/>
      <c r="E210" s="783">
        <v>6.0000000000000001E-3</v>
      </c>
      <c r="F210" s="726" t="s">
        <v>1183</v>
      </c>
      <c r="G210" s="370"/>
      <c r="H210" s="370"/>
      <c r="K210" s="73"/>
    </row>
    <row r="211" spans="2:19">
      <c r="B211" s="781" t="s">
        <v>1113</v>
      </c>
      <c r="C211" s="782"/>
      <c r="D211" s="782"/>
      <c r="E211" s="783">
        <f>E210*E209</f>
        <v>1.5</v>
      </c>
      <c r="F211" s="726" t="s">
        <v>1035</v>
      </c>
      <c r="G211" s="370"/>
      <c r="H211" s="370"/>
      <c r="K211" s="73"/>
    </row>
    <row r="212" spans="2:19">
      <c r="B212" s="781" t="s">
        <v>1114</v>
      </c>
      <c r="C212" s="782"/>
      <c r="D212" s="782"/>
      <c r="E212" s="728">
        <v>82.857298918109905</v>
      </c>
      <c r="F212" s="726" t="s">
        <v>1021</v>
      </c>
      <c r="G212" s="370"/>
      <c r="H212" s="370"/>
      <c r="K212" s="73"/>
    </row>
    <row r="213" spans="2:19" ht="15.75" thickBot="1">
      <c r="B213" s="770"/>
      <c r="C213" s="370"/>
      <c r="D213" s="370"/>
      <c r="E213" s="370"/>
      <c r="G213" s="370"/>
      <c r="H213" s="370"/>
      <c r="K213" s="73"/>
    </row>
    <row r="214" spans="2:19" ht="15.75" thickBot="1">
      <c r="B214" s="311" t="s">
        <v>1182</v>
      </c>
      <c r="C214" s="562"/>
      <c r="D214" s="312"/>
      <c r="E214" s="312"/>
      <c r="F214" s="374">
        <f>TRUNC(E212*10000*E211/1000,2)</f>
        <v>1242.8499999999999</v>
      </c>
      <c r="G214" s="370"/>
      <c r="H214" s="370"/>
    </row>
    <row r="215" spans="2:19">
      <c r="B215" s="370"/>
      <c r="C215" s="370"/>
      <c r="D215" s="370"/>
      <c r="E215" s="370"/>
      <c r="F215" s="370"/>
      <c r="G215" s="370"/>
      <c r="H215" s="370"/>
    </row>
    <row r="216" spans="2:19">
      <c r="B216" s="372" t="s">
        <v>1270</v>
      </c>
      <c r="C216" s="370"/>
      <c r="D216" s="370"/>
      <c r="E216" s="370"/>
      <c r="F216" s="370"/>
      <c r="G216" s="370"/>
      <c r="H216" s="370"/>
      <c r="O216" s="308"/>
      <c r="P216" s="313"/>
    </row>
    <row r="217" spans="2:19">
      <c r="B217" s="372"/>
      <c r="C217" s="370"/>
      <c r="D217" s="370"/>
      <c r="E217" s="370"/>
      <c r="F217" s="370"/>
      <c r="G217" s="370"/>
      <c r="H217" s="370"/>
      <c r="O217" s="308"/>
      <c r="P217" s="313"/>
    </row>
    <row r="218" spans="2:19">
      <c r="B218" s="784" t="s">
        <v>579</v>
      </c>
      <c r="C218" s="784"/>
      <c r="D218" s="784"/>
      <c r="E218" s="785">
        <v>1</v>
      </c>
      <c r="F218" s="784" t="s">
        <v>578</v>
      </c>
      <c r="G218" s="370"/>
      <c r="H218" s="370"/>
      <c r="K218" s="879" t="s">
        <v>1203</v>
      </c>
    </row>
    <row r="219" spans="2:19">
      <c r="B219" s="784" t="s">
        <v>1154</v>
      </c>
      <c r="C219" s="784"/>
      <c r="D219" s="784"/>
      <c r="E219" s="785">
        <v>7</v>
      </c>
      <c r="F219" s="784" t="s">
        <v>578</v>
      </c>
      <c r="G219" s="370"/>
      <c r="H219" s="370"/>
      <c r="K219" s="879" t="s">
        <v>1203</v>
      </c>
    </row>
    <row r="220" spans="2:19">
      <c r="B220" s="784" t="s">
        <v>1145</v>
      </c>
      <c r="C220" s="784"/>
      <c r="D220" s="784"/>
      <c r="E220" s="789">
        <v>6.25E-2</v>
      </c>
      <c r="F220" s="784" t="s">
        <v>1150</v>
      </c>
      <c r="G220" s="370"/>
      <c r="H220" s="370"/>
      <c r="K220" s="879" t="s">
        <v>1203</v>
      </c>
    </row>
    <row r="221" spans="2:19" ht="21">
      <c r="B221" s="784" t="s">
        <v>576</v>
      </c>
      <c r="C221" s="784"/>
      <c r="D221" s="784"/>
      <c r="E221" s="790">
        <v>0</v>
      </c>
      <c r="F221" s="784"/>
      <c r="G221" s="370"/>
      <c r="H221" s="370"/>
      <c r="L221"/>
      <c r="M221"/>
      <c r="N221"/>
      <c r="O221"/>
      <c r="S221" s="904" t="s">
        <v>1318</v>
      </c>
    </row>
    <row r="222" spans="2:19" ht="15.75" thickBot="1">
      <c r="B222" s="370"/>
      <c r="C222" s="370"/>
      <c r="D222" s="370"/>
      <c r="E222" s="370"/>
      <c r="F222" s="370"/>
      <c r="G222" s="370"/>
      <c r="H222" s="370"/>
      <c r="L222"/>
      <c r="M222"/>
      <c r="N222"/>
      <c r="O222"/>
    </row>
    <row r="223" spans="2:19" ht="17.25" customHeight="1">
      <c r="B223" s="561" t="s">
        <v>720</v>
      </c>
      <c r="C223" s="562"/>
      <c r="D223" s="324"/>
      <c r="E223" s="787">
        <v>1</v>
      </c>
      <c r="F223" s="370"/>
      <c r="G223" s="370"/>
      <c r="H223" s="370"/>
    </row>
    <row r="224" spans="2:19" ht="30" customHeight="1">
      <c r="B224" s="1442" t="s">
        <v>1148</v>
      </c>
      <c r="C224" s="1443"/>
      <c r="D224" s="1444"/>
      <c r="E224" s="793">
        <f>E219*F205</f>
        <v>7</v>
      </c>
      <c r="F224" s="370"/>
      <c r="G224" s="370"/>
      <c r="H224" s="370"/>
    </row>
    <row r="225" spans="2:11" ht="18" customHeight="1">
      <c r="B225" s="561" t="s">
        <v>1140</v>
      </c>
      <c r="C225" s="562"/>
      <c r="D225" s="324"/>
      <c r="E225" s="774">
        <f>ROUNDUP(SUM(E224)*E220,0)</f>
        <v>1</v>
      </c>
      <c r="F225" s="370"/>
      <c r="G225" s="370"/>
      <c r="H225" s="370"/>
    </row>
    <row r="226" spans="2:11" ht="15.75" thickBot="1">
      <c r="B226" s="561" t="s">
        <v>555</v>
      </c>
      <c r="C226" s="562"/>
      <c r="D226" s="324"/>
      <c r="E226" s="497">
        <f>E221</f>
        <v>0</v>
      </c>
    </row>
    <row r="227" spans="2:11" ht="15.75" thickBot="1">
      <c r="B227" s="786" t="s">
        <v>1189</v>
      </c>
      <c r="C227" s="312"/>
      <c r="D227" s="312"/>
      <c r="E227" s="788">
        <f>SUM(E223:E226)</f>
        <v>9</v>
      </c>
      <c r="F227" s="370"/>
      <c r="G227" s="370"/>
      <c r="H227" s="370"/>
    </row>
    <row r="228" spans="2:11">
      <c r="B228" s="370"/>
      <c r="C228" s="370"/>
      <c r="D228" s="370"/>
      <c r="E228" s="370"/>
      <c r="F228" s="370"/>
      <c r="G228" s="370"/>
      <c r="H228" s="370"/>
    </row>
    <row r="229" spans="2:11">
      <c r="B229" s="372" t="s">
        <v>1271</v>
      </c>
      <c r="C229" s="370"/>
      <c r="D229" s="370"/>
      <c r="E229" s="370"/>
      <c r="F229" s="370"/>
      <c r="G229" s="370"/>
      <c r="H229" s="370"/>
    </row>
    <row r="230" spans="2:11" ht="15.75" thickBot="1">
      <c r="B230" s="372" t="s">
        <v>565</v>
      </c>
      <c r="C230" s="370"/>
      <c r="D230" s="370"/>
      <c r="E230" s="370"/>
      <c r="F230" s="370"/>
      <c r="G230" s="370"/>
      <c r="H230" s="370"/>
    </row>
    <row r="231" spans="2:11">
      <c r="B231" s="218" t="s">
        <v>902</v>
      </c>
      <c r="C231" s="791"/>
      <c r="D231" s="791"/>
      <c r="E231" s="218" t="s">
        <v>901</v>
      </c>
      <c r="F231" s="791"/>
      <c r="G231" s="400"/>
      <c r="H231" s="792" t="s">
        <v>584</v>
      </c>
    </row>
    <row r="232" spans="2:11">
      <c r="B232" s="315" t="s">
        <v>425</v>
      </c>
      <c r="C232" s="316"/>
      <c r="D232" s="328"/>
      <c r="E232" s="794">
        <v>0.14000000000000001</v>
      </c>
      <c r="F232" s="316" t="s">
        <v>1149</v>
      </c>
      <c r="G232" s="328"/>
      <c r="H232" s="319">
        <f t="shared" ref="H232:H237" si="6">ROUND($E$224*E232/12,2)</f>
        <v>0.08</v>
      </c>
      <c r="K232" s="879" t="s">
        <v>1203</v>
      </c>
    </row>
    <row r="233" spans="2:11">
      <c r="B233" s="318" t="s">
        <v>429</v>
      </c>
      <c r="D233" s="331"/>
      <c r="E233" s="795">
        <v>7.0000000000000007E-2</v>
      </c>
      <c r="F233" s="307" t="s">
        <v>1149</v>
      </c>
      <c r="G233" s="331"/>
      <c r="H233" s="319">
        <f t="shared" si="6"/>
        <v>0.04</v>
      </c>
      <c r="K233" s="879" t="s">
        <v>1203</v>
      </c>
    </row>
    <row r="234" spans="2:11">
      <c r="B234" s="318" t="s">
        <v>428</v>
      </c>
      <c r="D234" s="331"/>
      <c r="E234" s="795">
        <v>0.04</v>
      </c>
      <c r="F234" s="307" t="s">
        <v>1149</v>
      </c>
      <c r="G234" s="331"/>
      <c r="H234" s="319">
        <f t="shared" si="6"/>
        <v>0.02</v>
      </c>
      <c r="K234" s="879" t="s">
        <v>1203</v>
      </c>
    </row>
    <row r="235" spans="2:11">
      <c r="B235" s="318" t="s">
        <v>581</v>
      </c>
      <c r="D235" s="331"/>
      <c r="E235" s="795">
        <v>0.21</v>
      </c>
      <c r="F235" s="307" t="s">
        <v>1149</v>
      </c>
      <c r="G235" s="331"/>
      <c r="H235" s="319">
        <f t="shared" si="6"/>
        <v>0.12</v>
      </c>
      <c r="K235" s="879" t="s">
        <v>1203</v>
      </c>
    </row>
    <row r="236" spans="2:11">
      <c r="B236" s="318" t="s">
        <v>423</v>
      </c>
      <c r="D236" s="331"/>
      <c r="E236" s="795">
        <v>0.25</v>
      </c>
      <c r="F236" s="307" t="s">
        <v>1149</v>
      </c>
      <c r="G236" s="331"/>
      <c r="H236" s="319">
        <f t="shared" si="6"/>
        <v>0.15</v>
      </c>
      <c r="K236" s="879" t="s">
        <v>1203</v>
      </c>
    </row>
    <row r="237" spans="2:11">
      <c r="B237" s="318" t="s">
        <v>427</v>
      </c>
      <c r="D237" s="331"/>
      <c r="E237" s="795">
        <v>0.25</v>
      </c>
      <c r="F237" s="307" t="s">
        <v>1149</v>
      </c>
      <c r="G237" s="331"/>
      <c r="H237" s="319">
        <f t="shared" si="6"/>
        <v>0.15</v>
      </c>
      <c r="K237" s="879" t="s">
        <v>1203</v>
      </c>
    </row>
    <row r="238" spans="2:11">
      <c r="B238" s="318" t="s">
        <v>243</v>
      </c>
      <c r="D238" s="331"/>
      <c r="E238" s="795">
        <v>10</v>
      </c>
      <c r="F238" s="307" t="s">
        <v>1151</v>
      </c>
      <c r="G238" s="331"/>
      <c r="H238" s="319">
        <f>ROUND($E$224*E238*H197,2)</f>
        <v>1773.1</v>
      </c>
      <c r="K238" s="879" t="s">
        <v>1203</v>
      </c>
    </row>
    <row r="239" spans="2:11" ht="15.75" thickBot="1">
      <c r="B239" s="320" t="s">
        <v>582</v>
      </c>
      <c r="C239" s="321"/>
      <c r="D239" s="334"/>
      <c r="E239" s="796">
        <v>0.04</v>
      </c>
      <c r="F239" s="321" t="s">
        <v>701</v>
      </c>
      <c r="G239" s="334"/>
      <c r="H239" s="335">
        <f>ROUND($E$227*E239/12,2)</f>
        <v>0.03</v>
      </c>
      <c r="K239" s="879" t="s">
        <v>1203</v>
      </c>
    </row>
    <row r="240" spans="2:11">
      <c r="B240" s="209" t="s">
        <v>595</v>
      </c>
      <c r="C240" s="370"/>
      <c r="D240" s="370"/>
      <c r="E240" s="370"/>
      <c r="F240" s="370"/>
      <c r="G240" s="370"/>
      <c r="H240" s="370"/>
    </row>
    <row r="241" spans="2:11">
      <c r="B241" s="211"/>
      <c r="C241" s="370"/>
      <c r="D241" s="370"/>
      <c r="E241" s="370"/>
      <c r="F241" s="370"/>
      <c r="G241" s="370"/>
      <c r="H241" s="370"/>
    </row>
    <row r="242" spans="2:11" ht="15.75" thickBot="1">
      <c r="B242" s="372" t="s">
        <v>547</v>
      </c>
      <c r="C242" s="370"/>
      <c r="D242" s="370"/>
      <c r="E242" s="370"/>
      <c r="F242" s="370"/>
      <c r="G242" s="370"/>
      <c r="H242" s="370"/>
    </row>
    <row r="243" spans="2:11" ht="24" customHeight="1">
      <c r="B243" s="218" t="s">
        <v>902</v>
      </c>
      <c r="C243" s="791"/>
      <c r="D243" s="791"/>
      <c r="E243" s="218" t="s">
        <v>901</v>
      </c>
      <c r="F243" s="791"/>
      <c r="G243" s="800" t="s">
        <v>1163</v>
      </c>
      <c r="H243" s="792" t="s">
        <v>384</v>
      </c>
    </row>
    <row r="244" spans="2:11" ht="30">
      <c r="B244" s="565" t="s">
        <v>586</v>
      </c>
      <c r="C244" s="370"/>
      <c r="D244" s="577"/>
      <c r="E244" s="797">
        <v>1</v>
      </c>
      <c r="F244" s="380" t="s">
        <v>1144</v>
      </c>
      <c r="G244" s="381">
        <v>36</v>
      </c>
      <c r="H244" s="376">
        <f>F207*E244</f>
        <v>2</v>
      </c>
    </row>
    <row r="245" spans="2:11" ht="15.75" thickBot="1">
      <c r="B245" s="567" t="s">
        <v>589</v>
      </c>
      <c r="C245" s="568"/>
      <c r="D245" s="578"/>
      <c r="E245" s="799">
        <v>1</v>
      </c>
      <c r="F245" s="384" t="s">
        <v>580</v>
      </c>
      <c r="G245" s="385">
        <v>72</v>
      </c>
      <c r="H245" s="377">
        <f>E223*E245</f>
        <v>1</v>
      </c>
    </row>
    <row r="246" spans="2:11">
      <c r="B246" s="209" t="s">
        <v>595</v>
      </c>
      <c r="C246" s="370"/>
      <c r="D246" s="370"/>
      <c r="E246" s="370"/>
      <c r="F246" s="370"/>
      <c r="G246" s="370"/>
      <c r="H246" s="370"/>
    </row>
    <row r="247" spans="2:11">
      <c r="B247" s="211"/>
      <c r="C247" s="370"/>
      <c r="D247" s="370"/>
      <c r="E247" s="370"/>
      <c r="F247" s="370"/>
      <c r="G247" s="370"/>
      <c r="H247" s="370"/>
    </row>
    <row r="248" spans="2:11" ht="15.75" thickBot="1">
      <c r="B248" s="372" t="s">
        <v>442</v>
      </c>
      <c r="C248" s="370"/>
      <c r="D248" s="370"/>
      <c r="E248" s="370"/>
      <c r="F248" s="370"/>
      <c r="G248" s="370"/>
      <c r="H248" s="370"/>
    </row>
    <row r="249" spans="2:11">
      <c r="B249" s="218" t="s">
        <v>902</v>
      </c>
      <c r="C249" s="791"/>
      <c r="D249" s="791"/>
      <c r="E249" s="218" t="s">
        <v>901</v>
      </c>
      <c r="F249" s="791"/>
      <c r="G249" s="400"/>
      <c r="H249" s="792" t="s">
        <v>584</v>
      </c>
    </row>
    <row r="250" spans="2:11">
      <c r="B250" s="563" t="s">
        <v>566</v>
      </c>
      <c r="C250" s="564"/>
      <c r="D250" s="577"/>
      <c r="E250" s="797">
        <v>1</v>
      </c>
      <c r="F250" s="564" t="s">
        <v>701</v>
      </c>
      <c r="G250" s="801"/>
      <c r="H250" s="342">
        <f t="shared" ref="H250:H258" si="7">TRUNC(E250*$E$227/12,2)</f>
        <v>0.75</v>
      </c>
      <c r="K250" s="879" t="s">
        <v>1222</v>
      </c>
    </row>
    <row r="251" spans="2:11">
      <c r="B251" s="565" t="s">
        <v>492</v>
      </c>
      <c r="C251" s="370"/>
      <c r="D251" s="566"/>
      <c r="E251" s="798">
        <v>3</v>
      </c>
      <c r="F251" s="370" t="s">
        <v>701</v>
      </c>
      <c r="G251" s="749"/>
      <c r="H251" s="387">
        <f t="shared" si="7"/>
        <v>2.25</v>
      </c>
      <c r="K251" s="879" t="s">
        <v>1201</v>
      </c>
    </row>
    <row r="252" spans="2:11" ht="27.75" customHeight="1">
      <c r="B252" s="1445" t="s">
        <v>493</v>
      </c>
      <c r="C252" s="1446"/>
      <c r="D252" s="1447"/>
      <c r="E252" s="798">
        <v>3</v>
      </c>
      <c r="F252" s="370" t="s">
        <v>701</v>
      </c>
      <c r="G252" s="749"/>
      <c r="H252" s="387">
        <f t="shared" si="7"/>
        <v>2.25</v>
      </c>
      <c r="K252" s="879" t="s">
        <v>1201</v>
      </c>
    </row>
    <row r="253" spans="2:11">
      <c r="B253" s="565" t="s">
        <v>494</v>
      </c>
      <c r="C253" s="370"/>
      <c r="D253" s="566"/>
      <c r="E253" s="798">
        <v>2</v>
      </c>
      <c r="F253" s="370" t="s">
        <v>701</v>
      </c>
      <c r="G253" s="749"/>
      <c r="H253" s="387">
        <f t="shared" si="7"/>
        <v>1.5</v>
      </c>
      <c r="K253" s="879" t="s">
        <v>1201</v>
      </c>
    </row>
    <row r="254" spans="2:11" ht="30.75" customHeight="1">
      <c r="B254" s="1445" t="s">
        <v>502</v>
      </c>
      <c r="C254" s="1446"/>
      <c r="D254" s="1447"/>
      <c r="E254" s="798">
        <v>3</v>
      </c>
      <c r="F254" s="370" t="s">
        <v>706</v>
      </c>
      <c r="G254" s="749"/>
      <c r="H254" s="387">
        <f t="shared" si="7"/>
        <v>2.25</v>
      </c>
      <c r="K254" s="879" t="s">
        <v>1201</v>
      </c>
    </row>
    <row r="255" spans="2:11">
      <c r="B255" s="565" t="s">
        <v>496</v>
      </c>
      <c r="C255" s="370"/>
      <c r="D255" s="566"/>
      <c r="E255" s="798">
        <v>2</v>
      </c>
      <c r="F255" s="370" t="s">
        <v>701</v>
      </c>
      <c r="G255" s="749"/>
      <c r="H255" s="387">
        <f t="shared" si="7"/>
        <v>1.5</v>
      </c>
      <c r="K255" s="879" t="s">
        <v>1201</v>
      </c>
    </row>
    <row r="256" spans="2:11">
      <c r="B256" s="565" t="s">
        <v>497</v>
      </c>
      <c r="C256" s="370"/>
      <c r="D256" s="566"/>
      <c r="E256" s="798">
        <v>2</v>
      </c>
      <c r="F256" s="370" t="s">
        <v>701</v>
      </c>
      <c r="G256" s="749"/>
      <c r="H256" s="387">
        <f t="shared" si="7"/>
        <v>1.5</v>
      </c>
      <c r="K256" s="880" t="s">
        <v>1223</v>
      </c>
    </row>
    <row r="257" spans="2:11" ht="27.75" customHeight="1">
      <c r="B257" s="1445" t="s">
        <v>498</v>
      </c>
      <c r="C257" s="1446"/>
      <c r="D257" s="1447"/>
      <c r="E257" s="798">
        <v>8</v>
      </c>
      <c r="F257" s="370" t="s">
        <v>706</v>
      </c>
      <c r="G257" s="749"/>
      <c r="H257" s="387">
        <f t="shared" si="7"/>
        <v>6</v>
      </c>
      <c r="K257" s="879" t="s">
        <v>1201</v>
      </c>
    </row>
    <row r="258" spans="2:11">
      <c r="B258" s="565" t="s">
        <v>499</v>
      </c>
      <c r="C258" s="370"/>
      <c r="D258" s="566"/>
      <c r="E258" s="798">
        <v>12</v>
      </c>
      <c r="F258" s="370" t="s">
        <v>701</v>
      </c>
      <c r="G258" s="749"/>
      <c r="H258" s="387">
        <f t="shared" si="7"/>
        <v>9</v>
      </c>
      <c r="K258" s="880" t="s">
        <v>1223</v>
      </c>
    </row>
    <row r="259" spans="2:11">
      <c r="B259" s="565" t="s">
        <v>503</v>
      </c>
      <c r="C259" s="370"/>
      <c r="D259" s="566"/>
      <c r="E259" s="798">
        <v>3</v>
      </c>
      <c r="F259" s="370" t="s">
        <v>578</v>
      </c>
      <c r="G259" s="566"/>
      <c r="H259" s="387">
        <f>TRUNC(E259*$F$205/12,2)</f>
        <v>0.25</v>
      </c>
      <c r="I259" s="313"/>
      <c r="K259" s="880" t="s">
        <v>1223</v>
      </c>
    </row>
    <row r="260" spans="2:11">
      <c r="B260" s="565" t="s">
        <v>504</v>
      </c>
      <c r="C260" s="370"/>
      <c r="D260" s="566"/>
      <c r="E260" s="798">
        <v>1</v>
      </c>
      <c r="F260" s="370" t="s">
        <v>577</v>
      </c>
      <c r="G260" s="566"/>
      <c r="H260" s="387">
        <f>TRUNC(E260*$F$207/12,2)</f>
        <v>0.16</v>
      </c>
      <c r="K260" s="880" t="s">
        <v>1223</v>
      </c>
    </row>
    <row r="261" spans="2:11">
      <c r="B261" s="565" t="s">
        <v>590</v>
      </c>
      <c r="C261" s="370"/>
      <c r="D261" s="566"/>
      <c r="E261" s="798">
        <v>1</v>
      </c>
      <c r="F261" s="370" t="s">
        <v>578</v>
      </c>
      <c r="G261" s="566"/>
      <c r="H261" s="387">
        <f>TRUNC(E261*$E$223/12,2)</f>
        <v>0.08</v>
      </c>
      <c r="K261" s="880" t="s">
        <v>1223</v>
      </c>
    </row>
    <row r="262" spans="2:11" ht="15.75" thickBot="1">
      <c r="B262" s="567" t="s">
        <v>591</v>
      </c>
      <c r="C262" s="568"/>
      <c r="D262" s="578"/>
      <c r="E262" s="799">
        <v>1</v>
      </c>
      <c r="F262" s="568" t="s">
        <v>1327</v>
      </c>
      <c r="G262" s="578"/>
      <c r="H262" s="377">
        <f>TRUNC((E262*($E$223+(2*E223)))/12,2)</f>
        <v>0.25</v>
      </c>
      <c r="K262" s="880" t="s">
        <v>1223</v>
      </c>
    </row>
    <row r="263" spans="2:11">
      <c r="B263" s="209" t="s">
        <v>595</v>
      </c>
      <c r="C263" s="370"/>
      <c r="D263" s="370"/>
      <c r="E263" s="370"/>
      <c r="F263" s="370"/>
      <c r="G263" s="370"/>
      <c r="H263" s="370"/>
    </row>
    <row r="264" spans="2:11">
      <c r="B264" s="211"/>
      <c r="C264" s="370"/>
      <c r="D264" s="370"/>
      <c r="E264" s="370"/>
      <c r="F264" s="370"/>
      <c r="G264" s="370"/>
      <c r="H264" s="370"/>
    </row>
    <row r="265" spans="2:11" ht="15.75" thickBot="1">
      <c r="B265" s="372" t="s">
        <v>1161</v>
      </c>
      <c r="C265" s="370"/>
      <c r="D265" s="370"/>
      <c r="E265" s="370"/>
      <c r="F265" s="370"/>
      <c r="G265" s="370"/>
      <c r="H265" s="370"/>
    </row>
    <row r="266" spans="2:11">
      <c r="B266" s="218" t="s">
        <v>902</v>
      </c>
      <c r="C266" s="791"/>
      <c r="D266" s="791"/>
      <c r="E266" s="218" t="s">
        <v>901</v>
      </c>
      <c r="F266" s="791"/>
      <c r="G266" s="400"/>
      <c r="H266" s="792" t="s">
        <v>584</v>
      </c>
    </row>
    <row r="267" spans="2:11">
      <c r="B267" s="565" t="s">
        <v>604</v>
      </c>
      <c r="C267" s="370"/>
      <c r="D267" s="370"/>
      <c r="E267" s="806">
        <v>0.16700000000000001</v>
      </c>
      <c r="F267" s="370" t="s">
        <v>592</v>
      </c>
      <c r="G267" s="803"/>
      <c r="H267" s="416">
        <f>TRUNC(E267*$E$227/12,2)</f>
        <v>0.12</v>
      </c>
      <c r="K267" s="879" t="s">
        <v>1203</v>
      </c>
    </row>
    <row r="268" spans="2:11">
      <c r="B268" s="318" t="s">
        <v>638</v>
      </c>
      <c r="E268" s="736">
        <v>1</v>
      </c>
      <c r="F268" s="307" t="s">
        <v>1170</v>
      </c>
      <c r="H268" s="319">
        <f>ROUND($F$207*E268/12,2)</f>
        <v>0.17</v>
      </c>
      <c r="K268" s="879" t="s">
        <v>1225</v>
      </c>
    </row>
    <row r="269" spans="2:11">
      <c r="B269" s="318" t="s">
        <v>1038</v>
      </c>
      <c r="C269" s="370"/>
      <c r="D269" s="370"/>
      <c r="E269" s="807">
        <v>0.53600000000000003</v>
      </c>
      <c r="F269" s="343" t="s">
        <v>1170</v>
      </c>
      <c r="G269" s="370"/>
      <c r="H269" s="804">
        <f>ROUND($F$207*E269/12,2)</f>
        <v>0.09</v>
      </c>
      <c r="K269" s="879" t="s">
        <v>1225</v>
      </c>
    </row>
    <row r="270" spans="2:11" ht="15.75" thickBot="1">
      <c r="B270" s="320" t="s">
        <v>1181</v>
      </c>
      <c r="C270" s="568"/>
      <c r="D270" s="568"/>
      <c r="E270" s="808">
        <v>7.0999999999999994E-2</v>
      </c>
      <c r="F270" s="346" t="s">
        <v>1170</v>
      </c>
      <c r="G270" s="568"/>
      <c r="H270" s="805">
        <f>ROUND($F$207*E270/12,2)</f>
        <v>0.01</v>
      </c>
      <c r="K270" s="879" t="s">
        <v>1225</v>
      </c>
    </row>
    <row r="271" spans="2:11">
      <c r="B271" s="370"/>
      <c r="C271" s="370"/>
      <c r="D271" s="370"/>
      <c r="E271" s="370"/>
      <c r="F271" s="370"/>
      <c r="G271" s="370"/>
      <c r="H271" s="370"/>
    </row>
    <row r="272" spans="2:11" ht="15.75">
      <c r="B272" s="389" t="s">
        <v>1272</v>
      </c>
      <c r="C272" s="370"/>
      <c r="D272" s="370"/>
      <c r="E272" s="370"/>
      <c r="F272" s="370"/>
      <c r="G272" s="370"/>
      <c r="H272" s="370"/>
    </row>
    <row r="273" spans="2:8">
      <c r="B273" s="372" t="s">
        <v>1273</v>
      </c>
      <c r="C273" s="370"/>
      <c r="D273" s="370"/>
      <c r="E273" s="370"/>
      <c r="F273" s="370"/>
      <c r="G273" s="370"/>
      <c r="H273" s="370"/>
    </row>
    <row r="274" spans="2:8" ht="15.75" thickBot="1">
      <c r="B274" s="372" t="s">
        <v>1274</v>
      </c>
      <c r="C274" s="370"/>
      <c r="D274" s="370"/>
      <c r="E274" s="370"/>
      <c r="F274" s="370"/>
      <c r="G274" s="370"/>
      <c r="H274" s="370"/>
    </row>
    <row r="275" spans="2:8">
      <c r="B275" s="655" t="s">
        <v>729</v>
      </c>
      <c r="C275" s="656"/>
      <c r="D275" s="656"/>
      <c r="E275" s="656"/>
      <c r="F275" s="656"/>
      <c r="G275" s="657"/>
      <c r="H275" s="658">
        <f>H291+H293+H297+H299</f>
        <v>3945.52</v>
      </c>
    </row>
    <row r="276" spans="2:8">
      <c r="B276" s="587" t="str">
        <f>CONCATENATE("Salário - ",B275)</f>
        <v>Salário - Motorista</v>
      </c>
      <c r="C276" s="660"/>
      <c r="D276" s="661"/>
      <c r="E276" s="662" t="s">
        <v>466</v>
      </c>
      <c r="F276" s="662">
        <v>1</v>
      </c>
      <c r="G276" s="626">
        <f>VLOOKUP(B276,Tabela3[[#All],[descrição]:[fonte]],4,FALSE)</f>
        <v>1742.04</v>
      </c>
      <c r="H276" s="663">
        <f>TRUNC(F276*G276,2)</f>
        <v>1742.04</v>
      </c>
    </row>
    <row r="277" spans="2:8">
      <c r="B277" s="664" t="s">
        <v>855</v>
      </c>
      <c r="C277" s="665"/>
      <c r="D277" s="665"/>
      <c r="E277" s="666" t="s">
        <v>466</v>
      </c>
      <c r="F277" s="666">
        <v>1</v>
      </c>
      <c r="G277" s="626">
        <f>VLOOKUP(B277,Tabela3[[#All],[descrição]:[fonte]],4,FALSE)</f>
        <v>1045</v>
      </c>
      <c r="H277" s="667"/>
    </row>
    <row r="278" spans="2:8">
      <c r="B278" s="664" t="s">
        <v>468</v>
      </c>
      <c r="C278" s="665"/>
      <c r="D278" s="665"/>
      <c r="E278" s="666" t="s">
        <v>469</v>
      </c>
      <c r="F278" s="668"/>
      <c r="G278" s="669"/>
      <c r="H278" s="670"/>
    </row>
    <row r="279" spans="2:8">
      <c r="B279" s="664"/>
      <c r="C279" s="665"/>
      <c r="D279" s="665"/>
      <c r="E279" s="666" t="s">
        <v>470</v>
      </c>
      <c r="F279" s="626">
        <f>F278*8/7</f>
        <v>0</v>
      </c>
      <c r="G279" s="671">
        <f>G276/220*0.2</f>
        <v>1.5836727272727273</v>
      </c>
      <c r="H279" s="667">
        <f>TRUNC(F279*G279,2)</f>
        <v>0</v>
      </c>
    </row>
    <row r="280" spans="2:8">
      <c r="B280" s="664" t="s">
        <v>471</v>
      </c>
      <c r="C280" s="665"/>
      <c r="D280" s="665"/>
      <c r="E280" s="666" t="s">
        <v>472</v>
      </c>
      <c r="F280" s="668"/>
      <c r="G280" s="626">
        <f>G276/220*2</f>
        <v>15.836727272727272</v>
      </c>
      <c r="H280" s="667">
        <f>TRUNC(F280*G280,2)</f>
        <v>0</v>
      </c>
    </row>
    <row r="281" spans="2:8">
      <c r="B281" s="664" t="s">
        <v>473</v>
      </c>
      <c r="C281" s="665"/>
      <c r="D281" s="665"/>
      <c r="E281" s="666" t="s">
        <v>469</v>
      </c>
      <c r="F281" s="668"/>
      <c r="G281" s="626"/>
      <c r="H281" s="667"/>
    </row>
    <row r="282" spans="2:8">
      <c r="B282" s="664"/>
      <c r="C282" s="665"/>
      <c r="D282" s="665"/>
      <c r="E282" s="666" t="s">
        <v>470</v>
      </c>
      <c r="F282" s="626">
        <f>F281*8/7</f>
        <v>0</v>
      </c>
      <c r="G282" s="626">
        <f>G276/220*2*1.2</f>
        <v>19.004072727272725</v>
      </c>
      <c r="H282" s="667">
        <f>TRUNC(F282*G282,2)</f>
        <v>0</v>
      </c>
    </row>
    <row r="283" spans="2:8">
      <c r="B283" s="664" t="s">
        <v>474</v>
      </c>
      <c r="C283" s="665"/>
      <c r="D283" s="665"/>
      <c r="E283" s="666" t="s">
        <v>472</v>
      </c>
      <c r="F283" s="668"/>
      <c r="G283" s="626">
        <f>G276/220*1.5</f>
        <v>11.877545454545453</v>
      </c>
      <c r="H283" s="667">
        <f>TRUNC(F283*G283,2)</f>
        <v>0</v>
      </c>
    </row>
    <row r="284" spans="2:8">
      <c r="B284" s="664" t="s">
        <v>475</v>
      </c>
      <c r="C284" s="665"/>
      <c r="D284" s="665"/>
      <c r="E284" s="666" t="s">
        <v>469</v>
      </c>
      <c r="F284" s="668"/>
      <c r="G284" s="626"/>
      <c r="H284" s="667"/>
    </row>
    <row r="285" spans="2:8">
      <c r="B285" s="664"/>
      <c r="C285" s="665"/>
      <c r="D285" s="665"/>
      <c r="E285" s="666" t="s">
        <v>470</v>
      </c>
      <c r="F285" s="626">
        <f>F284*8/7</f>
        <v>0</v>
      </c>
      <c r="G285" s="626">
        <f>G276/220*1.5*1.2</f>
        <v>14.253054545454544</v>
      </c>
      <c r="H285" s="667">
        <f>TRUNC(F285*G285,2)</f>
        <v>0</v>
      </c>
    </row>
    <row r="286" spans="2:8">
      <c r="B286" s="664" t="s">
        <v>476</v>
      </c>
      <c r="C286" s="665"/>
      <c r="D286" s="665"/>
      <c r="E286" s="666" t="s">
        <v>477</v>
      </c>
      <c r="F286" s="669"/>
      <c r="G286" s="626">
        <f>TRUNC(((52+9)/304)*(SUM(H280:H285)),2)</f>
        <v>0</v>
      </c>
      <c r="H286" s="667">
        <f>G286</f>
        <v>0</v>
      </c>
    </row>
    <row r="287" spans="2:8">
      <c r="B287" s="664" t="s">
        <v>478</v>
      </c>
      <c r="C287" s="665"/>
      <c r="D287" s="665"/>
      <c r="E287" s="666"/>
      <c r="F287" s="672">
        <v>1</v>
      </c>
      <c r="G287" s="626"/>
      <c r="H287" s="667"/>
    </row>
    <row r="288" spans="2:8">
      <c r="B288" s="664" t="s">
        <v>479</v>
      </c>
      <c r="C288" s="665"/>
      <c r="D288" s="665"/>
      <c r="E288" s="666" t="s">
        <v>480</v>
      </c>
      <c r="F288" s="673">
        <f>VLOOKUP(B276,Tabela3[[#All],[descrição]:[fonte]],3,FALSE)</f>
        <v>20</v>
      </c>
      <c r="G288" s="626">
        <f>IF(F287=2,SUM(H276:H286),IF(F287=1,SUM(H276:H286)*G277/G276,0))</f>
        <v>1045</v>
      </c>
      <c r="H288" s="667">
        <f>TRUNC(F288*G288/100,2)</f>
        <v>209</v>
      </c>
    </row>
    <row r="289" spans="2:8">
      <c r="B289" s="674" t="s">
        <v>481</v>
      </c>
      <c r="C289" s="665"/>
      <c r="D289" s="665"/>
      <c r="E289" s="675"/>
      <c r="F289" s="675"/>
      <c r="G289" s="676"/>
      <c r="H289" s="677">
        <f>SUM(H276:H288)</f>
        <v>1951.04</v>
      </c>
    </row>
    <row r="290" spans="2:8">
      <c r="B290" s="678" t="s">
        <v>482</v>
      </c>
      <c r="C290" s="679"/>
      <c r="D290" s="680"/>
      <c r="E290" s="681" t="s">
        <v>480</v>
      </c>
      <c r="F290" s="682">
        <f>VLOOKUP(B290,Tabela3[[#All],[descrição]:[fonte]],4,FALSE)</f>
        <v>70.489999999999995</v>
      </c>
      <c r="G290" s="682">
        <f>H289</f>
        <v>1951.04</v>
      </c>
      <c r="H290" s="683">
        <f>TRUNC(G290*F290/100,2)</f>
        <v>1375.28</v>
      </c>
    </row>
    <row r="291" spans="2:8">
      <c r="B291" s="684" t="s">
        <v>861</v>
      </c>
      <c r="C291" s="665"/>
      <c r="D291" s="665"/>
      <c r="E291" s="685"/>
      <c r="F291" s="685"/>
      <c r="G291" s="686"/>
      <c r="H291" s="687">
        <f>TRUNC(H289+H290,2)</f>
        <v>3326.32</v>
      </c>
    </row>
    <row r="292" spans="2:8">
      <c r="B292" s="751" t="s">
        <v>483</v>
      </c>
      <c r="C292" s="209"/>
      <c r="D292" s="209"/>
      <c r="E292" s="209"/>
      <c r="F292" s="336"/>
      <c r="G292" s="336"/>
      <c r="H292" s="689"/>
    </row>
    <row r="293" spans="2:8">
      <c r="B293" s="690" t="s">
        <v>860</v>
      </c>
      <c r="C293" s="691"/>
      <c r="D293" s="692"/>
      <c r="E293" s="693" t="s">
        <v>484</v>
      </c>
      <c r="F293" s="694">
        <v>1</v>
      </c>
      <c r="G293" s="694">
        <f>H296</f>
        <v>95.24</v>
      </c>
      <c r="H293" s="695">
        <f>TRUNC(G293*F293,2)</f>
        <v>95.24</v>
      </c>
    </row>
    <row r="294" spans="2:8">
      <c r="B294" s="664" t="s">
        <v>485</v>
      </c>
      <c r="C294" s="665"/>
      <c r="D294" s="665"/>
      <c r="E294" s="666" t="s">
        <v>477</v>
      </c>
      <c r="F294" s="626">
        <v>1</v>
      </c>
      <c r="G294" s="626">
        <f>VLOOKUP(B294,Tabela3[[#All],[descrição]:[fonte]],4,FALSE)</f>
        <v>3.95</v>
      </c>
      <c r="H294" s="667"/>
    </row>
    <row r="295" spans="2:8">
      <c r="B295" s="664" t="s">
        <v>486</v>
      </c>
      <c r="C295" s="665"/>
      <c r="D295" s="665"/>
      <c r="E295" s="666" t="s">
        <v>487</v>
      </c>
      <c r="F295" s="626">
        <f>$H$197</f>
        <v>25.33</v>
      </c>
      <c r="G295" s="626"/>
      <c r="H295" s="667"/>
    </row>
    <row r="296" spans="2:8">
      <c r="B296" s="627" t="str">
        <f>CONCATENATE("Vale Transporte - ",B275)</f>
        <v>Vale Transporte - Motorista</v>
      </c>
      <c r="C296" s="665"/>
      <c r="D296" s="665"/>
      <c r="E296" s="697" t="s">
        <v>488</v>
      </c>
      <c r="F296" s="698">
        <f>F295*2*1</f>
        <v>50.66</v>
      </c>
      <c r="G296" s="698">
        <f>IF(TRUNC(IFERROR(((G294)-((G276*0.06)/(F295*2))),"-"),2)&lt;=0,0,TRUNC(IFERROR(((G294)-((G276*0.06)/(F295*2))),"-"),2))</f>
        <v>1.88</v>
      </c>
      <c r="H296" s="699">
        <f>TRUNC(IFERROR(F296*G296,"-"),2)</f>
        <v>95.24</v>
      </c>
    </row>
    <row r="297" spans="2:8">
      <c r="B297" s="690" t="s">
        <v>859</v>
      </c>
      <c r="C297" s="691"/>
      <c r="D297" s="692"/>
      <c r="E297" s="693" t="s">
        <v>484</v>
      </c>
      <c r="F297" s="694">
        <v>1</v>
      </c>
      <c r="G297" s="694">
        <f>H298</f>
        <v>303.95999999999998</v>
      </c>
      <c r="H297" s="695">
        <f>G297*F297</f>
        <v>303.95999999999998</v>
      </c>
    </row>
    <row r="298" spans="2:8">
      <c r="B298" s="700" t="s">
        <v>489</v>
      </c>
      <c r="C298" s="701"/>
      <c r="D298" s="702"/>
      <c r="E298" s="703" t="s">
        <v>490</v>
      </c>
      <c r="F298" s="694">
        <f>F295</f>
        <v>25.33</v>
      </c>
      <c r="G298" s="694">
        <f>VLOOKUP(B298,Tabela3[[#All],[descrição]:[fonte]],4,FALSE)</f>
        <v>12</v>
      </c>
      <c r="H298" s="704">
        <f>TRUNC(F298*G298,2)</f>
        <v>303.95999999999998</v>
      </c>
    </row>
    <row r="299" spans="2:8">
      <c r="B299" s="705" t="s">
        <v>491</v>
      </c>
      <c r="C299" s="706"/>
      <c r="D299" s="707"/>
      <c r="E299" s="675" t="s">
        <v>484</v>
      </c>
      <c r="F299" s="626">
        <v>1</v>
      </c>
      <c r="G299" s="626">
        <f>VLOOKUP(B299,Tabela3[[#All],[descrição]:[fonte]],4,FALSE)</f>
        <v>220</v>
      </c>
      <c r="H299" s="677">
        <f>G299*F299</f>
        <v>220</v>
      </c>
    </row>
    <row r="300" spans="2:8">
      <c r="B300" s="708" t="s">
        <v>384</v>
      </c>
      <c r="C300" s="709"/>
      <c r="D300" s="709"/>
      <c r="E300" s="709"/>
      <c r="F300" s="709"/>
      <c r="G300" s="709"/>
      <c r="H300" s="725">
        <f>E223</f>
        <v>1</v>
      </c>
    </row>
    <row r="301" spans="2:8" ht="15.75" thickBot="1">
      <c r="B301" s="710" t="s">
        <v>854</v>
      </c>
      <c r="C301" s="711"/>
      <c r="D301" s="711"/>
      <c r="E301" s="711"/>
      <c r="F301" s="711"/>
      <c r="G301" s="711"/>
      <c r="H301" s="712">
        <f>H300*H275</f>
        <v>3945.52</v>
      </c>
    </row>
    <row r="302" spans="2:8">
      <c r="B302" s="370"/>
      <c r="C302" s="370"/>
      <c r="D302" s="370"/>
      <c r="E302" s="370"/>
      <c r="F302" s="370"/>
      <c r="G302" s="370"/>
      <c r="H302" s="370"/>
    </row>
    <row r="303" spans="2:8" ht="15.75" thickBot="1">
      <c r="B303" s="372" t="s">
        <v>1275</v>
      </c>
      <c r="C303" s="370"/>
      <c r="D303" s="370"/>
      <c r="E303" s="370"/>
      <c r="F303" s="370"/>
      <c r="G303" s="370"/>
      <c r="H303" s="370"/>
    </row>
    <row r="304" spans="2:8">
      <c r="B304" s="655" t="s">
        <v>1128</v>
      </c>
      <c r="C304" s="656"/>
      <c r="D304" s="656"/>
      <c r="E304" s="656"/>
      <c r="F304" s="656"/>
      <c r="G304" s="657"/>
      <c r="H304" s="658">
        <f>H320+H322+H326+H328</f>
        <v>3271.46</v>
      </c>
    </row>
    <row r="305" spans="2:8">
      <c r="B305" s="587" t="str">
        <f>CONCATENATE("Salário - ",B304)</f>
        <v>Salário - Agente de limpeza pública e serviços gerais</v>
      </c>
      <c r="C305" s="660"/>
      <c r="D305" s="661"/>
      <c r="E305" s="662" t="s">
        <v>466</v>
      </c>
      <c r="F305" s="662">
        <v>1</v>
      </c>
      <c r="G305" s="626">
        <f>VLOOKUP(B305,Tabela3[[#All],[descrição]:[fonte]],4,FALSE)</f>
        <v>1115.69</v>
      </c>
      <c r="H305" s="663">
        <f>TRUNC(F305*G305,2)</f>
        <v>1115.69</v>
      </c>
    </row>
    <row r="306" spans="2:8">
      <c r="B306" s="664" t="s">
        <v>855</v>
      </c>
      <c r="C306" s="665"/>
      <c r="D306" s="665"/>
      <c r="E306" s="666" t="s">
        <v>466</v>
      </c>
      <c r="F306" s="666">
        <v>1</v>
      </c>
      <c r="G306" s="626">
        <f>VLOOKUP(B306,Tabela3[[#All],[descrição]:[fonte]],4,FALSE)</f>
        <v>1045</v>
      </c>
      <c r="H306" s="667"/>
    </row>
    <row r="307" spans="2:8">
      <c r="B307" s="664" t="s">
        <v>468</v>
      </c>
      <c r="C307" s="665"/>
      <c r="D307" s="665"/>
      <c r="E307" s="666" t="s">
        <v>469</v>
      </c>
      <c r="F307" s="668"/>
      <c r="G307" s="669"/>
      <c r="H307" s="670"/>
    </row>
    <row r="308" spans="2:8">
      <c r="B308" s="664"/>
      <c r="C308" s="665"/>
      <c r="D308" s="665"/>
      <c r="E308" s="666" t="s">
        <v>470</v>
      </c>
      <c r="F308" s="626">
        <f>F307*8/7</f>
        <v>0</v>
      </c>
      <c r="G308" s="671">
        <f>G305/220*0.2</f>
        <v>1.0142636363636366</v>
      </c>
      <c r="H308" s="667">
        <f>TRUNC(F308*G308,2)</f>
        <v>0</v>
      </c>
    </row>
    <row r="309" spans="2:8">
      <c r="B309" s="664" t="s">
        <v>471</v>
      </c>
      <c r="C309" s="665"/>
      <c r="D309" s="665"/>
      <c r="E309" s="666" t="s">
        <v>472</v>
      </c>
      <c r="F309" s="668"/>
      <c r="G309" s="626">
        <f>G305/220*2</f>
        <v>10.142636363636365</v>
      </c>
      <c r="H309" s="667">
        <f>TRUNC(F309*G309,2)</f>
        <v>0</v>
      </c>
    </row>
    <row r="310" spans="2:8">
      <c r="B310" s="664" t="s">
        <v>473</v>
      </c>
      <c r="C310" s="665"/>
      <c r="D310" s="665"/>
      <c r="E310" s="666" t="s">
        <v>469</v>
      </c>
      <c r="F310" s="668"/>
      <c r="G310" s="626"/>
      <c r="H310" s="667"/>
    </row>
    <row r="311" spans="2:8">
      <c r="B311" s="664"/>
      <c r="C311" s="665"/>
      <c r="D311" s="665"/>
      <c r="E311" s="666" t="s">
        <v>470</v>
      </c>
      <c r="F311" s="626">
        <f>F310*8/7</f>
        <v>0</v>
      </c>
      <c r="G311" s="626">
        <f>G305/220*2*1.2</f>
        <v>12.171163636363637</v>
      </c>
      <c r="H311" s="667">
        <f>TRUNC(F311*G311,2)</f>
        <v>0</v>
      </c>
    </row>
    <row r="312" spans="2:8">
      <c r="B312" s="664" t="s">
        <v>474</v>
      </c>
      <c r="C312" s="665"/>
      <c r="D312" s="665"/>
      <c r="E312" s="666" t="s">
        <v>472</v>
      </c>
      <c r="F312" s="668"/>
      <c r="G312" s="626">
        <f>G305/220*1.5</f>
        <v>7.6069772727272742</v>
      </c>
      <c r="H312" s="667">
        <f>TRUNC(F312*G312,2)</f>
        <v>0</v>
      </c>
    </row>
    <row r="313" spans="2:8">
      <c r="B313" s="664" t="s">
        <v>475</v>
      </c>
      <c r="C313" s="665"/>
      <c r="D313" s="665"/>
      <c r="E313" s="666" t="s">
        <v>469</v>
      </c>
      <c r="F313" s="668"/>
      <c r="G313" s="626"/>
      <c r="H313" s="667"/>
    </row>
    <row r="314" spans="2:8">
      <c r="B314" s="664"/>
      <c r="C314" s="665"/>
      <c r="D314" s="665"/>
      <c r="E314" s="666" t="s">
        <v>470</v>
      </c>
      <c r="F314" s="626">
        <f>F313*8/7</f>
        <v>0</v>
      </c>
      <c r="G314" s="626">
        <f>G305/220*1.5*1.2</f>
        <v>9.128372727272728</v>
      </c>
      <c r="H314" s="667">
        <f>TRUNC(F314*G314,2)</f>
        <v>0</v>
      </c>
    </row>
    <row r="315" spans="2:8">
      <c r="B315" s="664" t="s">
        <v>476</v>
      </c>
      <c r="C315" s="665"/>
      <c r="D315" s="665"/>
      <c r="E315" s="666" t="s">
        <v>477</v>
      </c>
      <c r="F315" s="669"/>
      <c r="G315" s="626">
        <f>TRUNC(((52+9)/304)*(SUM(H309:H314)),2)</f>
        <v>0</v>
      </c>
      <c r="H315" s="667">
        <f>G315</f>
        <v>0</v>
      </c>
    </row>
    <row r="316" spans="2:8">
      <c r="B316" s="664" t="s">
        <v>478</v>
      </c>
      <c r="C316" s="665"/>
      <c r="D316" s="665"/>
      <c r="E316" s="666"/>
      <c r="F316" s="672">
        <v>1</v>
      </c>
      <c r="G316" s="626"/>
      <c r="H316" s="667"/>
    </row>
    <row r="317" spans="2:8">
      <c r="B317" s="664" t="s">
        <v>479</v>
      </c>
      <c r="C317" s="665"/>
      <c r="D317" s="665"/>
      <c r="E317" s="666" t="s">
        <v>480</v>
      </c>
      <c r="F317" s="673">
        <f>VLOOKUP(B305,Tabela3[[#All],[descrição]:[fonte]],3,FALSE)</f>
        <v>40</v>
      </c>
      <c r="G317" s="626">
        <f>IF(F316=2,SUM(H305:H315),IF(F316=1,SUM(H305:H315)*G306/G305,0))</f>
        <v>1045</v>
      </c>
      <c r="H317" s="667">
        <f>TRUNC(F317*G317/100,2)</f>
        <v>418</v>
      </c>
    </row>
    <row r="318" spans="2:8">
      <c r="B318" s="674" t="s">
        <v>481</v>
      </c>
      <c r="C318" s="665"/>
      <c r="D318" s="665"/>
      <c r="E318" s="675"/>
      <c r="F318" s="675"/>
      <c r="G318" s="676"/>
      <c r="H318" s="677">
        <f>SUM(H305:H317)</f>
        <v>1533.69</v>
      </c>
    </row>
    <row r="319" spans="2:8">
      <c r="B319" s="678" t="s">
        <v>482</v>
      </c>
      <c r="C319" s="679"/>
      <c r="D319" s="680"/>
      <c r="E319" s="681" t="s">
        <v>480</v>
      </c>
      <c r="F319" s="682">
        <f>VLOOKUP(B319,Tabela3[[#All],[descrição]:[fonte]],4,FALSE)</f>
        <v>70.489999999999995</v>
      </c>
      <c r="G319" s="682">
        <f>H318</f>
        <v>1533.69</v>
      </c>
      <c r="H319" s="683">
        <f>TRUNC(G319*F319/100,2)</f>
        <v>1081.0899999999999</v>
      </c>
    </row>
    <row r="320" spans="2:8">
      <c r="B320" s="684" t="s">
        <v>861</v>
      </c>
      <c r="C320" s="665"/>
      <c r="D320" s="665"/>
      <c r="E320" s="685"/>
      <c r="F320" s="685"/>
      <c r="G320" s="686"/>
      <c r="H320" s="687">
        <f>TRUNC(H318+H319,2)</f>
        <v>2614.7800000000002</v>
      </c>
    </row>
    <row r="321" spans="2:8">
      <c r="B321" s="751" t="s">
        <v>483</v>
      </c>
      <c r="C321" s="209"/>
      <c r="D321" s="209"/>
      <c r="E321" s="209"/>
      <c r="F321" s="336"/>
      <c r="G321" s="336"/>
      <c r="H321" s="689"/>
    </row>
    <row r="322" spans="2:8">
      <c r="B322" s="690" t="s">
        <v>860</v>
      </c>
      <c r="C322" s="691"/>
      <c r="D322" s="692"/>
      <c r="E322" s="693" t="s">
        <v>484</v>
      </c>
      <c r="F322" s="694">
        <v>1</v>
      </c>
      <c r="G322" s="694">
        <f>H325</f>
        <v>132.72</v>
      </c>
      <c r="H322" s="695">
        <f>TRUNC(G322*F322,2)</f>
        <v>132.72</v>
      </c>
    </row>
    <row r="323" spans="2:8">
      <c r="B323" s="664" t="s">
        <v>485</v>
      </c>
      <c r="C323" s="665"/>
      <c r="D323" s="665"/>
      <c r="E323" s="666" t="s">
        <v>477</v>
      </c>
      <c r="F323" s="626">
        <v>1</v>
      </c>
      <c r="G323" s="626">
        <f>VLOOKUP(B323,Tabela3[[#All],[descrição]:[fonte]],4,FALSE)</f>
        <v>3.95</v>
      </c>
      <c r="H323" s="667"/>
    </row>
    <row r="324" spans="2:8">
      <c r="B324" s="664" t="s">
        <v>486</v>
      </c>
      <c r="C324" s="665"/>
      <c r="D324" s="665"/>
      <c r="E324" s="666" t="s">
        <v>487</v>
      </c>
      <c r="F324" s="626">
        <f>$H$197</f>
        <v>25.33</v>
      </c>
      <c r="G324" s="626"/>
      <c r="H324" s="667"/>
    </row>
    <row r="325" spans="2:8">
      <c r="B325" s="627" t="str">
        <f>CONCATENATE("Vale Transporte - ",B304)</f>
        <v>Vale Transporte - Agente de limpeza pública e serviços gerais</v>
      </c>
      <c r="C325" s="665"/>
      <c r="D325" s="665"/>
      <c r="E325" s="697" t="s">
        <v>488</v>
      </c>
      <c r="F325" s="698">
        <f>F324*2*1</f>
        <v>50.66</v>
      </c>
      <c r="G325" s="698">
        <f>IF(TRUNC(IFERROR(((G323)-((G305*0.06)/(F324*2))),"-"),2)&lt;=0,0,TRUNC(IFERROR(((G323)-((G305*0.06)/(F324*2))),"-"),2))</f>
        <v>2.62</v>
      </c>
      <c r="H325" s="699">
        <f>TRUNC(IFERROR(F325*G325,"-"),2)</f>
        <v>132.72</v>
      </c>
    </row>
    <row r="326" spans="2:8">
      <c r="B326" s="690" t="s">
        <v>859</v>
      </c>
      <c r="C326" s="691"/>
      <c r="D326" s="692"/>
      <c r="E326" s="693" t="s">
        <v>484</v>
      </c>
      <c r="F326" s="694">
        <v>1</v>
      </c>
      <c r="G326" s="694">
        <f>H327</f>
        <v>303.95999999999998</v>
      </c>
      <c r="H326" s="695">
        <f>G326*F326</f>
        <v>303.95999999999998</v>
      </c>
    </row>
    <row r="327" spans="2:8">
      <c r="B327" s="700" t="s">
        <v>489</v>
      </c>
      <c r="C327" s="701"/>
      <c r="D327" s="702"/>
      <c r="E327" s="703" t="s">
        <v>490</v>
      </c>
      <c r="F327" s="694">
        <f>F324</f>
        <v>25.33</v>
      </c>
      <c r="G327" s="694">
        <f>VLOOKUP(B327,Tabela3[[#All],[descrição]:[fonte]],4,FALSE)</f>
        <v>12</v>
      </c>
      <c r="H327" s="704">
        <f>TRUNC(F327*G327,2)</f>
        <v>303.95999999999998</v>
      </c>
    </row>
    <row r="328" spans="2:8">
      <c r="B328" s="705" t="s">
        <v>491</v>
      </c>
      <c r="C328" s="706"/>
      <c r="D328" s="707"/>
      <c r="E328" s="675" t="s">
        <v>484</v>
      </c>
      <c r="F328" s="626">
        <v>1</v>
      </c>
      <c r="G328" s="626">
        <f>VLOOKUP(B328,Tabela3[[#All],[descrição]:[fonte]],4,FALSE)</f>
        <v>220</v>
      </c>
      <c r="H328" s="677">
        <f>G328*F328</f>
        <v>220</v>
      </c>
    </row>
    <row r="329" spans="2:8">
      <c r="B329" s="708" t="s">
        <v>384</v>
      </c>
      <c r="C329" s="709"/>
      <c r="D329" s="709"/>
      <c r="E329" s="709"/>
      <c r="F329" s="709"/>
      <c r="G329" s="709"/>
      <c r="H329" s="725">
        <f>E224</f>
        <v>7</v>
      </c>
    </row>
    <row r="330" spans="2:8" ht="15.75" thickBot="1">
      <c r="B330" s="710" t="s">
        <v>854</v>
      </c>
      <c r="C330" s="711"/>
      <c r="D330" s="711"/>
      <c r="E330" s="711"/>
      <c r="F330" s="711"/>
      <c r="G330" s="711"/>
      <c r="H330" s="712">
        <f>H329*H304</f>
        <v>22900.22</v>
      </c>
    </row>
    <row r="331" spans="2:8">
      <c r="B331" s="370"/>
      <c r="C331" s="370"/>
      <c r="D331" s="370"/>
      <c r="E331" s="370"/>
      <c r="F331" s="370"/>
      <c r="G331" s="370"/>
      <c r="H331" s="370"/>
    </row>
    <row r="332" spans="2:8" ht="15.75" thickBot="1">
      <c r="B332" s="372" t="s">
        <v>1276</v>
      </c>
      <c r="C332" s="370"/>
      <c r="D332" s="370"/>
      <c r="E332" s="370"/>
      <c r="F332" s="370"/>
      <c r="G332" s="370"/>
      <c r="H332" s="370"/>
    </row>
    <row r="333" spans="2:8">
      <c r="B333" s="655" t="s">
        <v>1132</v>
      </c>
      <c r="C333" s="656"/>
      <c r="D333" s="656"/>
      <c r="E333" s="656"/>
      <c r="F333" s="656"/>
      <c r="G333" s="657"/>
      <c r="H333" s="658">
        <f>H349+H351+H355+H357</f>
        <v>3490.1499999999996</v>
      </c>
    </row>
    <row r="334" spans="2:8">
      <c r="B334" s="587" t="str">
        <f>CONCATENATE("Salário - ",B333)</f>
        <v>Salário - Encarregado de equipe</v>
      </c>
      <c r="C334" s="660"/>
      <c r="D334" s="661"/>
      <c r="E334" s="662" t="s">
        <v>466</v>
      </c>
      <c r="F334" s="662">
        <v>1</v>
      </c>
      <c r="G334" s="626">
        <f>VLOOKUP(B334,Tabela3[[#All],[descrição]:[fonte]],4,FALSE)</f>
        <v>1465.14</v>
      </c>
      <c r="H334" s="663">
        <f>TRUNC(F334*G334,2)</f>
        <v>1465.14</v>
      </c>
    </row>
    <row r="335" spans="2:8">
      <c r="B335" s="664" t="s">
        <v>855</v>
      </c>
      <c r="C335" s="665"/>
      <c r="D335" s="665"/>
      <c r="E335" s="666" t="s">
        <v>466</v>
      </c>
      <c r="F335" s="666">
        <v>1</v>
      </c>
      <c r="G335" s="626">
        <f>VLOOKUP(B335,Tabela3[[#All],[descrição]:[fonte]],4,FALSE)</f>
        <v>1045</v>
      </c>
      <c r="H335" s="667"/>
    </row>
    <row r="336" spans="2:8">
      <c r="B336" s="664" t="s">
        <v>468</v>
      </c>
      <c r="C336" s="665"/>
      <c r="D336" s="665"/>
      <c r="E336" s="666" t="s">
        <v>469</v>
      </c>
      <c r="F336" s="668"/>
      <c r="G336" s="669"/>
      <c r="H336" s="670"/>
    </row>
    <row r="337" spans="2:8">
      <c r="B337" s="664"/>
      <c r="C337" s="665"/>
      <c r="D337" s="665"/>
      <c r="E337" s="666" t="s">
        <v>470</v>
      </c>
      <c r="F337" s="626">
        <f>F336*8/7</f>
        <v>0</v>
      </c>
      <c r="G337" s="671">
        <f>G334/220*0.2</f>
        <v>1.3319454545454548</v>
      </c>
      <c r="H337" s="667">
        <f>TRUNC(F337*G337,2)</f>
        <v>0</v>
      </c>
    </row>
    <row r="338" spans="2:8">
      <c r="B338" s="664" t="s">
        <v>471</v>
      </c>
      <c r="C338" s="665"/>
      <c r="D338" s="665"/>
      <c r="E338" s="666" t="s">
        <v>472</v>
      </c>
      <c r="F338" s="668"/>
      <c r="G338" s="626">
        <f>G334/220*2</f>
        <v>13.319454545454546</v>
      </c>
      <c r="H338" s="667">
        <f>TRUNC(F338*G338,2)</f>
        <v>0</v>
      </c>
    </row>
    <row r="339" spans="2:8">
      <c r="B339" s="664" t="s">
        <v>473</v>
      </c>
      <c r="C339" s="665"/>
      <c r="D339" s="665"/>
      <c r="E339" s="666" t="s">
        <v>469</v>
      </c>
      <c r="F339" s="668"/>
      <c r="G339" s="626"/>
      <c r="H339" s="667"/>
    </row>
    <row r="340" spans="2:8">
      <c r="B340" s="664"/>
      <c r="C340" s="665"/>
      <c r="D340" s="665"/>
      <c r="E340" s="666" t="s">
        <v>470</v>
      </c>
      <c r="F340" s="626">
        <f>F339*8/7</f>
        <v>0</v>
      </c>
      <c r="G340" s="626">
        <f>G334/220*2*1.2</f>
        <v>15.983345454545454</v>
      </c>
      <c r="H340" s="667">
        <f>TRUNC(F340*G340,2)</f>
        <v>0</v>
      </c>
    </row>
    <row r="341" spans="2:8">
      <c r="B341" s="664" t="s">
        <v>474</v>
      </c>
      <c r="C341" s="665"/>
      <c r="D341" s="665"/>
      <c r="E341" s="666" t="s">
        <v>472</v>
      </c>
      <c r="F341" s="668"/>
      <c r="G341" s="626">
        <f>G334/220*1.5</f>
        <v>9.989590909090909</v>
      </c>
      <c r="H341" s="667">
        <f>TRUNC(F341*G341,2)</f>
        <v>0</v>
      </c>
    </row>
    <row r="342" spans="2:8">
      <c r="B342" s="664" t="s">
        <v>475</v>
      </c>
      <c r="C342" s="665"/>
      <c r="D342" s="665"/>
      <c r="E342" s="666" t="s">
        <v>469</v>
      </c>
      <c r="F342" s="668"/>
      <c r="G342" s="626"/>
      <c r="H342" s="667"/>
    </row>
    <row r="343" spans="2:8">
      <c r="B343" s="664"/>
      <c r="C343" s="665"/>
      <c r="D343" s="665"/>
      <c r="E343" s="666" t="s">
        <v>470</v>
      </c>
      <c r="F343" s="626">
        <f>F342*8/7</f>
        <v>0</v>
      </c>
      <c r="G343" s="626">
        <f>G334/220*1.5*1.2</f>
        <v>11.987509090909091</v>
      </c>
      <c r="H343" s="667">
        <f>TRUNC(F343*G343,2)</f>
        <v>0</v>
      </c>
    </row>
    <row r="344" spans="2:8">
      <c r="B344" s="664" t="s">
        <v>476</v>
      </c>
      <c r="C344" s="665"/>
      <c r="D344" s="665"/>
      <c r="E344" s="666" t="s">
        <v>477</v>
      </c>
      <c r="F344" s="669"/>
      <c r="G344" s="626">
        <f>TRUNC(((52+9)/304)*(SUM(H338:H343)),2)</f>
        <v>0</v>
      </c>
      <c r="H344" s="667">
        <f>G344</f>
        <v>0</v>
      </c>
    </row>
    <row r="345" spans="2:8">
      <c r="B345" s="664" t="s">
        <v>478</v>
      </c>
      <c r="C345" s="665"/>
      <c r="D345" s="665"/>
      <c r="E345" s="666"/>
      <c r="F345" s="672">
        <v>1</v>
      </c>
      <c r="G345" s="626"/>
      <c r="H345" s="667"/>
    </row>
    <row r="346" spans="2:8">
      <c r="B346" s="664" t="s">
        <v>479</v>
      </c>
      <c r="C346" s="665"/>
      <c r="D346" s="665"/>
      <c r="E346" s="666" t="s">
        <v>480</v>
      </c>
      <c r="F346" s="673">
        <f>VLOOKUP(B334,Tabela3[[#All],[descrição]:[fonte]],3,FALSE)</f>
        <v>20</v>
      </c>
      <c r="G346" s="626">
        <f>IF(F345=2,SUM(H334:H344),IF(F345=1,SUM(H334:H344)*G335/G334,0))</f>
        <v>1045</v>
      </c>
      <c r="H346" s="667">
        <f>TRUNC(F346*G346/100,2)</f>
        <v>209</v>
      </c>
    </row>
    <row r="347" spans="2:8">
      <c r="B347" s="674" t="s">
        <v>481</v>
      </c>
      <c r="C347" s="665"/>
      <c r="D347" s="665"/>
      <c r="E347" s="675"/>
      <c r="F347" s="675"/>
      <c r="G347" s="676"/>
      <c r="H347" s="677">
        <f>SUM(H334:H346)</f>
        <v>1674.14</v>
      </c>
    </row>
    <row r="348" spans="2:8">
      <c r="B348" s="678" t="s">
        <v>482</v>
      </c>
      <c r="C348" s="679"/>
      <c r="D348" s="680"/>
      <c r="E348" s="681" t="s">
        <v>480</v>
      </c>
      <c r="F348" s="682">
        <f>VLOOKUP(B348,Tabela3[[#All],[descrição]:[fonte]],4,FALSE)</f>
        <v>70.489999999999995</v>
      </c>
      <c r="G348" s="682">
        <f>H347</f>
        <v>1674.14</v>
      </c>
      <c r="H348" s="683">
        <f>TRUNC(G348*F348/100,2)</f>
        <v>1180.0999999999999</v>
      </c>
    </row>
    <row r="349" spans="2:8">
      <c r="B349" s="684" t="s">
        <v>861</v>
      </c>
      <c r="C349" s="665"/>
      <c r="D349" s="665"/>
      <c r="E349" s="685"/>
      <c r="F349" s="685"/>
      <c r="G349" s="686"/>
      <c r="H349" s="687">
        <f>TRUNC(H347+H348,2)</f>
        <v>2854.24</v>
      </c>
    </row>
    <row r="350" spans="2:8">
      <c r="B350" s="751" t="s">
        <v>483</v>
      </c>
      <c r="C350" s="209"/>
      <c r="D350" s="209"/>
      <c r="E350" s="209"/>
      <c r="F350" s="336"/>
      <c r="G350" s="336"/>
      <c r="H350" s="689"/>
    </row>
    <row r="351" spans="2:8">
      <c r="B351" s="690" t="s">
        <v>860</v>
      </c>
      <c r="C351" s="691"/>
      <c r="D351" s="692"/>
      <c r="E351" s="693" t="s">
        <v>484</v>
      </c>
      <c r="F351" s="694">
        <v>1</v>
      </c>
      <c r="G351" s="694">
        <f>H354</f>
        <v>111.95</v>
      </c>
      <c r="H351" s="695">
        <f>TRUNC(G351*F351,2)</f>
        <v>111.95</v>
      </c>
    </row>
    <row r="352" spans="2:8">
      <c r="B352" s="664" t="s">
        <v>485</v>
      </c>
      <c r="C352" s="665"/>
      <c r="D352" s="665"/>
      <c r="E352" s="666" t="s">
        <v>477</v>
      </c>
      <c r="F352" s="626">
        <v>1</v>
      </c>
      <c r="G352" s="626">
        <f>VLOOKUP(B352,Tabela3[[#All],[descrição]:[fonte]],4,FALSE)</f>
        <v>3.95</v>
      </c>
      <c r="H352" s="667"/>
    </row>
    <row r="353" spans="2:8">
      <c r="B353" s="664" t="s">
        <v>486</v>
      </c>
      <c r="C353" s="665"/>
      <c r="D353" s="665"/>
      <c r="E353" s="666" t="s">
        <v>487</v>
      </c>
      <c r="F353" s="626">
        <f>$H$197</f>
        <v>25.33</v>
      </c>
      <c r="G353" s="626"/>
      <c r="H353" s="667"/>
    </row>
    <row r="354" spans="2:8">
      <c r="B354" s="627" t="str">
        <f>CONCATENATE("Vale Transporte - ",B333)</f>
        <v>Vale Transporte - Encarregado de equipe</v>
      </c>
      <c r="C354" s="665"/>
      <c r="D354" s="665"/>
      <c r="E354" s="697" t="s">
        <v>488</v>
      </c>
      <c r="F354" s="698">
        <f>F353*2*1</f>
        <v>50.66</v>
      </c>
      <c r="G354" s="698">
        <f>IF(TRUNC(IFERROR(((G352)-((G334*0.06)/(F353*2))),"-"),2)&lt;=0,0,TRUNC(IFERROR(((G352)-((G334*0.06)/(F353*2))),"-"),2))</f>
        <v>2.21</v>
      </c>
      <c r="H354" s="699">
        <f>TRUNC(IFERROR(F354*G354,"-"),2)</f>
        <v>111.95</v>
      </c>
    </row>
    <row r="355" spans="2:8">
      <c r="B355" s="690" t="s">
        <v>859</v>
      </c>
      <c r="C355" s="691"/>
      <c r="D355" s="692"/>
      <c r="E355" s="693" t="s">
        <v>484</v>
      </c>
      <c r="F355" s="694">
        <v>1</v>
      </c>
      <c r="G355" s="694">
        <f>H356</f>
        <v>303.95999999999998</v>
      </c>
      <c r="H355" s="695">
        <f>G355*F355</f>
        <v>303.95999999999998</v>
      </c>
    </row>
    <row r="356" spans="2:8">
      <c r="B356" s="700" t="s">
        <v>489</v>
      </c>
      <c r="C356" s="701"/>
      <c r="D356" s="702"/>
      <c r="E356" s="703" t="s">
        <v>490</v>
      </c>
      <c r="F356" s="694">
        <f>F353</f>
        <v>25.33</v>
      </c>
      <c r="G356" s="694">
        <f>VLOOKUP(B356,Tabela3[[#All],[descrição]:[fonte]],4,FALSE)</f>
        <v>12</v>
      </c>
      <c r="H356" s="704">
        <f>TRUNC(F356*G356,2)</f>
        <v>303.95999999999998</v>
      </c>
    </row>
    <row r="357" spans="2:8">
      <c r="B357" s="705" t="s">
        <v>491</v>
      </c>
      <c r="C357" s="706"/>
      <c r="D357" s="707"/>
      <c r="E357" s="675" t="s">
        <v>484</v>
      </c>
      <c r="F357" s="626">
        <v>1</v>
      </c>
      <c r="G357" s="626">
        <f>VLOOKUP(B357,Tabela3[[#All],[descrição]:[fonte]],4,FALSE)</f>
        <v>220</v>
      </c>
      <c r="H357" s="677">
        <f>G357*F357</f>
        <v>220</v>
      </c>
    </row>
    <row r="358" spans="2:8">
      <c r="B358" s="708" t="s">
        <v>384</v>
      </c>
      <c r="C358" s="709"/>
      <c r="D358" s="709"/>
      <c r="E358" s="709"/>
      <c r="F358" s="709"/>
      <c r="G358" s="709"/>
      <c r="H358" s="725">
        <f>E225</f>
        <v>1</v>
      </c>
    </row>
    <row r="359" spans="2:8" ht="15.75" thickBot="1">
      <c r="B359" s="710" t="s">
        <v>854</v>
      </c>
      <c r="C359" s="711"/>
      <c r="D359" s="711"/>
      <c r="E359" s="711"/>
      <c r="F359" s="711"/>
      <c r="G359" s="711"/>
      <c r="H359" s="712">
        <f>H358*H333</f>
        <v>3490.1499999999996</v>
      </c>
    </row>
    <row r="360" spans="2:8" ht="15.75" thickBot="1">
      <c r="B360" s="370"/>
      <c r="C360" s="370"/>
      <c r="D360" s="370"/>
      <c r="E360" s="370"/>
      <c r="F360" s="370"/>
      <c r="G360" s="370"/>
      <c r="H360" s="370"/>
    </row>
    <row r="361" spans="2:8" ht="15.75" thickBot="1">
      <c r="B361" s="218" t="s">
        <v>598</v>
      </c>
      <c r="C361" s="562"/>
      <c r="D361" s="562"/>
      <c r="E361" s="562"/>
      <c r="F361" s="562"/>
      <c r="G361" s="562"/>
      <c r="H361" s="390">
        <f>H359+H330+H301</f>
        <v>30335.890000000003</v>
      </c>
    </row>
    <row r="362" spans="2:8">
      <c r="B362" s="370"/>
      <c r="C362" s="370"/>
      <c r="D362" s="370"/>
      <c r="E362" s="370"/>
      <c r="F362" s="370"/>
      <c r="G362" s="370"/>
      <c r="H362" s="370"/>
    </row>
    <row r="363" spans="2:8">
      <c r="B363" s="372" t="s">
        <v>1277</v>
      </c>
      <c r="C363" s="370"/>
      <c r="D363" s="370"/>
      <c r="E363" s="370"/>
      <c r="F363" s="370"/>
      <c r="G363" s="370"/>
      <c r="H363" s="370"/>
    </row>
    <row r="364" spans="2:8" ht="30">
      <c r="B364" s="645" t="s">
        <v>900</v>
      </c>
      <c r="C364" s="646"/>
      <c r="D364" s="648"/>
      <c r="E364" s="649" t="s">
        <v>1164</v>
      </c>
      <c r="F364" s="650" t="s">
        <v>1165</v>
      </c>
      <c r="G364" s="649" t="s">
        <v>1166</v>
      </c>
      <c r="H364" s="651" t="s">
        <v>1167</v>
      </c>
    </row>
    <row r="365" spans="2:8">
      <c r="B365" s="563" t="s">
        <v>637</v>
      </c>
      <c r="C365" s="564"/>
      <c r="D365" s="386"/>
      <c r="E365" s="391" t="s">
        <v>601</v>
      </c>
      <c r="F365" s="392">
        <f t="shared" ref="F365:F372" si="8">H232</f>
        <v>0.08</v>
      </c>
      <c r="G365" s="254">
        <f>VLOOKUP(B365,Tabela1[[#All],[ITENS PARA ORÇAMENTO]:[MEDIANA]],11,FALSE)</f>
        <v>136.5</v>
      </c>
      <c r="H365" s="393">
        <f t="shared" ref="H365:H372" si="9">TRUNC(F365*G365,2)</f>
        <v>10.92</v>
      </c>
    </row>
    <row r="366" spans="2:8">
      <c r="B366" s="565" t="s">
        <v>429</v>
      </c>
      <c r="C366" s="370"/>
      <c r="D366" s="378"/>
      <c r="E366" s="217" t="s">
        <v>601</v>
      </c>
      <c r="F366" s="394">
        <f t="shared" si="8"/>
        <v>0.04</v>
      </c>
      <c r="G366" s="394">
        <f>VLOOKUP(B366,Tabela1[[#All],[ITENS PARA ORÇAMENTO]:[MEDIANA]],11,FALSE)</f>
        <v>40.53</v>
      </c>
      <c r="H366" s="395">
        <f t="shared" si="9"/>
        <v>1.62</v>
      </c>
    </row>
    <row r="367" spans="2:8">
      <c r="B367" s="565" t="s">
        <v>640</v>
      </c>
      <c r="C367" s="370"/>
      <c r="D367" s="378"/>
      <c r="E367" s="217" t="s">
        <v>601</v>
      </c>
      <c r="F367" s="394">
        <f t="shared" si="8"/>
        <v>0.02</v>
      </c>
      <c r="G367" s="394">
        <f>VLOOKUP(B367,Tabela1[[#All],[ITENS PARA ORÇAMENTO]:[MEDIANA]],11,FALSE)</f>
        <v>39.799999999999997</v>
      </c>
      <c r="H367" s="395">
        <f t="shared" si="9"/>
        <v>0.79</v>
      </c>
    </row>
    <row r="368" spans="2:8">
      <c r="B368" s="565" t="s">
        <v>588</v>
      </c>
      <c r="C368" s="370"/>
      <c r="D368" s="378"/>
      <c r="E368" s="217" t="s">
        <v>601</v>
      </c>
      <c r="F368" s="394">
        <f t="shared" si="8"/>
        <v>0.12</v>
      </c>
      <c r="G368" s="394">
        <f>VLOOKUP(B368,Tabela1[[#All],[ITENS PARA ORÇAMENTO]:[MEDIANA]],11,FALSE)</f>
        <v>39.979999999999997</v>
      </c>
      <c r="H368" s="395">
        <f t="shared" si="9"/>
        <v>4.79</v>
      </c>
    </row>
    <row r="369" spans="2:11">
      <c r="B369" s="565" t="s">
        <v>242</v>
      </c>
      <c r="C369" s="370"/>
      <c r="D369" s="378"/>
      <c r="E369" s="217" t="s">
        <v>601</v>
      </c>
      <c r="F369" s="394">
        <f t="shared" si="8"/>
        <v>0.15</v>
      </c>
      <c r="G369" s="394">
        <f>VLOOKUP(B369,Tabela1[[#All],[ITENS PARA ORÇAMENTO]:[MEDIANA]],11,FALSE)</f>
        <v>28.44</v>
      </c>
      <c r="H369" s="395">
        <f t="shared" si="9"/>
        <v>4.26</v>
      </c>
    </row>
    <row r="370" spans="2:11">
      <c r="B370" s="565" t="s">
        <v>241</v>
      </c>
      <c r="C370" s="370"/>
      <c r="D370" s="378"/>
      <c r="E370" s="217" t="s">
        <v>601</v>
      </c>
      <c r="F370" s="394">
        <f t="shared" si="8"/>
        <v>0.15</v>
      </c>
      <c r="G370" s="394">
        <f>VLOOKUP(B370,Tabela1[[#All],[ITENS PARA ORÇAMENTO]:[MEDIANA]],11,FALSE)</f>
        <v>28.49</v>
      </c>
      <c r="H370" s="395">
        <f t="shared" si="9"/>
        <v>4.2699999999999996</v>
      </c>
    </row>
    <row r="371" spans="2:11">
      <c r="B371" s="565" t="s">
        <v>243</v>
      </c>
      <c r="C371" s="370"/>
      <c r="D371" s="378"/>
      <c r="E371" s="217" t="s">
        <v>601</v>
      </c>
      <c r="F371" s="394">
        <f t="shared" si="8"/>
        <v>1773.1</v>
      </c>
      <c r="G371" s="394">
        <f>VLOOKUP(B371,Tabela1[[#All],[ITENS PARA ORÇAMENTO]:[MEDIANA]],11,FALSE)</f>
        <v>0.4</v>
      </c>
      <c r="H371" s="395">
        <f t="shared" si="9"/>
        <v>709.24</v>
      </c>
    </row>
    <row r="372" spans="2:11">
      <c r="B372" s="567" t="s">
        <v>639</v>
      </c>
      <c r="C372" s="568"/>
      <c r="D372" s="382"/>
      <c r="E372" s="396" t="s">
        <v>601</v>
      </c>
      <c r="F372" s="397">
        <f t="shared" si="8"/>
        <v>0.03</v>
      </c>
      <c r="G372" s="397">
        <f>VLOOKUP(B372,Tabela1[[#All],[ITENS PARA ORÇAMENTO]:[MEDIANA]],11,FALSE)</f>
        <v>138.74</v>
      </c>
      <c r="H372" s="398">
        <f t="shared" si="9"/>
        <v>4.16</v>
      </c>
    </row>
    <row r="373" spans="2:11" ht="15.75" thickBot="1">
      <c r="B373" s="209" t="s">
        <v>595</v>
      </c>
      <c r="C373" s="370"/>
      <c r="D373" s="370"/>
      <c r="E373" s="370"/>
      <c r="F373" s="370"/>
      <c r="G373" s="370"/>
      <c r="H373" s="370"/>
    </row>
    <row r="374" spans="2:11" ht="15.75" thickBot="1">
      <c r="B374" s="218" t="s">
        <v>602</v>
      </c>
      <c r="C374" s="562"/>
      <c r="D374" s="562"/>
      <c r="E374" s="562"/>
      <c r="F374" s="562"/>
      <c r="G374" s="562"/>
      <c r="H374" s="390">
        <f>SUM(H365:H372)</f>
        <v>740.05</v>
      </c>
    </row>
    <row r="375" spans="2:11">
      <c r="B375" s="370"/>
      <c r="C375" s="370"/>
      <c r="D375" s="370"/>
      <c r="E375" s="370"/>
      <c r="F375" s="370"/>
      <c r="G375" s="370"/>
      <c r="H375" s="370"/>
    </row>
    <row r="376" spans="2:11">
      <c r="B376" s="372" t="s">
        <v>1278</v>
      </c>
      <c r="C376" s="370"/>
      <c r="D376" s="370"/>
      <c r="E376" s="370"/>
      <c r="F376" s="370"/>
      <c r="G376" s="370"/>
      <c r="H376" s="370"/>
    </row>
    <row r="377" spans="2:11">
      <c r="B377" s="372" t="s">
        <v>1279</v>
      </c>
      <c r="C377" s="370"/>
      <c r="D377" s="370"/>
      <c r="F377" s="881"/>
      <c r="K377" s="73"/>
    </row>
    <row r="378" spans="2:11">
      <c r="B378" s="570" t="s">
        <v>900</v>
      </c>
      <c r="C378" s="571"/>
      <c r="D378" s="571"/>
      <c r="E378" s="571" t="s">
        <v>1164</v>
      </c>
      <c r="F378" s="571"/>
      <c r="G378" s="571"/>
      <c r="H378" s="750" t="s">
        <v>1168</v>
      </c>
    </row>
    <row r="379" spans="2:11">
      <c r="B379" s="216" t="s">
        <v>586</v>
      </c>
      <c r="C379" s="562"/>
      <c r="D379" s="562"/>
      <c r="E379" s="399" t="s">
        <v>616</v>
      </c>
      <c r="F379" s="562"/>
      <c r="G379" s="562"/>
      <c r="H379" s="465">
        <f>TRUNC(H383+H386+H389,2)</f>
        <v>31.53</v>
      </c>
    </row>
    <row r="380" spans="2:11">
      <c r="B380" s="563" t="s">
        <v>882</v>
      </c>
      <c r="C380" s="564"/>
      <c r="D380" s="370"/>
      <c r="E380" s="391" t="s">
        <v>601</v>
      </c>
      <c r="F380" s="564"/>
      <c r="G380" s="564"/>
      <c r="H380" s="525">
        <f>VLOOKUP(B379,Tabela1[[#All],[ITENS PARA ORÇAMENTO]:[MEDIANA]],11,FALSE)</f>
        <v>785.75</v>
      </c>
    </row>
    <row r="381" spans="2:11">
      <c r="B381" s="565" t="s">
        <v>605</v>
      </c>
      <c r="C381" s="370"/>
      <c r="D381" s="370"/>
      <c r="E381" s="217" t="s">
        <v>615</v>
      </c>
      <c r="F381" s="370"/>
      <c r="G381" s="370"/>
      <c r="H381" s="500">
        <f>G244/12</f>
        <v>3</v>
      </c>
      <c r="K381" s="879" t="s">
        <v>1233</v>
      </c>
    </row>
    <row r="382" spans="2:11">
      <c r="B382" s="565" t="s">
        <v>606</v>
      </c>
      <c r="C382" s="370"/>
      <c r="D382" s="370"/>
      <c r="E382" s="217" t="s">
        <v>615</v>
      </c>
      <c r="F382" s="370"/>
      <c r="G382" s="370"/>
      <c r="H382" s="331">
        <v>0</v>
      </c>
      <c r="K382" s="879"/>
    </row>
    <row r="383" spans="2:11">
      <c r="B383" s="218" t="s">
        <v>607</v>
      </c>
      <c r="C383" s="562"/>
      <c r="D383" s="562"/>
      <c r="E383" s="399" t="s">
        <v>616</v>
      </c>
      <c r="F383" s="562"/>
      <c r="G383" s="562"/>
      <c r="H383" s="359">
        <f>TRUNC((H380-H385)/H381/12,2)</f>
        <v>15.27</v>
      </c>
      <c r="K383" s="879" t="s">
        <v>1230</v>
      </c>
    </row>
    <row r="384" spans="2:11">
      <c r="B384" s="565" t="s">
        <v>608</v>
      </c>
      <c r="C384" s="370"/>
      <c r="D384" s="370"/>
      <c r="E384" s="217" t="s">
        <v>480</v>
      </c>
      <c r="F384" s="370"/>
      <c r="G384" s="370"/>
      <c r="H384" s="360">
        <v>0.3</v>
      </c>
      <c r="K384" s="890" t="s">
        <v>1235</v>
      </c>
    </row>
    <row r="385" spans="2:19">
      <c r="B385" s="565" t="s">
        <v>609</v>
      </c>
      <c r="C385" s="370"/>
      <c r="D385" s="370"/>
      <c r="E385" s="217" t="s">
        <v>477</v>
      </c>
      <c r="F385" s="370"/>
      <c r="G385" s="370"/>
      <c r="H385" s="331">
        <f>H384*H380</f>
        <v>235.72499999999999</v>
      </c>
      <c r="K385" s="879"/>
    </row>
    <row r="386" spans="2:19">
      <c r="B386" s="218" t="s">
        <v>610</v>
      </c>
      <c r="C386" s="562"/>
      <c r="D386" s="562"/>
      <c r="E386" s="399" t="s">
        <v>616</v>
      </c>
      <c r="F386" s="562"/>
      <c r="G386" s="562"/>
      <c r="H386" s="359">
        <f>TRUNC(((1+H387)^(1/12)-1)*H388,2)</f>
        <v>0.99</v>
      </c>
      <c r="K386" s="879" t="s">
        <v>1230</v>
      </c>
    </row>
    <row r="387" spans="2:19">
      <c r="B387" s="565" t="s">
        <v>612</v>
      </c>
      <c r="C387" s="370"/>
      <c r="D387" s="370"/>
      <c r="E387" s="217" t="s">
        <v>480</v>
      </c>
      <c r="F387" s="370"/>
      <c r="G387" s="370"/>
      <c r="H387" s="328">
        <f>VLOOKUP(B387,Tabela1[[#All],[ITENS PARA ORÇAMENTO]:[MEDIANA]],11,FALSE)</f>
        <v>0.02</v>
      </c>
      <c r="K387" s="879" t="s">
        <v>1232</v>
      </c>
    </row>
    <row r="388" spans="2:19">
      <c r="B388" s="565" t="s">
        <v>611</v>
      </c>
      <c r="C388" s="370"/>
      <c r="D388" s="370"/>
      <c r="E388" s="217" t="s">
        <v>477</v>
      </c>
      <c r="F388" s="370"/>
      <c r="G388" s="370"/>
      <c r="H388" s="361">
        <f>(((H381+1)*(H380-H385)/(2*H381))+H385)</f>
        <v>602.4083333333333</v>
      </c>
      <c r="K388" s="879" t="s">
        <v>1230</v>
      </c>
    </row>
    <row r="389" spans="2:19">
      <c r="B389" s="218" t="s">
        <v>613</v>
      </c>
      <c r="C389" s="562"/>
      <c r="D389" s="562"/>
      <c r="E389" s="399" t="s">
        <v>616</v>
      </c>
      <c r="F389" s="402" t="s">
        <v>874</v>
      </c>
      <c r="G389" s="363">
        <v>0.7</v>
      </c>
      <c r="H389" s="359">
        <f>TRUNC(H380*G389/(H381*12),2)</f>
        <v>15.27</v>
      </c>
      <c r="K389" s="879" t="s">
        <v>1231</v>
      </c>
      <c r="S389" s="307" t="s">
        <v>1238</v>
      </c>
    </row>
    <row r="390" spans="2:19">
      <c r="B390" s="218" t="s">
        <v>384</v>
      </c>
      <c r="C390" s="562"/>
      <c r="D390" s="370"/>
      <c r="E390" s="399"/>
      <c r="F390" s="562"/>
      <c r="G390" s="562"/>
      <c r="H390" s="483">
        <f>H244</f>
        <v>2</v>
      </c>
    </row>
    <row r="391" spans="2:19">
      <c r="B391" s="218" t="s">
        <v>244</v>
      </c>
      <c r="C391" s="562"/>
      <c r="D391" s="562"/>
      <c r="E391" s="399" t="s">
        <v>616</v>
      </c>
      <c r="F391" s="562"/>
      <c r="G391" s="562"/>
      <c r="H391" s="526">
        <f>TRUNC(H390*H379,2)</f>
        <v>63.06</v>
      </c>
    </row>
    <row r="392" spans="2:19">
      <c r="B392" s="209" t="s">
        <v>595</v>
      </c>
      <c r="C392" s="370"/>
      <c r="D392" s="370"/>
      <c r="E392" s="370"/>
      <c r="F392" s="370"/>
      <c r="G392" s="370"/>
      <c r="H392" s="370"/>
    </row>
    <row r="393" spans="2:19">
      <c r="B393" s="372" t="s">
        <v>1280</v>
      </c>
      <c r="C393" s="370"/>
      <c r="D393" s="370"/>
      <c r="E393" s="370"/>
      <c r="F393" s="370"/>
      <c r="G393" s="370"/>
      <c r="H393" s="370"/>
    </row>
    <row r="394" spans="2:19">
      <c r="B394" s="570" t="s">
        <v>900</v>
      </c>
      <c r="C394" s="571"/>
      <c r="D394" s="571"/>
      <c r="E394" s="571" t="s">
        <v>1164</v>
      </c>
      <c r="F394" s="571"/>
      <c r="G394" s="571"/>
      <c r="H394" s="750" t="s">
        <v>1168</v>
      </c>
    </row>
    <row r="395" spans="2:19">
      <c r="B395" s="216" t="s">
        <v>643</v>
      </c>
      <c r="C395" s="562"/>
      <c r="D395" s="562"/>
      <c r="E395" s="399" t="s">
        <v>616</v>
      </c>
      <c r="F395" s="562"/>
      <c r="G395" s="562"/>
      <c r="H395" s="465">
        <f>TRUNC(H399+H402+H405,2)</f>
        <v>367.24</v>
      </c>
    </row>
    <row r="396" spans="2:19">
      <c r="B396" s="563" t="s">
        <v>882</v>
      </c>
      <c r="C396" s="564"/>
      <c r="D396" s="370"/>
      <c r="E396" s="391" t="s">
        <v>601</v>
      </c>
      <c r="F396" s="564"/>
      <c r="G396" s="564"/>
      <c r="H396" s="525">
        <f>VLOOKUP(B395,Tabela1[[#All],[ITENS PARA ORÇAMENTO]:[MEDIANA]],11,FALSE)</f>
        <v>17815.490000000002</v>
      </c>
    </row>
    <row r="397" spans="2:19">
      <c r="B397" s="565" t="s">
        <v>605</v>
      </c>
      <c r="C397" s="370"/>
      <c r="D397" s="370"/>
      <c r="E397" s="217" t="s">
        <v>615</v>
      </c>
      <c r="F397" s="370"/>
      <c r="G397" s="370"/>
      <c r="H397" s="500">
        <f>G245/12</f>
        <v>6</v>
      </c>
      <c r="K397" s="879" t="s">
        <v>1233</v>
      </c>
    </row>
    <row r="398" spans="2:19">
      <c r="B398" s="565" t="s">
        <v>606</v>
      </c>
      <c r="C398" s="370"/>
      <c r="D398" s="370"/>
      <c r="E398" s="217" t="s">
        <v>615</v>
      </c>
      <c r="F398" s="370"/>
      <c r="G398" s="370"/>
      <c r="H398" s="331">
        <v>0</v>
      </c>
      <c r="K398" s="879"/>
    </row>
    <row r="399" spans="2:19">
      <c r="B399" s="218" t="s">
        <v>607</v>
      </c>
      <c r="C399" s="562"/>
      <c r="D399" s="562"/>
      <c r="E399" s="399" t="s">
        <v>616</v>
      </c>
      <c r="F399" s="562"/>
      <c r="G399" s="562"/>
      <c r="H399" s="359">
        <f>TRUNC((H396-H401)/H397/12,2)</f>
        <v>173.2</v>
      </c>
      <c r="K399" s="879" t="s">
        <v>1230</v>
      </c>
    </row>
    <row r="400" spans="2:19">
      <c r="B400" s="565" t="s">
        <v>608</v>
      </c>
      <c r="C400" s="370"/>
      <c r="D400" s="370"/>
      <c r="E400" s="217" t="s">
        <v>480</v>
      </c>
      <c r="F400" s="370"/>
      <c r="G400" s="370"/>
      <c r="H400" s="360">
        <v>0.3</v>
      </c>
      <c r="K400" s="890" t="s">
        <v>1235</v>
      </c>
    </row>
    <row r="401" spans="2:19">
      <c r="B401" s="565" t="s">
        <v>609</v>
      </c>
      <c r="C401" s="370"/>
      <c r="D401" s="370"/>
      <c r="E401" s="217" t="s">
        <v>477</v>
      </c>
      <c r="F401" s="370"/>
      <c r="G401" s="370"/>
      <c r="H401" s="331">
        <f>H400*H396</f>
        <v>5344.6469999999999</v>
      </c>
      <c r="K401" s="879"/>
    </row>
    <row r="402" spans="2:19">
      <c r="B402" s="218" t="s">
        <v>610</v>
      </c>
      <c r="C402" s="562"/>
      <c r="D402" s="562"/>
      <c r="E402" s="399" t="s">
        <v>616</v>
      </c>
      <c r="F402" s="562"/>
      <c r="G402" s="562"/>
      <c r="H402" s="359">
        <f>TRUNC(((1+H403)^(1/12)-1)*H404,2)</f>
        <v>20.84</v>
      </c>
      <c r="K402" s="879" t="s">
        <v>1230</v>
      </c>
    </row>
    <row r="403" spans="2:19">
      <c r="B403" s="565" t="s">
        <v>612</v>
      </c>
      <c r="C403" s="370"/>
      <c r="D403" s="370"/>
      <c r="E403" s="217" t="s">
        <v>480</v>
      </c>
      <c r="F403" s="370"/>
      <c r="G403" s="370"/>
      <c r="H403" s="328">
        <f>VLOOKUP(B403,Tabela1[[#All],[ITENS PARA ORÇAMENTO]:[MEDIANA]],11,FALSE)</f>
        <v>0.02</v>
      </c>
      <c r="K403" s="879" t="s">
        <v>1232</v>
      </c>
    </row>
    <row r="404" spans="2:19">
      <c r="B404" s="565" t="s">
        <v>611</v>
      </c>
      <c r="C404" s="370"/>
      <c r="D404" s="370"/>
      <c r="E404" s="217" t="s">
        <v>477</v>
      </c>
      <c r="F404" s="370"/>
      <c r="G404" s="370"/>
      <c r="H404" s="361">
        <f>(((H397+1)*(H396-H401)/(2*H397))+H401)</f>
        <v>12619.305416666668</v>
      </c>
      <c r="K404" s="879" t="s">
        <v>1230</v>
      </c>
    </row>
    <row r="405" spans="2:19">
      <c r="B405" s="218" t="s">
        <v>613</v>
      </c>
      <c r="C405" s="562"/>
      <c r="D405" s="562"/>
      <c r="E405" s="399" t="s">
        <v>616</v>
      </c>
      <c r="F405" s="402" t="s">
        <v>874</v>
      </c>
      <c r="G405" s="363">
        <v>0.7</v>
      </c>
      <c r="H405" s="359">
        <f>TRUNC(H396*G405/(H397*12),2)</f>
        <v>173.2</v>
      </c>
      <c r="K405" s="879" t="s">
        <v>1231</v>
      </c>
      <c r="S405" s="307" t="s">
        <v>1238</v>
      </c>
    </row>
    <row r="406" spans="2:19">
      <c r="B406" s="218" t="s">
        <v>384</v>
      </c>
      <c r="C406" s="562"/>
      <c r="D406" s="370"/>
      <c r="E406" s="399"/>
      <c r="F406" s="562"/>
      <c r="G406" s="562"/>
      <c r="H406" s="483">
        <f>H245</f>
        <v>1</v>
      </c>
    </row>
    <row r="407" spans="2:19">
      <c r="B407" s="218" t="s">
        <v>244</v>
      </c>
      <c r="C407" s="562"/>
      <c r="D407" s="562"/>
      <c r="E407" s="399" t="s">
        <v>616</v>
      </c>
      <c r="F407" s="562"/>
      <c r="G407" s="562"/>
      <c r="H407" s="526">
        <f>TRUNC(H406*H395,2)</f>
        <v>367.24</v>
      </c>
    </row>
    <row r="408" spans="2:19" ht="15.75" thickBot="1">
      <c r="B408" s="209" t="s">
        <v>595</v>
      </c>
      <c r="C408" s="370"/>
      <c r="D408" s="370"/>
      <c r="E408" s="370"/>
      <c r="F408" s="370"/>
      <c r="G408" s="370"/>
      <c r="H408" s="370"/>
    </row>
    <row r="409" spans="2:19" ht="15.75" thickBot="1">
      <c r="B409" s="218" t="s">
        <v>636</v>
      </c>
      <c r="C409" s="562"/>
      <c r="D409" s="562"/>
      <c r="E409" s="562"/>
      <c r="F409" s="562"/>
      <c r="G409" s="562"/>
      <c r="H409" s="390">
        <f>H407+H391</f>
        <v>430.3</v>
      </c>
    </row>
    <row r="410" spans="2:19">
      <c r="B410" s="370"/>
      <c r="C410" s="370"/>
      <c r="D410" s="370"/>
      <c r="E410" s="370"/>
      <c r="F410" s="370"/>
      <c r="G410" s="370"/>
      <c r="H410" s="370"/>
    </row>
    <row r="411" spans="2:19">
      <c r="B411" s="372" t="s">
        <v>1281</v>
      </c>
      <c r="C411" s="370"/>
      <c r="D411" s="370"/>
      <c r="E411" s="370"/>
      <c r="F411" s="370"/>
      <c r="G411" s="370"/>
      <c r="H411" s="370"/>
    </row>
    <row r="412" spans="2:19" ht="30">
      <c r="B412" s="645" t="s">
        <v>900</v>
      </c>
      <c r="C412" s="646"/>
      <c r="D412" s="648"/>
      <c r="E412" s="649" t="s">
        <v>1164</v>
      </c>
      <c r="F412" s="650" t="s">
        <v>1165</v>
      </c>
      <c r="G412" s="649" t="s">
        <v>1166</v>
      </c>
      <c r="H412" s="651" t="s">
        <v>1167</v>
      </c>
    </row>
    <row r="413" spans="2:19">
      <c r="B413" s="563" t="s">
        <v>566</v>
      </c>
      <c r="C413" s="564"/>
      <c r="D413" s="386"/>
      <c r="E413" s="391" t="s">
        <v>601</v>
      </c>
      <c r="F413" s="392">
        <f t="shared" ref="F413:F425" si="10">H250</f>
        <v>0.75</v>
      </c>
      <c r="G413" s="392">
        <f>VLOOKUP(B413,Tabela1[[#All],[ITENS PARA ORÇAMENTO]:[MEDIANA]],11,FALSE)</f>
        <v>132.91</v>
      </c>
      <c r="H413" s="393">
        <f t="shared" ref="H413:H425" si="11">TRUNC(F413*G413,2)</f>
        <v>99.68</v>
      </c>
    </row>
    <row r="414" spans="2:19">
      <c r="B414" s="565" t="s">
        <v>492</v>
      </c>
      <c r="C414" s="370"/>
      <c r="D414" s="378"/>
      <c r="E414" s="217" t="s">
        <v>601</v>
      </c>
      <c r="F414" s="394">
        <f t="shared" si="10"/>
        <v>2.25</v>
      </c>
      <c r="G414" s="394">
        <f>VLOOKUP(B414,Tabela1[[#All],[ITENS PARA ORÇAMENTO]:[MEDIANA]],11,FALSE)</f>
        <v>43.86</v>
      </c>
      <c r="H414" s="395">
        <f t="shared" si="11"/>
        <v>98.68</v>
      </c>
    </row>
    <row r="415" spans="2:19">
      <c r="B415" s="565" t="s">
        <v>493</v>
      </c>
      <c r="C415" s="370"/>
      <c r="D415" s="378"/>
      <c r="E415" s="217" t="s">
        <v>601</v>
      </c>
      <c r="F415" s="394">
        <f t="shared" si="10"/>
        <v>2.25</v>
      </c>
      <c r="G415" s="394">
        <f>VLOOKUP(B415,Tabela1[[#All],[ITENS PARA ORÇAMENTO]:[MEDIANA]],11,FALSE)</f>
        <v>43.02</v>
      </c>
      <c r="H415" s="395">
        <f t="shared" si="11"/>
        <v>96.79</v>
      </c>
    </row>
    <row r="416" spans="2:19">
      <c r="B416" s="565" t="s">
        <v>494</v>
      </c>
      <c r="C416" s="370"/>
      <c r="D416" s="378"/>
      <c r="E416" s="217" t="s">
        <v>601</v>
      </c>
      <c r="F416" s="394">
        <f t="shared" si="10"/>
        <v>1.5</v>
      </c>
      <c r="G416" s="394">
        <f>VLOOKUP(B416,Tabela1[[#All],[ITENS PARA ORÇAMENTO]:[MEDIANA]],11,FALSE)</f>
        <v>17.59</v>
      </c>
      <c r="H416" s="395">
        <f t="shared" si="11"/>
        <v>26.38</v>
      </c>
    </row>
    <row r="417" spans="2:8">
      <c r="B417" s="565" t="s">
        <v>502</v>
      </c>
      <c r="C417" s="370"/>
      <c r="D417" s="378"/>
      <c r="E417" s="217" t="s">
        <v>495</v>
      </c>
      <c r="F417" s="394">
        <f t="shared" si="10"/>
        <v>2.25</v>
      </c>
      <c r="G417" s="394">
        <f>VLOOKUP(B417,Tabela1[[#All],[ITENS PARA ORÇAMENTO]:[MEDIANA]],11,FALSE)</f>
        <v>57.7</v>
      </c>
      <c r="H417" s="395">
        <f t="shared" si="11"/>
        <v>129.82</v>
      </c>
    </row>
    <row r="418" spans="2:8">
      <c r="B418" s="565" t="s">
        <v>496</v>
      </c>
      <c r="C418" s="370"/>
      <c r="D418" s="378"/>
      <c r="E418" s="217" t="s">
        <v>601</v>
      </c>
      <c r="F418" s="394">
        <f t="shared" si="10"/>
        <v>1.5</v>
      </c>
      <c r="G418" s="394">
        <f>VLOOKUP(B418,Tabela1[[#All],[ITENS PARA ORÇAMENTO]:[MEDIANA]],11,FALSE)</f>
        <v>23</v>
      </c>
      <c r="H418" s="395">
        <f t="shared" si="11"/>
        <v>34.5</v>
      </c>
    </row>
    <row r="419" spans="2:8">
      <c r="B419" s="565" t="s">
        <v>497</v>
      </c>
      <c r="C419" s="370"/>
      <c r="D419" s="378"/>
      <c r="E419" s="217" t="s">
        <v>601</v>
      </c>
      <c r="F419" s="394">
        <f t="shared" si="10"/>
        <v>1.5</v>
      </c>
      <c r="G419" s="394">
        <f>VLOOKUP(B419,Tabela1[[#All],[ITENS PARA ORÇAMENTO]:[MEDIANA]],11,FALSE)</f>
        <v>19.989999999999998</v>
      </c>
      <c r="H419" s="395">
        <f t="shared" si="11"/>
        <v>29.98</v>
      </c>
    </row>
    <row r="420" spans="2:8">
      <c r="B420" s="565" t="s">
        <v>498</v>
      </c>
      <c r="C420" s="370"/>
      <c r="D420" s="378"/>
      <c r="E420" s="217" t="s">
        <v>495</v>
      </c>
      <c r="F420" s="394">
        <f t="shared" si="10"/>
        <v>6</v>
      </c>
      <c r="G420" s="394">
        <f>VLOOKUP(B420,Tabela1[[#All],[ITENS PARA ORÇAMENTO]:[MEDIANA]],11,FALSE)</f>
        <v>9.99</v>
      </c>
      <c r="H420" s="395">
        <f t="shared" si="11"/>
        <v>59.94</v>
      </c>
    </row>
    <row r="421" spans="2:8">
      <c r="B421" s="565" t="s">
        <v>499</v>
      </c>
      <c r="C421" s="370"/>
      <c r="D421" s="378"/>
      <c r="E421" s="217" t="s">
        <v>601</v>
      </c>
      <c r="F421" s="394">
        <f t="shared" si="10"/>
        <v>9</v>
      </c>
      <c r="G421" s="394">
        <f>VLOOKUP(B421,Tabela1[[#All],[ITENS PARA ORÇAMENTO]:[MEDIANA]],11,FALSE)</f>
        <v>9.65</v>
      </c>
      <c r="H421" s="395">
        <f t="shared" si="11"/>
        <v>86.85</v>
      </c>
    </row>
    <row r="422" spans="2:8">
      <c r="B422" s="565" t="s">
        <v>503</v>
      </c>
      <c r="C422" s="370"/>
      <c r="D422" s="378"/>
      <c r="E422" s="217" t="s">
        <v>601</v>
      </c>
      <c r="F422" s="394">
        <f t="shared" si="10"/>
        <v>0.25</v>
      </c>
      <c r="G422" s="394">
        <f>VLOOKUP(B422,Tabela1[[#All],[ITENS PARA ORÇAMENTO]:[MEDIANA]],11,FALSE)</f>
        <v>6.66</v>
      </c>
      <c r="H422" s="395">
        <f t="shared" si="11"/>
        <v>1.66</v>
      </c>
    </row>
    <row r="423" spans="2:8">
      <c r="B423" s="565" t="s">
        <v>504</v>
      </c>
      <c r="C423" s="370"/>
      <c r="D423" s="378"/>
      <c r="E423" s="217" t="s">
        <v>601</v>
      </c>
      <c r="F423" s="394">
        <f t="shared" si="10"/>
        <v>0.16</v>
      </c>
      <c r="G423" s="394">
        <f>VLOOKUP(B423,Tabela1[[#All],[ITENS PARA ORÇAMENTO]:[MEDIANA]],11,FALSE)</f>
        <v>47.02</v>
      </c>
      <c r="H423" s="395">
        <f t="shared" si="11"/>
        <v>7.52</v>
      </c>
    </row>
    <row r="424" spans="2:8">
      <c r="B424" s="565" t="s">
        <v>590</v>
      </c>
      <c r="C424" s="370"/>
      <c r="D424" s="378"/>
      <c r="E424" s="217" t="s">
        <v>601</v>
      </c>
      <c r="F424" s="394">
        <f t="shared" si="10"/>
        <v>0.08</v>
      </c>
      <c r="G424" s="394">
        <f>VLOOKUP(B424,Tabela1[[#All],[ITENS PARA ORÇAMENTO]:[MEDIANA]],11,FALSE)</f>
        <v>1.1299999999999999</v>
      </c>
      <c r="H424" s="395">
        <f t="shared" si="11"/>
        <v>0.09</v>
      </c>
    </row>
    <row r="425" spans="2:8">
      <c r="B425" s="567" t="s">
        <v>591</v>
      </c>
      <c r="C425" s="568"/>
      <c r="D425" s="382"/>
      <c r="E425" s="396" t="s">
        <v>495</v>
      </c>
      <c r="F425" s="397">
        <f t="shared" si="10"/>
        <v>0.25</v>
      </c>
      <c r="G425" s="397">
        <f>VLOOKUP(B425,Tabela1[[#All],[ITENS PARA ORÇAMENTO]:[MEDIANA]],11,FALSE)</f>
        <v>5.83</v>
      </c>
      <c r="H425" s="398">
        <f t="shared" si="11"/>
        <v>1.45</v>
      </c>
    </row>
    <row r="426" spans="2:8" ht="15.75" thickBot="1">
      <c r="B426" s="209" t="s">
        <v>595</v>
      </c>
      <c r="C426" s="370"/>
      <c r="D426" s="370"/>
      <c r="E426" s="370"/>
      <c r="F426" s="370"/>
      <c r="G426" s="370"/>
      <c r="H426" s="370"/>
    </row>
    <row r="427" spans="2:8" ht="15.75" thickBot="1">
      <c r="B427" s="218" t="s">
        <v>614</v>
      </c>
      <c r="C427" s="562"/>
      <c r="D427" s="562"/>
      <c r="E427" s="562"/>
      <c r="F427" s="562"/>
      <c r="G427" s="562"/>
      <c r="H427" s="390">
        <f>SUM(H413:H425)</f>
        <v>673.34</v>
      </c>
    </row>
    <row r="428" spans="2:8">
      <c r="B428" s="372"/>
      <c r="C428" s="370"/>
      <c r="D428" s="370"/>
      <c r="E428" s="370"/>
      <c r="F428" s="370"/>
      <c r="G428" s="370"/>
      <c r="H428" s="809"/>
    </row>
    <row r="429" spans="2:8">
      <c r="B429" s="372" t="s">
        <v>1282</v>
      </c>
      <c r="C429" s="370"/>
      <c r="D429" s="370"/>
      <c r="E429" s="370"/>
      <c r="F429" s="370"/>
      <c r="G429" s="370"/>
      <c r="H429" s="809"/>
    </row>
    <row r="430" spans="2:8" ht="30">
      <c r="B430" s="645" t="s">
        <v>900</v>
      </c>
      <c r="C430" s="646"/>
      <c r="D430" s="648"/>
      <c r="E430" s="649" t="s">
        <v>1164</v>
      </c>
      <c r="F430" s="650" t="s">
        <v>1165</v>
      </c>
      <c r="G430" s="649" t="s">
        <v>1166</v>
      </c>
      <c r="H430" s="651" t="s">
        <v>1167</v>
      </c>
    </row>
    <row r="431" spans="2:8">
      <c r="B431" s="563" t="str">
        <f>B267</f>
        <v>Recipiente térmico para água (5L)</v>
      </c>
      <c r="C431" s="564"/>
      <c r="D431" s="564"/>
      <c r="E431" s="391" t="s">
        <v>601</v>
      </c>
      <c r="F431" s="810">
        <f>H267</f>
        <v>0.12</v>
      </c>
      <c r="G431" s="813">
        <f>VLOOKUP(B431,Tabela1[[ITENS PARA ORÇAMENTO]:[MEDIANA]],11,FALSE)</f>
        <v>29.86</v>
      </c>
      <c r="H431" s="816">
        <f>TRUNC(G431*F431,2)</f>
        <v>3.58</v>
      </c>
    </row>
    <row r="432" spans="2:8">
      <c r="B432" s="565" t="str">
        <f>B268</f>
        <v>Tela de proteção</v>
      </c>
      <c r="C432" s="370"/>
      <c r="D432" s="370"/>
      <c r="E432" s="217" t="s">
        <v>601</v>
      </c>
      <c r="F432" s="811">
        <f>H268</f>
        <v>0.17</v>
      </c>
      <c r="G432" s="814">
        <f>VLOOKUP(B432,Tabela1[[ITENS PARA ORÇAMENTO]:[MEDIANA]],11,FALSE)</f>
        <v>85.3</v>
      </c>
      <c r="H432" s="817">
        <f>TRUNC(G432*F432,2)</f>
        <v>14.5</v>
      </c>
    </row>
    <row r="433" spans="2:16">
      <c r="B433" s="565" t="str">
        <f>B269</f>
        <v>Cone de sinalização</v>
      </c>
      <c r="C433" s="370"/>
      <c r="D433" s="370"/>
      <c r="E433" s="217" t="s">
        <v>601</v>
      </c>
      <c r="F433" s="811">
        <f>H269</f>
        <v>0.09</v>
      </c>
      <c r="G433" s="814">
        <f>VLOOKUP(B433,Tabela1[[ITENS PARA ORÇAMENTO]:[MEDIANA]],11,FALSE)</f>
        <v>27.5</v>
      </c>
      <c r="H433" s="817">
        <f>TRUNC(G433*F433,2)</f>
        <v>2.4700000000000002</v>
      </c>
    </row>
    <row r="434" spans="2:16">
      <c r="B434" s="567" t="str">
        <f>B270</f>
        <v>Cavalete de sinalização</v>
      </c>
      <c r="C434" s="568"/>
      <c r="D434" s="568"/>
      <c r="E434" s="396" t="s">
        <v>601</v>
      </c>
      <c r="F434" s="812">
        <f>H270</f>
        <v>0.01</v>
      </c>
      <c r="G434" s="815">
        <f>VLOOKUP(B434,Tabela1[[ITENS PARA ORÇAMENTO]:[MEDIANA]],11,FALSE)</f>
        <v>136.625</v>
      </c>
      <c r="H434" s="818">
        <f>TRUNC(G434*F434,2)</f>
        <v>1.36</v>
      </c>
    </row>
    <row r="435" spans="2:16" ht="15.75" thickBot="1">
      <c r="B435" s="209" t="s">
        <v>595</v>
      </c>
      <c r="C435" s="370"/>
      <c r="D435" s="370"/>
      <c r="E435" s="370"/>
      <c r="F435" s="370"/>
      <c r="G435" s="370"/>
      <c r="H435" s="809"/>
    </row>
    <row r="436" spans="2:16" ht="15.75" thickBot="1">
      <c r="B436" s="218" t="s">
        <v>1174</v>
      </c>
      <c r="C436" s="562"/>
      <c r="D436" s="562"/>
      <c r="E436" s="562"/>
      <c r="F436" s="562"/>
      <c r="G436" s="562"/>
      <c r="H436" s="390">
        <f>SUM(H431:H434)</f>
        <v>21.909999999999997</v>
      </c>
    </row>
    <row r="437" spans="2:16">
      <c r="B437" s="372"/>
      <c r="C437" s="370"/>
      <c r="D437" s="370"/>
      <c r="E437" s="370"/>
      <c r="F437" s="370"/>
      <c r="G437" s="370"/>
      <c r="H437" s="809"/>
    </row>
    <row r="438" spans="2:16" ht="15.75">
      <c r="B438" s="347" t="s">
        <v>1283</v>
      </c>
    </row>
    <row r="439" spans="2:16">
      <c r="B439" s="309" t="s">
        <v>1284</v>
      </c>
      <c r="G439" s="308" t="s">
        <v>891</v>
      </c>
      <c r="H439" s="307">
        <v>25.33</v>
      </c>
      <c r="I439" s="779"/>
    </row>
    <row r="440" spans="2:16">
      <c r="P440" s="308"/>
    </row>
    <row r="441" spans="2:16">
      <c r="B441" s="307" t="s">
        <v>890</v>
      </c>
      <c r="E441" s="406">
        <v>427244.92457857216</v>
      </c>
      <c r="F441" s="307" t="s">
        <v>1195</v>
      </c>
      <c r="G441" s="819"/>
      <c r="O441" s="308" t="s">
        <v>1116</v>
      </c>
    </row>
    <row r="442" spans="2:16">
      <c r="B442" s="307" t="s">
        <v>572</v>
      </c>
      <c r="E442" s="406">
        <f>E441/12</f>
        <v>35603.743714881013</v>
      </c>
      <c r="F442" s="307" t="s">
        <v>863</v>
      </c>
    </row>
    <row r="444" spans="2:16">
      <c r="B444" s="726" t="s">
        <v>573</v>
      </c>
      <c r="C444" s="726"/>
      <c r="D444" s="726"/>
      <c r="E444" s="726">
        <v>150</v>
      </c>
      <c r="F444" s="726" t="s">
        <v>1196</v>
      </c>
      <c r="K444" s="879" t="s">
        <v>1203</v>
      </c>
    </row>
    <row r="445" spans="2:16" ht="15.75" thickBot="1"/>
    <row r="446" spans="2:16" ht="15.75" thickBot="1">
      <c r="B446" s="311" t="s">
        <v>1156</v>
      </c>
      <c r="C446" s="312"/>
      <c r="D446" s="312"/>
      <c r="E446" s="312"/>
      <c r="F446" s="312"/>
      <c r="G446" s="323">
        <f>ROUND(E442/(E444*H439),0)</f>
        <v>9</v>
      </c>
    </row>
    <row r="448" spans="2:16">
      <c r="B448" s="771" t="s">
        <v>1192</v>
      </c>
      <c r="C448" s="726"/>
      <c r="D448" s="726"/>
      <c r="E448" s="726">
        <f>ROUND(1500*0.593276,0)</f>
        <v>890</v>
      </c>
      <c r="F448" s="726" t="s">
        <v>1035</v>
      </c>
      <c r="K448" s="880" t="s">
        <v>1228</v>
      </c>
    </row>
    <row r="449" spans="2:11">
      <c r="B449" s="771" t="s">
        <v>1193</v>
      </c>
      <c r="C449" s="726"/>
      <c r="D449" s="726"/>
      <c r="E449" s="726">
        <v>3.0000000000000001E-3</v>
      </c>
      <c r="F449" s="726" t="s">
        <v>1183</v>
      </c>
      <c r="K449" s="880" t="s">
        <v>1228</v>
      </c>
    </row>
    <row r="450" spans="2:11">
      <c r="B450" s="771" t="s">
        <v>1187</v>
      </c>
      <c r="C450" s="726"/>
      <c r="D450" s="726"/>
      <c r="E450" s="726">
        <f>E449*E448</f>
        <v>2.67</v>
      </c>
      <c r="F450" s="726" t="s">
        <v>1184</v>
      </c>
      <c r="K450" s="880" t="s">
        <v>1228</v>
      </c>
    </row>
    <row r="451" spans="2:11">
      <c r="B451" s="771" t="s">
        <v>1194</v>
      </c>
      <c r="C451" s="726"/>
      <c r="D451" s="726"/>
      <c r="E451" s="773">
        <v>10.396260474648427</v>
      </c>
      <c r="F451" s="726" t="s">
        <v>1021</v>
      </c>
      <c r="K451" s="880" t="s">
        <v>1228</v>
      </c>
    </row>
    <row r="452" spans="2:11" ht="15.75" thickBot="1"/>
    <row r="453" spans="2:11" ht="15.75" thickBot="1">
      <c r="B453" s="311" t="s">
        <v>1182</v>
      </c>
      <c r="C453" s="562"/>
      <c r="D453" s="562"/>
      <c r="E453" s="312"/>
      <c r="F453" s="562"/>
      <c r="G453" s="820">
        <f>TRUNC(E451*10000*E450/1000,2)</f>
        <v>277.58</v>
      </c>
    </row>
    <row r="454" spans="2:11">
      <c r="C454" s="370"/>
      <c r="D454" s="370"/>
      <c r="F454" s="370"/>
      <c r="G454" s="309"/>
    </row>
    <row r="455" spans="2:11">
      <c r="B455" s="309" t="s">
        <v>1285</v>
      </c>
    </row>
    <row r="457" spans="2:11">
      <c r="B457" s="726" t="s">
        <v>1145</v>
      </c>
      <c r="C457" s="726"/>
      <c r="D457" s="726"/>
      <c r="E457" s="726">
        <f>1/16</f>
        <v>6.25E-2</v>
      </c>
      <c r="F457" s="726" t="s">
        <v>1150</v>
      </c>
      <c r="K457" s="879" t="s">
        <v>1203</v>
      </c>
    </row>
    <row r="458" spans="2:11">
      <c r="B458" s="726" t="s">
        <v>576</v>
      </c>
      <c r="C458" s="726"/>
      <c r="D458" s="726"/>
      <c r="E458" s="821">
        <v>0</v>
      </c>
      <c r="F458" s="726"/>
    </row>
    <row r="459" spans="2:11" ht="15.75" thickBot="1"/>
    <row r="460" spans="2:11" ht="30" customHeight="1">
      <c r="B460" s="1442" t="s">
        <v>1148</v>
      </c>
      <c r="C460" s="1443"/>
      <c r="D460" s="1444"/>
      <c r="E460" s="787">
        <f>G446</f>
        <v>9</v>
      </c>
    </row>
    <row r="461" spans="2:11">
      <c r="B461" s="311" t="s">
        <v>1140</v>
      </c>
      <c r="C461" s="312"/>
      <c r="D461" s="324"/>
      <c r="E461" s="774">
        <f>ROUNDUP(E460*E457,0)</f>
        <v>1</v>
      </c>
    </row>
    <row r="462" spans="2:11" ht="15.75" thickBot="1">
      <c r="B462" s="311" t="s">
        <v>555</v>
      </c>
      <c r="C462" s="312"/>
      <c r="D462" s="324"/>
      <c r="E462" s="416">
        <f>E460*E458</f>
        <v>0</v>
      </c>
    </row>
    <row r="463" spans="2:11" ht="15.75" thickBot="1">
      <c r="B463" s="729" t="s">
        <v>1180</v>
      </c>
      <c r="C463" s="312"/>
      <c r="D463" s="324"/>
      <c r="E463" s="788">
        <f>SUM(E460:E462)</f>
        <v>10</v>
      </c>
    </row>
    <row r="465" spans="2:11">
      <c r="B465" s="309" t="s">
        <v>1286</v>
      </c>
    </row>
    <row r="466" spans="2:11" ht="15.75" thickBot="1">
      <c r="B466" s="309" t="s">
        <v>565</v>
      </c>
    </row>
    <row r="467" spans="2:11">
      <c r="B467" s="348" t="s">
        <v>900</v>
      </c>
      <c r="C467" s="732"/>
      <c r="D467" s="732"/>
      <c r="E467" s="348" t="s">
        <v>901</v>
      </c>
      <c r="F467" s="732"/>
      <c r="G467" s="359"/>
      <c r="H467" s="733" t="s">
        <v>584</v>
      </c>
    </row>
    <row r="468" spans="2:11">
      <c r="B468" s="315" t="s">
        <v>425</v>
      </c>
      <c r="C468" s="316"/>
      <c r="D468" s="316"/>
      <c r="E468" s="735">
        <v>0.5</v>
      </c>
      <c r="F468" s="316" t="s">
        <v>1149</v>
      </c>
      <c r="G468" s="328"/>
      <c r="H468" s="342">
        <f t="shared" ref="H468:H473" si="12">ROUND($E$460*E468/12,2)</f>
        <v>0.38</v>
      </c>
      <c r="K468" s="879" t="s">
        <v>1203</v>
      </c>
    </row>
    <row r="469" spans="2:11">
      <c r="B469" s="318" t="s">
        <v>429</v>
      </c>
      <c r="E469" s="736">
        <v>3</v>
      </c>
      <c r="F469" s="307" t="s">
        <v>1149</v>
      </c>
      <c r="G469" s="331"/>
      <c r="H469" s="319">
        <f t="shared" si="12"/>
        <v>2.25</v>
      </c>
      <c r="K469" s="879" t="s">
        <v>1203</v>
      </c>
    </row>
    <row r="470" spans="2:11">
      <c r="B470" s="318" t="s">
        <v>596</v>
      </c>
      <c r="E470" s="736">
        <v>1</v>
      </c>
      <c r="F470" s="307" t="s">
        <v>1149</v>
      </c>
      <c r="G470" s="331"/>
      <c r="H470" s="319">
        <f t="shared" si="12"/>
        <v>0.75</v>
      </c>
      <c r="K470" s="879" t="s">
        <v>1203</v>
      </c>
    </row>
    <row r="471" spans="2:11">
      <c r="B471" s="318" t="s">
        <v>597</v>
      </c>
      <c r="E471" s="736">
        <v>1</v>
      </c>
      <c r="F471" s="307" t="s">
        <v>1149</v>
      </c>
      <c r="G471" s="331"/>
      <c r="H471" s="319">
        <f t="shared" si="12"/>
        <v>0.75</v>
      </c>
      <c r="K471" s="879" t="s">
        <v>1203</v>
      </c>
    </row>
    <row r="472" spans="2:11">
      <c r="B472" s="318" t="s">
        <v>423</v>
      </c>
      <c r="E472" s="736">
        <v>3</v>
      </c>
      <c r="F472" s="307" t="s">
        <v>1149</v>
      </c>
      <c r="G472" s="331"/>
      <c r="H472" s="319">
        <f t="shared" si="12"/>
        <v>2.25</v>
      </c>
      <c r="K472" s="879" t="s">
        <v>1203</v>
      </c>
    </row>
    <row r="473" spans="2:11" ht="15.75" thickBot="1">
      <c r="B473" s="320" t="s">
        <v>427</v>
      </c>
      <c r="C473" s="321"/>
      <c r="D473" s="321"/>
      <c r="E473" s="737">
        <v>3</v>
      </c>
      <c r="F473" s="321" t="s">
        <v>1149</v>
      </c>
      <c r="G473" s="334"/>
      <c r="H473" s="335">
        <f t="shared" si="12"/>
        <v>2.25</v>
      </c>
      <c r="K473" s="879" t="s">
        <v>1203</v>
      </c>
    </row>
    <row r="474" spans="2:11">
      <c r="B474" s="337" t="s">
        <v>595</v>
      </c>
    </row>
    <row r="475" spans="2:11">
      <c r="B475" s="337"/>
    </row>
    <row r="476" spans="2:11" ht="15.75" thickBot="1">
      <c r="B476" s="309" t="s">
        <v>547</v>
      </c>
    </row>
    <row r="477" spans="2:11">
      <c r="B477" s="348" t="s">
        <v>900</v>
      </c>
      <c r="C477" s="732"/>
      <c r="D477" s="732"/>
      <c r="E477" s="348" t="s">
        <v>901</v>
      </c>
      <c r="F477" s="732"/>
      <c r="G477" s="747" t="s">
        <v>1163</v>
      </c>
      <c r="H477" s="733" t="s">
        <v>384</v>
      </c>
    </row>
    <row r="478" spans="2:11" ht="15.75" thickBot="1">
      <c r="B478" s="311"/>
      <c r="C478" s="312"/>
      <c r="D478" s="312"/>
      <c r="E478" s="825"/>
      <c r="F478" s="312"/>
      <c r="G478" s="407"/>
      <c r="H478" s="408"/>
    </row>
    <row r="479" spans="2:11">
      <c r="B479" s="337" t="s">
        <v>595</v>
      </c>
    </row>
    <row r="481" spans="2:11" ht="15.75" thickBot="1">
      <c r="B481" s="309" t="s">
        <v>442</v>
      </c>
    </row>
    <row r="482" spans="2:11">
      <c r="B482" s="348" t="s">
        <v>900</v>
      </c>
      <c r="C482" s="732"/>
      <c r="D482" s="732"/>
      <c r="E482" s="348" t="s">
        <v>901</v>
      </c>
      <c r="F482" s="732"/>
      <c r="G482" s="359"/>
      <c r="H482" s="733" t="s">
        <v>584</v>
      </c>
    </row>
    <row r="483" spans="2:11">
      <c r="B483" s="315" t="s">
        <v>566</v>
      </c>
      <c r="C483" s="316"/>
      <c r="D483" s="316"/>
      <c r="E483" s="738">
        <v>1</v>
      </c>
      <c r="F483" s="340" t="s">
        <v>701</v>
      </c>
      <c r="H483" s="409">
        <f t="shared" ref="H483:H491" si="13">TRUNC(E483*$E$463/12,2)</f>
        <v>0.83</v>
      </c>
      <c r="K483" s="879" t="s">
        <v>1222</v>
      </c>
    </row>
    <row r="484" spans="2:11">
      <c r="B484" s="318" t="s">
        <v>492</v>
      </c>
      <c r="E484" s="739">
        <v>3</v>
      </c>
      <c r="F484" s="343" t="s">
        <v>701</v>
      </c>
      <c r="H484" s="410">
        <f t="shared" si="13"/>
        <v>2.5</v>
      </c>
      <c r="K484" s="879" t="s">
        <v>1201</v>
      </c>
    </row>
    <row r="485" spans="2:11" ht="25.5" customHeight="1">
      <c r="B485" s="1445" t="s">
        <v>493</v>
      </c>
      <c r="C485" s="1446"/>
      <c r="D485" s="1447"/>
      <c r="E485" s="748">
        <v>3</v>
      </c>
      <c r="F485" s="381" t="s">
        <v>701</v>
      </c>
      <c r="G485" s="370"/>
      <c r="H485" s="826">
        <f t="shared" si="13"/>
        <v>2.5</v>
      </c>
      <c r="K485" s="879" t="s">
        <v>1201</v>
      </c>
    </row>
    <row r="486" spans="2:11">
      <c r="B486" s="318" t="s">
        <v>494</v>
      </c>
      <c r="E486" s="739">
        <v>2</v>
      </c>
      <c r="F486" s="343" t="s">
        <v>701</v>
      </c>
      <c r="H486" s="410">
        <f t="shared" si="13"/>
        <v>1.66</v>
      </c>
      <c r="K486" s="879" t="s">
        <v>1201</v>
      </c>
    </row>
    <row r="487" spans="2:11" ht="27" customHeight="1">
      <c r="B487" s="1449" t="s">
        <v>502</v>
      </c>
      <c r="C487" s="1450"/>
      <c r="D487" s="1451"/>
      <c r="E487" s="748">
        <v>3</v>
      </c>
      <c r="F487" s="381" t="s">
        <v>702</v>
      </c>
      <c r="G487" s="370"/>
      <c r="H487" s="826">
        <f t="shared" si="13"/>
        <v>2.5</v>
      </c>
      <c r="K487" s="879" t="s">
        <v>1201</v>
      </c>
    </row>
    <row r="488" spans="2:11">
      <c r="B488" s="318" t="s">
        <v>496</v>
      </c>
      <c r="E488" s="739">
        <v>2</v>
      </c>
      <c r="F488" s="343" t="s">
        <v>701</v>
      </c>
      <c r="H488" s="410">
        <f t="shared" si="13"/>
        <v>1.66</v>
      </c>
      <c r="K488" s="879" t="s">
        <v>1201</v>
      </c>
    </row>
    <row r="489" spans="2:11">
      <c r="B489" s="318" t="s">
        <v>497</v>
      </c>
      <c r="E489" s="739">
        <v>2</v>
      </c>
      <c r="F489" s="343" t="s">
        <v>701</v>
      </c>
      <c r="H489" s="410">
        <f t="shared" si="13"/>
        <v>1.66</v>
      </c>
      <c r="K489" s="880" t="s">
        <v>1223</v>
      </c>
    </row>
    <row r="490" spans="2:11">
      <c r="B490" s="318" t="s">
        <v>498</v>
      </c>
      <c r="E490" s="739">
        <v>8</v>
      </c>
      <c r="F490" s="343" t="s">
        <v>702</v>
      </c>
      <c r="H490" s="410">
        <f t="shared" si="13"/>
        <v>6.66</v>
      </c>
      <c r="K490" s="879" t="s">
        <v>1201</v>
      </c>
    </row>
    <row r="491" spans="2:11" ht="15.75" thickBot="1">
      <c r="B491" s="320" t="s">
        <v>499</v>
      </c>
      <c r="C491" s="321"/>
      <c r="D491" s="321"/>
      <c r="E491" s="740">
        <v>12</v>
      </c>
      <c r="F491" s="346" t="s">
        <v>701</v>
      </c>
      <c r="G491" s="321"/>
      <c r="H491" s="411">
        <f t="shared" si="13"/>
        <v>10</v>
      </c>
      <c r="K491" s="880" t="s">
        <v>1223</v>
      </c>
    </row>
    <row r="492" spans="2:11">
      <c r="B492" s="336" t="s">
        <v>595</v>
      </c>
    </row>
    <row r="493" spans="2:11">
      <c r="B493" s="337"/>
    </row>
    <row r="494" spans="2:11" ht="15.75" thickBot="1">
      <c r="B494" s="309" t="s">
        <v>1161</v>
      </c>
    </row>
    <row r="495" spans="2:11">
      <c r="B495" s="348" t="s">
        <v>900</v>
      </c>
      <c r="C495" s="732"/>
      <c r="D495" s="732"/>
      <c r="E495" s="348" t="s">
        <v>901</v>
      </c>
      <c r="F495" s="732"/>
      <c r="G495" s="359"/>
      <c r="H495" s="733" t="s">
        <v>584</v>
      </c>
    </row>
    <row r="496" spans="2:11">
      <c r="B496" s="311" t="s">
        <v>604</v>
      </c>
      <c r="C496" s="312"/>
      <c r="D496" s="312"/>
      <c r="E496" s="734">
        <v>0.16700000000000001</v>
      </c>
      <c r="F496" s="823" t="s">
        <v>701</v>
      </c>
      <c r="G496" s="312"/>
      <c r="H496" s="824">
        <f>TRUNC(E496*$E$463/12,2)</f>
        <v>0.13</v>
      </c>
      <c r="K496" s="879" t="s">
        <v>1203</v>
      </c>
    </row>
    <row r="497" spans="2:8">
      <c r="B497" s="336" t="s">
        <v>595</v>
      </c>
    </row>
    <row r="499" spans="2:8" ht="15.75">
      <c r="B499" s="347" t="s">
        <v>1287</v>
      </c>
    </row>
    <row r="500" spans="2:8">
      <c r="B500" s="309" t="s">
        <v>1288</v>
      </c>
    </row>
    <row r="501" spans="2:8" ht="15.75" thickBot="1">
      <c r="B501" s="309" t="s">
        <v>1289</v>
      </c>
    </row>
    <row r="502" spans="2:8">
      <c r="B502" s="655" t="s">
        <v>1128</v>
      </c>
      <c r="C502" s="656"/>
      <c r="D502" s="656"/>
      <c r="E502" s="656"/>
      <c r="F502" s="656"/>
      <c r="G502" s="657"/>
      <c r="H502" s="658">
        <f>H518+H520+H524+H526</f>
        <v>3271.46</v>
      </c>
    </row>
    <row r="503" spans="2:8">
      <c r="B503" s="659" t="str">
        <f>CONCATENATE("Salário - ",B502)</f>
        <v>Salário - Agente de limpeza pública e serviços gerais</v>
      </c>
      <c r="C503" s="660"/>
      <c r="D503" s="661"/>
      <c r="E503" s="662" t="s">
        <v>466</v>
      </c>
      <c r="F503" s="662">
        <v>1</v>
      </c>
      <c r="G503" s="626">
        <f>VLOOKUP(B503,Tabela3[[#All],[descrição]:[fonte]],4,FALSE)</f>
        <v>1115.69</v>
      </c>
      <c r="H503" s="663">
        <f>TRUNC(F503*G503,2)</f>
        <v>1115.69</v>
      </c>
    </row>
    <row r="504" spans="2:8">
      <c r="B504" s="664" t="s">
        <v>855</v>
      </c>
      <c r="C504" s="665"/>
      <c r="D504" s="665"/>
      <c r="E504" s="666" t="s">
        <v>466</v>
      </c>
      <c r="F504" s="666">
        <v>1</v>
      </c>
      <c r="G504" s="626">
        <f>VLOOKUP(B504,Tabela3[[#All],[descrição]:[fonte]],4,FALSE)</f>
        <v>1045</v>
      </c>
      <c r="H504" s="667"/>
    </row>
    <row r="505" spans="2:8">
      <c r="B505" s="664" t="s">
        <v>468</v>
      </c>
      <c r="C505" s="665"/>
      <c r="D505" s="665"/>
      <c r="E505" s="666" t="s">
        <v>469</v>
      </c>
      <c r="F505" s="668"/>
      <c r="G505" s="669"/>
      <c r="H505" s="670"/>
    </row>
    <row r="506" spans="2:8">
      <c r="B506" s="664"/>
      <c r="C506" s="665"/>
      <c r="D506" s="665"/>
      <c r="E506" s="666" t="s">
        <v>470</v>
      </c>
      <c r="F506" s="626">
        <f>F505*8/7</f>
        <v>0</v>
      </c>
      <c r="G506" s="671">
        <f>G503/220*0.2</f>
        <v>1.0142636363636366</v>
      </c>
      <c r="H506" s="667">
        <f>TRUNC(F506*G506,2)</f>
        <v>0</v>
      </c>
    </row>
    <row r="507" spans="2:8">
      <c r="B507" s="664" t="s">
        <v>471</v>
      </c>
      <c r="C507" s="665"/>
      <c r="D507" s="665"/>
      <c r="E507" s="666" t="s">
        <v>472</v>
      </c>
      <c r="F507" s="668"/>
      <c r="G507" s="626">
        <f>G503/220*2</f>
        <v>10.142636363636365</v>
      </c>
      <c r="H507" s="667">
        <f>TRUNC(F507*G507,2)</f>
        <v>0</v>
      </c>
    </row>
    <row r="508" spans="2:8">
      <c r="B508" s="664" t="s">
        <v>473</v>
      </c>
      <c r="C508" s="665"/>
      <c r="D508" s="665"/>
      <c r="E508" s="666" t="s">
        <v>469</v>
      </c>
      <c r="F508" s="668"/>
      <c r="G508" s="626"/>
      <c r="H508" s="667"/>
    </row>
    <row r="509" spans="2:8">
      <c r="B509" s="664"/>
      <c r="C509" s="665"/>
      <c r="D509" s="665"/>
      <c r="E509" s="666" t="s">
        <v>470</v>
      </c>
      <c r="F509" s="626">
        <f>F508*8/7</f>
        <v>0</v>
      </c>
      <c r="G509" s="626">
        <f>G503/220*2*1.2</f>
        <v>12.171163636363637</v>
      </c>
      <c r="H509" s="667">
        <f>TRUNC(F509*G509,2)</f>
        <v>0</v>
      </c>
    </row>
    <row r="510" spans="2:8">
      <c r="B510" s="664" t="s">
        <v>474</v>
      </c>
      <c r="C510" s="665"/>
      <c r="D510" s="665"/>
      <c r="E510" s="666" t="s">
        <v>472</v>
      </c>
      <c r="F510" s="668"/>
      <c r="G510" s="626">
        <f>G503/220*1.5</f>
        <v>7.6069772727272742</v>
      </c>
      <c r="H510" s="667">
        <f>TRUNC(F510*G510,2)</f>
        <v>0</v>
      </c>
    </row>
    <row r="511" spans="2:8">
      <c r="B511" s="664" t="s">
        <v>475</v>
      </c>
      <c r="C511" s="665"/>
      <c r="D511" s="665"/>
      <c r="E511" s="666" t="s">
        <v>469</v>
      </c>
      <c r="F511" s="668"/>
      <c r="G511" s="626"/>
      <c r="H511" s="667"/>
    </row>
    <row r="512" spans="2:8">
      <c r="B512" s="664"/>
      <c r="C512" s="665"/>
      <c r="D512" s="665"/>
      <c r="E512" s="666" t="s">
        <v>470</v>
      </c>
      <c r="F512" s="626">
        <f>F511*8/7</f>
        <v>0</v>
      </c>
      <c r="G512" s="626">
        <f>G503/220*1.5*1.2</f>
        <v>9.128372727272728</v>
      </c>
      <c r="H512" s="667">
        <f>TRUNC(F512*G512,2)</f>
        <v>0</v>
      </c>
    </row>
    <row r="513" spans="2:8">
      <c r="B513" s="664" t="s">
        <v>476</v>
      </c>
      <c r="C513" s="665"/>
      <c r="D513" s="665"/>
      <c r="E513" s="666" t="s">
        <v>477</v>
      </c>
      <c r="F513" s="669"/>
      <c r="G513" s="626">
        <f>TRUNC(((52+9)/304)*(SUM(H507:H512)),2)</f>
        <v>0</v>
      </c>
      <c r="H513" s="667">
        <f>G513</f>
        <v>0</v>
      </c>
    </row>
    <row r="514" spans="2:8">
      <c r="B514" s="664" t="s">
        <v>478</v>
      </c>
      <c r="C514" s="665"/>
      <c r="D514" s="665"/>
      <c r="E514" s="666"/>
      <c r="F514" s="672">
        <v>1</v>
      </c>
      <c r="G514" s="626"/>
      <c r="H514" s="667"/>
    </row>
    <row r="515" spans="2:8">
      <c r="B515" s="664" t="s">
        <v>479</v>
      </c>
      <c r="C515" s="665"/>
      <c r="D515" s="665"/>
      <c r="E515" s="666" t="s">
        <v>480</v>
      </c>
      <c r="F515" s="673">
        <f>VLOOKUP(B503,Tabela3[[#All],[descrição]:[fonte]],3,FALSE)</f>
        <v>40</v>
      </c>
      <c r="G515" s="626">
        <f>IF(F514=2,SUM(H503:H513),IF(F514=1,SUM(H503:H513)*G504/G503,0))</f>
        <v>1045</v>
      </c>
      <c r="H515" s="667">
        <f>TRUNC(F515*G515/100,2)</f>
        <v>418</v>
      </c>
    </row>
    <row r="516" spans="2:8">
      <c r="B516" s="674" t="s">
        <v>481</v>
      </c>
      <c r="C516" s="665"/>
      <c r="D516" s="665"/>
      <c r="E516" s="675"/>
      <c r="F516" s="675"/>
      <c r="G516" s="676"/>
      <c r="H516" s="677">
        <f>SUM(H503:H515)</f>
        <v>1533.69</v>
      </c>
    </row>
    <row r="517" spans="2:8">
      <c r="B517" s="678" t="s">
        <v>482</v>
      </c>
      <c r="C517" s="679"/>
      <c r="D517" s="680"/>
      <c r="E517" s="681" t="s">
        <v>480</v>
      </c>
      <c r="F517" s="682">
        <f>VLOOKUP(B517,Tabela3[[#All],[descrição]:[fonte]],4,FALSE)</f>
        <v>70.489999999999995</v>
      </c>
      <c r="G517" s="682">
        <f>H516</f>
        <v>1533.69</v>
      </c>
      <c r="H517" s="683">
        <f>TRUNC(G517*F517/100,2)</f>
        <v>1081.0899999999999</v>
      </c>
    </row>
    <row r="518" spans="2:8">
      <c r="B518" s="684" t="s">
        <v>861</v>
      </c>
      <c r="C518" s="665"/>
      <c r="D518" s="665"/>
      <c r="E518" s="685"/>
      <c r="F518" s="685"/>
      <c r="G518" s="686"/>
      <c r="H518" s="687">
        <f>TRUNC(H516+H517,2)</f>
        <v>2614.7800000000002</v>
      </c>
    </row>
    <row r="519" spans="2:8">
      <c r="B519" s="688" t="s">
        <v>483</v>
      </c>
      <c r="C519" s="336"/>
      <c r="D519" s="336"/>
      <c r="E519" s="336"/>
      <c r="F519" s="336"/>
      <c r="G519" s="336"/>
      <c r="H519" s="689"/>
    </row>
    <row r="520" spans="2:8">
      <c r="B520" s="690" t="s">
        <v>860</v>
      </c>
      <c r="C520" s="691"/>
      <c r="D520" s="692"/>
      <c r="E520" s="693" t="s">
        <v>484</v>
      </c>
      <c r="F520" s="694">
        <v>1</v>
      </c>
      <c r="G520" s="694">
        <f>H523</f>
        <v>132.72</v>
      </c>
      <c r="H520" s="695">
        <f>TRUNC(G520*F520,2)</f>
        <v>132.72</v>
      </c>
    </row>
    <row r="521" spans="2:8">
      <c r="B521" s="664" t="s">
        <v>485</v>
      </c>
      <c r="C521" s="665"/>
      <c r="D521" s="665"/>
      <c r="E521" s="666" t="s">
        <v>477</v>
      </c>
      <c r="F521" s="626">
        <v>1</v>
      </c>
      <c r="G521" s="626">
        <f>VLOOKUP(B521,Tabela3[[#All],[descrição]:[fonte]],4,FALSE)</f>
        <v>3.95</v>
      </c>
      <c r="H521" s="667"/>
    </row>
    <row r="522" spans="2:8">
      <c r="B522" s="664" t="s">
        <v>486</v>
      </c>
      <c r="C522" s="665"/>
      <c r="D522" s="665"/>
      <c r="E522" s="666" t="s">
        <v>487</v>
      </c>
      <c r="F522" s="626">
        <f>$H$439</f>
        <v>25.33</v>
      </c>
      <c r="G522" s="626"/>
      <c r="H522" s="667"/>
    </row>
    <row r="523" spans="2:8" ht="21.75" customHeight="1">
      <c r="B523" s="1452" t="str">
        <f>CONCATENATE("Vale Transporte - ",B502)</f>
        <v>Vale Transporte - Agente de limpeza pública e serviços gerais</v>
      </c>
      <c r="C523" s="1453"/>
      <c r="D523" s="1454"/>
      <c r="E523" s="697" t="s">
        <v>488</v>
      </c>
      <c r="F523" s="698">
        <f>F522*2*1</f>
        <v>50.66</v>
      </c>
      <c r="G523" s="698">
        <f>IF(TRUNC(IFERROR(((G521)-((G503*0.06)/(F522*2))),"-"),2)&lt;=0,0,TRUNC(IFERROR(((G521)-((G503*0.06)/(F522*2))),"-"),2))</f>
        <v>2.62</v>
      </c>
      <c r="H523" s="699">
        <f>TRUNC(IFERROR(F523*G523,"-"),2)</f>
        <v>132.72</v>
      </c>
    </row>
    <row r="524" spans="2:8">
      <c r="B524" s="690" t="s">
        <v>859</v>
      </c>
      <c r="C524" s="691"/>
      <c r="D524" s="692"/>
      <c r="E524" s="693" t="s">
        <v>484</v>
      </c>
      <c r="F524" s="694">
        <v>1</v>
      </c>
      <c r="G524" s="694">
        <f>H525</f>
        <v>303.95999999999998</v>
      </c>
      <c r="H524" s="695">
        <f>G524*F524</f>
        <v>303.95999999999998</v>
      </c>
    </row>
    <row r="525" spans="2:8">
      <c r="B525" s="700" t="s">
        <v>489</v>
      </c>
      <c r="C525" s="701"/>
      <c r="D525" s="702"/>
      <c r="E525" s="703" t="s">
        <v>490</v>
      </c>
      <c r="F525" s="694">
        <f>F522</f>
        <v>25.33</v>
      </c>
      <c r="G525" s="694">
        <f>VLOOKUP(B525,Tabela3[[#All],[descrição]:[fonte]],4,FALSE)</f>
        <v>12</v>
      </c>
      <c r="H525" s="704">
        <f>TRUNC(F525*G525,2)</f>
        <v>303.95999999999998</v>
      </c>
    </row>
    <row r="526" spans="2:8">
      <c r="B526" s="705" t="s">
        <v>491</v>
      </c>
      <c r="C526" s="706"/>
      <c r="D526" s="707"/>
      <c r="E526" s="675" t="s">
        <v>484</v>
      </c>
      <c r="F526" s="626">
        <v>1</v>
      </c>
      <c r="G526" s="626">
        <f>VLOOKUP(B526,Tabela3[[#All],[descrição]:[fonte]],4,FALSE)</f>
        <v>220</v>
      </c>
      <c r="H526" s="677">
        <f>G526*F526</f>
        <v>220</v>
      </c>
    </row>
    <row r="527" spans="2:8">
      <c r="B527" s="708" t="s">
        <v>384</v>
      </c>
      <c r="C527" s="709"/>
      <c r="D527" s="709"/>
      <c r="E527" s="709"/>
      <c r="F527" s="709"/>
      <c r="G527" s="709"/>
      <c r="H527" s="725">
        <f>E460</f>
        <v>9</v>
      </c>
    </row>
    <row r="528" spans="2:8" ht="15.75" thickBot="1">
      <c r="B528" s="710" t="s">
        <v>854</v>
      </c>
      <c r="C528" s="711"/>
      <c r="D528" s="711"/>
      <c r="E528" s="711"/>
      <c r="F528" s="711"/>
      <c r="G528" s="711"/>
      <c r="H528" s="712">
        <f>H527*H502</f>
        <v>29443.14</v>
      </c>
    </row>
    <row r="530" spans="2:8" ht="15.75" thickBot="1">
      <c r="B530" s="713" t="s">
        <v>1290</v>
      </c>
    </row>
    <row r="531" spans="2:8">
      <c r="B531" s="655" t="s">
        <v>1132</v>
      </c>
      <c r="C531" s="656"/>
      <c r="D531" s="656"/>
      <c r="E531" s="656"/>
      <c r="F531" s="656"/>
      <c r="G531" s="657"/>
      <c r="H531" s="658">
        <f>H547+H549+H553+H555</f>
        <v>3490.1499999999996</v>
      </c>
    </row>
    <row r="532" spans="2:8">
      <c r="B532" s="587" t="str">
        <f>CONCATENATE("Salário - ",B531)</f>
        <v>Salário - Encarregado de equipe</v>
      </c>
      <c r="C532" s="660"/>
      <c r="D532" s="661"/>
      <c r="E532" s="662" t="s">
        <v>466</v>
      </c>
      <c r="F532" s="662">
        <v>1</v>
      </c>
      <c r="G532" s="626">
        <f>VLOOKUP(B532,Tabela3[[#All],[descrição]:[fonte]],4,FALSE)</f>
        <v>1465.14</v>
      </c>
      <c r="H532" s="663">
        <f>TRUNC(F532*G532,2)</f>
        <v>1465.14</v>
      </c>
    </row>
    <row r="533" spans="2:8">
      <c r="B533" s="664" t="s">
        <v>855</v>
      </c>
      <c r="C533" s="665"/>
      <c r="D533" s="665"/>
      <c r="E533" s="666" t="s">
        <v>466</v>
      </c>
      <c r="F533" s="666">
        <v>1</v>
      </c>
      <c r="G533" s="626">
        <f>VLOOKUP(B533,Tabela3[[#All],[descrição]:[fonte]],4,FALSE)</f>
        <v>1045</v>
      </c>
      <c r="H533" s="667"/>
    </row>
    <row r="534" spans="2:8">
      <c r="B534" s="664" t="s">
        <v>468</v>
      </c>
      <c r="C534" s="665"/>
      <c r="D534" s="665"/>
      <c r="E534" s="666" t="s">
        <v>469</v>
      </c>
      <c r="F534" s="668"/>
      <c r="G534" s="669"/>
      <c r="H534" s="670"/>
    </row>
    <row r="535" spans="2:8">
      <c r="B535" s="664"/>
      <c r="C535" s="665"/>
      <c r="D535" s="665"/>
      <c r="E535" s="666" t="s">
        <v>470</v>
      </c>
      <c r="F535" s="626">
        <f>F534*8/7</f>
        <v>0</v>
      </c>
      <c r="G535" s="671">
        <f>G532/220*0.2</f>
        <v>1.3319454545454548</v>
      </c>
      <c r="H535" s="667">
        <f>TRUNC(F535*G535,2)</f>
        <v>0</v>
      </c>
    </row>
    <row r="536" spans="2:8">
      <c r="B536" s="664" t="s">
        <v>471</v>
      </c>
      <c r="C536" s="665"/>
      <c r="D536" s="665"/>
      <c r="E536" s="666" t="s">
        <v>472</v>
      </c>
      <c r="F536" s="668"/>
      <c r="G536" s="626">
        <f>G532/220*2</f>
        <v>13.319454545454546</v>
      </c>
      <c r="H536" s="667">
        <f>TRUNC(F536*G536,2)</f>
        <v>0</v>
      </c>
    </row>
    <row r="537" spans="2:8">
      <c r="B537" s="664" t="s">
        <v>473</v>
      </c>
      <c r="C537" s="665"/>
      <c r="D537" s="665"/>
      <c r="E537" s="666" t="s">
        <v>469</v>
      </c>
      <c r="F537" s="668"/>
      <c r="G537" s="626"/>
      <c r="H537" s="667"/>
    </row>
    <row r="538" spans="2:8">
      <c r="B538" s="664"/>
      <c r="C538" s="665"/>
      <c r="D538" s="665"/>
      <c r="E538" s="666" t="s">
        <v>470</v>
      </c>
      <c r="F538" s="626">
        <f>F537*8/7</f>
        <v>0</v>
      </c>
      <c r="G538" s="626">
        <f>G532/220*2*1.2</f>
        <v>15.983345454545454</v>
      </c>
      <c r="H538" s="667">
        <f>TRUNC(F538*G538,2)</f>
        <v>0</v>
      </c>
    </row>
    <row r="539" spans="2:8">
      <c r="B539" s="664" t="s">
        <v>474</v>
      </c>
      <c r="C539" s="665"/>
      <c r="D539" s="665"/>
      <c r="E539" s="666" t="s">
        <v>472</v>
      </c>
      <c r="F539" s="668"/>
      <c r="G539" s="626">
        <f>G532/220*1.5</f>
        <v>9.989590909090909</v>
      </c>
      <c r="H539" s="667">
        <f>TRUNC(F539*G539,2)</f>
        <v>0</v>
      </c>
    </row>
    <row r="540" spans="2:8">
      <c r="B540" s="664" t="s">
        <v>475</v>
      </c>
      <c r="C540" s="665"/>
      <c r="D540" s="665"/>
      <c r="E540" s="666" t="s">
        <v>469</v>
      </c>
      <c r="F540" s="668"/>
      <c r="G540" s="626"/>
      <c r="H540" s="667"/>
    </row>
    <row r="541" spans="2:8">
      <c r="B541" s="664"/>
      <c r="C541" s="665"/>
      <c r="D541" s="665"/>
      <c r="E541" s="666" t="s">
        <v>470</v>
      </c>
      <c r="F541" s="626">
        <f>F540*8/7</f>
        <v>0</v>
      </c>
      <c r="G541" s="626">
        <f>G532/220*1.5*1.2</f>
        <v>11.987509090909091</v>
      </c>
      <c r="H541" s="667">
        <f>TRUNC(F541*G541,2)</f>
        <v>0</v>
      </c>
    </row>
    <row r="542" spans="2:8">
      <c r="B542" s="664" t="s">
        <v>476</v>
      </c>
      <c r="C542" s="665"/>
      <c r="D542" s="665"/>
      <c r="E542" s="666" t="s">
        <v>477</v>
      </c>
      <c r="F542" s="669"/>
      <c r="G542" s="626">
        <f>TRUNC(((52+9)/304)*(SUM(H536:H541)),2)</f>
        <v>0</v>
      </c>
      <c r="H542" s="667">
        <f>G542</f>
        <v>0</v>
      </c>
    </row>
    <row r="543" spans="2:8">
      <c r="B543" s="664" t="s">
        <v>478</v>
      </c>
      <c r="C543" s="665"/>
      <c r="D543" s="665"/>
      <c r="E543" s="666"/>
      <c r="F543" s="672">
        <v>1</v>
      </c>
      <c r="G543" s="626"/>
      <c r="H543" s="667"/>
    </row>
    <row r="544" spans="2:8">
      <c r="B544" s="664" t="s">
        <v>479</v>
      </c>
      <c r="C544" s="665"/>
      <c r="D544" s="665"/>
      <c r="E544" s="666" t="s">
        <v>480</v>
      </c>
      <c r="F544" s="673">
        <f>VLOOKUP(B532,Tabela3[[#All],[descrição]:[fonte]],3,FALSE)</f>
        <v>20</v>
      </c>
      <c r="G544" s="626">
        <f>IF(F543=2,SUM(H532:H542),IF(F543=1,SUM(H532:H542)*G533/G532,0))</f>
        <v>1045</v>
      </c>
      <c r="H544" s="667">
        <f>TRUNC(F544*G544/100,2)</f>
        <v>209</v>
      </c>
    </row>
    <row r="545" spans="2:8">
      <c r="B545" s="674" t="s">
        <v>481</v>
      </c>
      <c r="C545" s="665"/>
      <c r="D545" s="665"/>
      <c r="E545" s="675"/>
      <c r="F545" s="675"/>
      <c r="G545" s="676"/>
      <c r="H545" s="677">
        <f>SUM(H532:H544)</f>
        <v>1674.14</v>
      </c>
    </row>
    <row r="546" spans="2:8">
      <c r="B546" s="678" t="s">
        <v>482</v>
      </c>
      <c r="C546" s="679"/>
      <c r="D546" s="680"/>
      <c r="E546" s="681" t="s">
        <v>480</v>
      </c>
      <c r="F546" s="682">
        <f>VLOOKUP(B546,Tabela3[[#All],[descrição]:[fonte]],4,FALSE)</f>
        <v>70.489999999999995</v>
      </c>
      <c r="G546" s="682">
        <f>H545</f>
        <v>1674.14</v>
      </c>
      <c r="H546" s="683">
        <f>TRUNC(G546*F546/100,2)</f>
        <v>1180.0999999999999</v>
      </c>
    </row>
    <row r="547" spans="2:8">
      <c r="B547" s="684" t="s">
        <v>861</v>
      </c>
      <c r="C547" s="665"/>
      <c r="D547" s="665"/>
      <c r="E547" s="685"/>
      <c r="F547" s="685"/>
      <c r="G547" s="686"/>
      <c r="H547" s="687">
        <f>TRUNC(H545+H546,2)</f>
        <v>2854.24</v>
      </c>
    </row>
    <row r="548" spans="2:8">
      <c r="B548" s="688" t="s">
        <v>483</v>
      </c>
      <c r="C548" s="336"/>
      <c r="D548" s="336"/>
      <c r="E548" s="336"/>
      <c r="F548" s="336"/>
      <c r="G548" s="336"/>
      <c r="H548" s="689"/>
    </row>
    <row r="549" spans="2:8">
      <c r="B549" s="690" t="s">
        <v>860</v>
      </c>
      <c r="C549" s="691"/>
      <c r="D549" s="692"/>
      <c r="E549" s="693" t="s">
        <v>484</v>
      </c>
      <c r="F549" s="694">
        <v>1</v>
      </c>
      <c r="G549" s="694">
        <f>H552</f>
        <v>111.95</v>
      </c>
      <c r="H549" s="695">
        <f>TRUNC(G549*F549,2)</f>
        <v>111.95</v>
      </c>
    </row>
    <row r="550" spans="2:8">
      <c r="B550" s="664" t="s">
        <v>485</v>
      </c>
      <c r="C550" s="665"/>
      <c r="D550" s="665"/>
      <c r="E550" s="666" t="s">
        <v>477</v>
      </c>
      <c r="F550" s="626">
        <v>1</v>
      </c>
      <c r="G550" s="626">
        <f>VLOOKUP(B550,Tabela3[[#All],[descrição]:[fonte]],4,FALSE)</f>
        <v>3.95</v>
      </c>
      <c r="H550" s="667"/>
    </row>
    <row r="551" spans="2:8">
      <c r="B551" s="664" t="s">
        <v>486</v>
      </c>
      <c r="C551" s="665"/>
      <c r="D551" s="665"/>
      <c r="E551" s="666" t="s">
        <v>487</v>
      </c>
      <c r="F551" s="626">
        <f>$H$439</f>
        <v>25.33</v>
      </c>
      <c r="G551" s="626"/>
      <c r="H551" s="667"/>
    </row>
    <row r="552" spans="2:8">
      <c r="B552" s="696" t="str">
        <f>CONCATENATE("Vale Transporte - ",B531)</f>
        <v>Vale Transporte - Encarregado de equipe</v>
      </c>
      <c r="C552" s="665"/>
      <c r="D552" s="665"/>
      <c r="E552" s="697" t="s">
        <v>488</v>
      </c>
      <c r="F552" s="698">
        <f>F551*2*1</f>
        <v>50.66</v>
      </c>
      <c r="G552" s="698">
        <f>IF(TRUNC(IFERROR(((G550)-((G532*0.06)/(F551*2))),"-"),2)&lt;=0,0,TRUNC(IFERROR(((G550)-((G532*0.06)/(F551*2))),"-"),2))</f>
        <v>2.21</v>
      </c>
      <c r="H552" s="699">
        <f>TRUNC(IFERROR(F552*G552,"-"),2)</f>
        <v>111.95</v>
      </c>
    </row>
    <row r="553" spans="2:8">
      <c r="B553" s="690" t="s">
        <v>859</v>
      </c>
      <c r="C553" s="691"/>
      <c r="D553" s="692"/>
      <c r="E553" s="693" t="s">
        <v>484</v>
      </c>
      <c r="F553" s="694">
        <v>1</v>
      </c>
      <c r="G553" s="694">
        <f>H554</f>
        <v>303.95999999999998</v>
      </c>
      <c r="H553" s="695">
        <f>G553*F553</f>
        <v>303.95999999999998</v>
      </c>
    </row>
    <row r="554" spans="2:8">
      <c r="B554" s="700" t="s">
        <v>489</v>
      </c>
      <c r="C554" s="701"/>
      <c r="D554" s="702"/>
      <c r="E554" s="703" t="s">
        <v>490</v>
      </c>
      <c r="F554" s="694">
        <f>F551</f>
        <v>25.33</v>
      </c>
      <c r="G554" s="694">
        <f>VLOOKUP(B554,Tabela3[[#All],[descrição]:[fonte]],4,FALSE)</f>
        <v>12</v>
      </c>
      <c r="H554" s="704">
        <f>TRUNC(F554*G554,2)</f>
        <v>303.95999999999998</v>
      </c>
    </row>
    <row r="555" spans="2:8">
      <c r="B555" s="705" t="s">
        <v>491</v>
      </c>
      <c r="C555" s="706"/>
      <c r="D555" s="707"/>
      <c r="E555" s="675" t="s">
        <v>484</v>
      </c>
      <c r="F555" s="626">
        <v>1</v>
      </c>
      <c r="G555" s="626">
        <f>VLOOKUP(B555,Tabela3[[#All],[descrição]:[fonte]],4,FALSE)</f>
        <v>220</v>
      </c>
      <c r="H555" s="677">
        <f>G555*F555</f>
        <v>220</v>
      </c>
    </row>
    <row r="556" spans="2:8">
      <c r="B556" s="708" t="s">
        <v>384</v>
      </c>
      <c r="C556" s="709"/>
      <c r="D556" s="709"/>
      <c r="E556" s="709"/>
      <c r="F556" s="709"/>
      <c r="G556" s="709"/>
      <c r="H556" s="725">
        <f>E461</f>
        <v>1</v>
      </c>
    </row>
    <row r="557" spans="2:8" ht="15.75" thickBot="1">
      <c r="B557" s="710" t="s">
        <v>854</v>
      </c>
      <c r="C557" s="711"/>
      <c r="D557" s="711"/>
      <c r="E557" s="711"/>
      <c r="F557" s="711"/>
      <c r="G557" s="711"/>
      <c r="H557" s="712">
        <f>H556*H531</f>
        <v>3490.1499999999996</v>
      </c>
    </row>
    <row r="558" spans="2:8" ht="15.75" thickBot="1"/>
    <row r="559" spans="2:8" ht="15.75" thickBot="1">
      <c r="B559" s="348" t="s">
        <v>598</v>
      </c>
      <c r="C559" s="312"/>
      <c r="D559" s="312"/>
      <c r="E559" s="312"/>
      <c r="F559" s="312"/>
      <c r="G559" s="312"/>
      <c r="H559" s="349">
        <f>H557+H528</f>
        <v>32933.29</v>
      </c>
    </row>
    <row r="561" spans="2:8">
      <c r="B561" s="309" t="s">
        <v>1291</v>
      </c>
    </row>
    <row r="562" spans="2:8" ht="30">
      <c r="B562" s="645" t="s">
        <v>900</v>
      </c>
      <c r="C562" s="646"/>
      <c r="D562" s="648"/>
      <c r="E562" s="649" t="s">
        <v>1164</v>
      </c>
      <c r="F562" s="650" t="s">
        <v>1165</v>
      </c>
      <c r="G562" s="649" t="s">
        <v>1166</v>
      </c>
      <c r="H562" s="651" t="s">
        <v>1167</v>
      </c>
    </row>
    <row r="563" spans="2:8">
      <c r="B563" s="315" t="s">
        <v>425</v>
      </c>
      <c r="C563" s="316"/>
      <c r="D563" s="326"/>
      <c r="E563" s="350" t="s">
        <v>601</v>
      </c>
      <c r="F563" s="327">
        <f t="shared" ref="F563:F568" si="14">H468</f>
        <v>0.38</v>
      </c>
      <c r="G563" s="327">
        <f>VLOOKUP(B563,Tabela1[[#All],[ITENS PARA ORÇAMENTO]:[MEDIANA]],11,FALSE)</f>
        <v>136.5</v>
      </c>
      <c r="H563" s="352">
        <f t="shared" ref="H563:H568" si="15">TRUNC(G563*F563,2)</f>
        <v>51.87</v>
      </c>
    </row>
    <row r="564" spans="2:8">
      <c r="B564" s="318" t="s">
        <v>429</v>
      </c>
      <c r="D564" s="329"/>
      <c r="E564" s="353" t="s">
        <v>601</v>
      </c>
      <c r="F564" s="330">
        <f t="shared" si="14"/>
        <v>2.25</v>
      </c>
      <c r="G564" s="330">
        <f>VLOOKUP(B564,Tabela1[[#All],[ITENS PARA ORÇAMENTO]:[MEDIANA]],11,FALSE)</f>
        <v>40.53</v>
      </c>
      <c r="H564" s="354">
        <f t="shared" si="15"/>
        <v>91.19</v>
      </c>
    </row>
    <row r="565" spans="2:8">
      <c r="B565" s="318" t="s">
        <v>596</v>
      </c>
      <c r="D565" s="329"/>
      <c r="E565" s="353" t="s">
        <v>601</v>
      </c>
      <c r="F565" s="330">
        <f t="shared" si="14"/>
        <v>0.75</v>
      </c>
      <c r="G565" s="330">
        <f>VLOOKUP(B565,Tabela1[[#All],[ITENS PARA ORÇAMENTO]:[MEDIANA]],11,FALSE)</f>
        <v>38.869999999999997</v>
      </c>
      <c r="H565" s="354">
        <f t="shared" si="15"/>
        <v>29.15</v>
      </c>
    </row>
    <row r="566" spans="2:8">
      <c r="B566" s="318" t="s">
        <v>597</v>
      </c>
      <c r="D566" s="329"/>
      <c r="E566" s="353" t="s">
        <v>601</v>
      </c>
      <c r="F566" s="330">
        <f t="shared" si="14"/>
        <v>0.75</v>
      </c>
      <c r="G566" s="330">
        <f>VLOOKUP(B566,Tabela1[[#All],[ITENS PARA ORÇAMENTO]:[MEDIANA]],11,FALSE)</f>
        <v>42.5</v>
      </c>
      <c r="H566" s="354">
        <f t="shared" si="15"/>
        <v>31.87</v>
      </c>
    </row>
    <row r="567" spans="2:8">
      <c r="B567" s="318" t="s">
        <v>423</v>
      </c>
      <c r="D567" s="329"/>
      <c r="E567" s="353" t="s">
        <v>601</v>
      </c>
      <c r="F567" s="330">
        <f t="shared" si="14"/>
        <v>2.25</v>
      </c>
      <c r="G567" s="330">
        <f>VLOOKUP(B567,Tabela1[[#All],[ITENS PARA ORÇAMENTO]:[MEDIANA]],11,FALSE)</f>
        <v>28.49</v>
      </c>
      <c r="H567" s="354">
        <f t="shared" si="15"/>
        <v>64.099999999999994</v>
      </c>
    </row>
    <row r="568" spans="2:8">
      <c r="B568" s="320" t="s">
        <v>427</v>
      </c>
      <c r="C568" s="321"/>
      <c r="D568" s="332"/>
      <c r="E568" s="355" t="s">
        <v>601</v>
      </c>
      <c r="F568" s="333">
        <f t="shared" si="14"/>
        <v>2.25</v>
      </c>
      <c r="G568" s="333">
        <f>VLOOKUP(B568,Tabela1[[#All],[ITENS PARA ORÇAMENTO]:[MEDIANA]],11,FALSE)</f>
        <v>28.44</v>
      </c>
      <c r="H568" s="356">
        <f t="shared" si="15"/>
        <v>63.99</v>
      </c>
    </row>
    <row r="569" spans="2:8" ht="15.75" thickBot="1">
      <c r="B569" s="337" t="s">
        <v>595</v>
      </c>
    </row>
    <row r="570" spans="2:8" ht="15.75" thickBot="1">
      <c r="B570" s="348" t="s">
        <v>602</v>
      </c>
      <c r="C570" s="312"/>
      <c r="D570" s="312"/>
      <c r="E570" s="312"/>
      <c r="F570" s="312"/>
      <c r="G570" s="312"/>
      <c r="H570" s="349">
        <f>SUM(H563:H568)</f>
        <v>332.17</v>
      </c>
    </row>
    <row r="572" spans="2:8">
      <c r="B572" s="309" t="s">
        <v>1292</v>
      </c>
    </row>
    <row r="573" spans="2:8">
      <c r="B573" s="570" t="s">
        <v>900</v>
      </c>
      <c r="C573" s="571"/>
      <c r="D573" s="571"/>
      <c r="E573" s="571" t="s">
        <v>1164</v>
      </c>
      <c r="F573" s="571"/>
      <c r="G573" s="571"/>
      <c r="H573" s="750" t="s">
        <v>1168</v>
      </c>
    </row>
    <row r="574" spans="2:8">
      <c r="B574" s="311"/>
      <c r="C574" s="312"/>
      <c r="D574" s="312"/>
      <c r="E574" s="358"/>
      <c r="F574" s="312"/>
      <c r="G574" s="358"/>
      <c r="H574" s="324"/>
    </row>
    <row r="575" spans="2:8" ht="15.75" thickBot="1">
      <c r="B575" s="336" t="s">
        <v>595</v>
      </c>
    </row>
    <row r="576" spans="2:8" ht="15.75" thickBot="1">
      <c r="B576" s="348" t="s">
        <v>636</v>
      </c>
      <c r="C576" s="312"/>
      <c r="D576" s="312"/>
      <c r="E576" s="312"/>
      <c r="F576" s="312"/>
      <c r="G576" s="312"/>
      <c r="H576" s="349">
        <f>H574</f>
        <v>0</v>
      </c>
    </row>
    <row r="577" spans="2:8">
      <c r="B577" s="309"/>
      <c r="H577" s="412"/>
    </row>
    <row r="578" spans="2:8" ht="14.25" customHeight="1">
      <c r="B578" s="309" t="s">
        <v>1293</v>
      </c>
    </row>
    <row r="579" spans="2:8" ht="30">
      <c r="B579" s="645" t="s">
        <v>900</v>
      </c>
      <c r="C579" s="646"/>
      <c r="D579" s="648"/>
      <c r="E579" s="649" t="s">
        <v>1164</v>
      </c>
      <c r="F579" s="650" t="s">
        <v>1165</v>
      </c>
      <c r="G579" s="649" t="s">
        <v>1166</v>
      </c>
      <c r="H579" s="651" t="s">
        <v>1167</v>
      </c>
    </row>
    <row r="580" spans="2:8">
      <c r="B580" s="315" t="str">
        <f t="shared" ref="B580:B588" si="16">B483</f>
        <v>Jaqueta com reflexivo</v>
      </c>
      <c r="C580" s="316"/>
      <c r="D580" s="326"/>
      <c r="E580" s="350" t="s">
        <v>601</v>
      </c>
      <c r="F580" s="327">
        <f t="shared" ref="F580:F588" si="17">H483</f>
        <v>0.83</v>
      </c>
      <c r="G580" s="327">
        <f>VLOOKUP(B580,Tabela1[[#All],[ITENS PARA ORÇAMENTO]:[MEDIANA]],11,FALSE)</f>
        <v>132.91</v>
      </c>
      <c r="H580" s="351">
        <f t="shared" ref="H580:H588" si="18">TRUNC(G580*F580,2)</f>
        <v>110.31</v>
      </c>
    </row>
    <row r="581" spans="2:8">
      <c r="B581" s="318" t="str">
        <f t="shared" si="16"/>
        <v>Calça de Brim</v>
      </c>
      <c r="D581" s="329"/>
      <c r="E581" s="353" t="s">
        <v>601</v>
      </c>
      <c r="F581" s="330">
        <f t="shared" si="17"/>
        <v>2.5</v>
      </c>
      <c r="G581" s="330">
        <f>VLOOKUP(B581,Tabela1[[#All],[ITENS PARA ORÇAMENTO]:[MEDIANA]],11,FALSE)</f>
        <v>43.86</v>
      </c>
      <c r="H581" s="354">
        <f t="shared" si="18"/>
        <v>109.65</v>
      </c>
    </row>
    <row r="582" spans="2:8" ht="25.5" customHeight="1">
      <c r="B582" s="1445" t="str">
        <f t="shared" si="16"/>
        <v>Camiseta manga longa com faixa reflexiva</v>
      </c>
      <c r="C582" s="1446"/>
      <c r="D582" s="1448"/>
      <c r="E582" s="217" t="s">
        <v>601</v>
      </c>
      <c r="F582" s="394">
        <f t="shared" si="17"/>
        <v>2.5</v>
      </c>
      <c r="G582" s="394">
        <f>VLOOKUP(B582,Tabela1[[#All],[ITENS PARA ORÇAMENTO]:[MEDIANA]],11,FALSE)</f>
        <v>43.02</v>
      </c>
      <c r="H582" s="431">
        <f t="shared" si="18"/>
        <v>107.55</v>
      </c>
    </row>
    <row r="583" spans="2:8">
      <c r="B583" s="318" t="str">
        <f t="shared" si="16"/>
        <v>Boné de Brim</v>
      </c>
      <c r="D583" s="329"/>
      <c r="E583" s="353" t="s">
        <v>601</v>
      </c>
      <c r="F583" s="330">
        <f t="shared" si="17"/>
        <v>1.66</v>
      </c>
      <c r="G583" s="330">
        <f>VLOOKUP(B583,Tabela1[[#All],[ITENS PARA ORÇAMENTO]:[MEDIANA]],11,FALSE)</f>
        <v>17.59</v>
      </c>
      <c r="H583" s="354">
        <f t="shared" si="18"/>
        <v>29.19</v>
      </c>
    </row>
    <row r="584" spans="2:8" ht="28.5" customHeight="1">
      <c r="B584" s="1445" t="str">
        <f t="shared" si="16"/>
        <v>Botina De Segurança C/ Ponta E Biqueira Com Sola Antiderrapante</v>
      </c>
      <c r="C584" s="1446"/>
      <c r="D584" s="1448"/>
      <c r="E584" s="217" t="s">
        <v>495</v>
      </c>
      <c r="F584" s="394">
        <f t="shared" si="17"/>
        <v>2.5</v>
      </c>
      <c r="G584" s="394">
        <f>VLOOKUP(B584,Tabela1[[#All],[ITENS PARA ORÇAMENTO]:[MEDIANA]],11,FALSE)</f>
        <v>57.7</v>
      </c>
      <c r="H584" s="431">
        <f t="shared" si="18"/>
        <v>144.25</v>
      </c>
    </row>
    <row r="585" spans="2:8">
      <c r="B585" s="318" t="str">
        <f t="shared" si="16"/>
        <v>Capa de chuva amarela com reflexivo</v>
      </c>
      <c r="D585" s="329"/>
      <c r="E585" s="353" t="s">
        <v>601</v>
      </c>
      <c r="F585" s="330">
        <f t="shared" si="17"/>
        <v>1.66</v>
      </c>
      <c r="G585" s="330">
        <f>VLOOKUP(B585,Tabela1[[#All],[ITENS PARA ORÇAMENTO]:[MEDIANA]],11,FALSE)</f>
        <v>23</v>
      </c>
      <c r="H585" s="354">
        <f t="shared" si="18"/>
        <v>38.18</v>
      </c>
    </row>
    <row r="586" spans="2:8">
      <c r="B586" s="318" t="str">
        <f t="shared" si="16"/>
        <v>Colete reflexivo</v>
      </c>
      <c r="D586" s="329"/>
      <c r="E586" s="353" t="s">
        <v>601</v>
      </c>
      <c r="F586" s="330">
        <f t="shared" si="17"/>
        <v>1.66</v>
      </c>
      <c r="G586" s="330">
        <f>VLOOKUP(B586,Tabela1[[#All],[ITENS PARA ORÇAMENTO]:[MEDIANA]],11,FALSE)</f>
        <v>19.989999999999998</v>
      </c>
      <c r="H586" s="354">
        <f t="shared" si="18"/>
        <v>33.18</v>
      </c>
    </row>
    <row r="587" spans="2:8">
      <c r="B587" s="318" t="str">
        <f t="shared" si="16"/>
        <v>Luva Tricotada com revestimento Nitrílico</v>
      </c>
      <c r="D587" s="329"/>
      <c r="E587" s="353" t="s">
        <v>495</v>
      </c>
      <c r="F587" s="330">
        <f t="shared" si="17"/>
        <v>6.66</v>
      </c>
      <c r="G587" s="330">
        <f>VLOOKUP(B587,Tabela1[[#All],[ITENS PARA ORÇAMENTO]:[MEDIANA]],11,FALSE)</f>
        <v>9.99</v>
      </c>
      <c r="H587" s="354">
        <f t="shared" si="18"/>
        <v>66.53</v>
      </c>
    </row>
    <row r="588" spans="2:8">
      <c r="B588" s="320" t="str">
        <f t="shared" si="16"/>
        <v>Protetor solar FPS 30</v>
      </c>
      <c r="C588" s="321"/>
      <c r="D588" s="332"/>
      <c r="E588" s="355" t="s">
        <v>601</v>
      </c>
      <c r="F588" s="333">
        <f t="shared" si="17"/>
        <v>10</v>
      </c>
      <c r="G588" s="333">
        <f>VLOOKUP(B588,Tabela1[[#All],[ITENS PARA ORÇAMENTO]:[MEDIANA]],11,FALSE)</f>
        <v>9.65</v>
      </c>
      <c r="H588" s="356">
        <f t="shared" si="18"/>
        <v>96.5</v>
      </c>
    </row>
    <row r="589" spans="2:8" ht="15.75" thickBot="1">
      <c r="B589" s="336" t="s">
        <v>595</v>
      </c>
    </row>
    <row r="590" spans="2:8" ht="15.75" thickBot="1">
      <c r="B590" s="348" t="s">
        <v>614</v>
      </c>
      <c r="C590" s="312"/>
      <c r="D590" s="312"/>
      <c r="E590" s="312"/>
      <c r="F590" s="312"/>
      <c r="G590" s="312"/>
      <c r="H590" s="349">
        <f>SUM(H580:H588)</f>
        <v>735.33999999999992</v>
      </c>
    </row>
    <row r="591" spans="2:8">
      <c r="B591" s="309"/>
      <c r="H591" s="412"/>
    </row>
    <row r="592" spans="2:8">
      <c r="B592" s="309" t="s">
        <v>1294</v>
      </c>
      <c r="H592" s="412"/>
    </row>
    <row r="593" spans="2:8" ht="30">
      <c r="B593" s="645" t="s">
        <v>900</v>
      </c>
      <c r="C593" s="646"/>
      <c r="D593" s="648"/>
      <c r="E593" s="649" t="s">
        <v>1164</v>
      </c>
      <c r="F593" s="650" t="s">
        <v>1165</v>
      </c>
      <c r="G593" s="649" t="s">
        <v>1166</v>
      </c>
      <c r="H593" s="651" t="s">
        <v>1167</v>
      </c>
    </row>
    <row r="594" spans="2:8">
      <c r="B594" s="825" t="str">
        <f>B496</f>
        <v>Recipiente térmico para água (5L)</v>
      </c>
      <c r="C594" s="358"/>
      <c r="D594" s="358"/>
      <c r="E594" s="358" t="s">
        <v>601</v>
      </c>
      <c r="F594" s="827">
        <f>H496</f>
        <v>0.13</v>
      </c>
      <c r="G594" s="828">
        <f>VLOOKUP(B594,Tabela1[[ITENS PARA ORÇAMENTO]:[MEDIANA]],11,FALSE)</f>
        <v>29.86</v>
      </c>
      <c r="H594" s="829">
        <f>TRUNC(G594*F594,2)</f>
        <v>3.88</v>
      </c>
    </row>
    <row r="595" spans="2:8" ht="15.75" thickBot="1">
      <c r="B595" s="336" t="s">
        <v>595</v>
      </c>
      <c r="H595" s="412"/>
    </row>
    <row r="596" spans="2:8" ht="15.75" thickBot="1">
      <c r="B596" s="348" t="s">
        <v>1174</v>
      </c>
      <c r="C596" s="312"/>
      <c r="D596" s="312"/>
      <c r="E596" s="312"/>
      <c r="F596" s="312"/>
      <c r="G596" s="312"/>
      <c r="H596" s="349">
        <f>SUM(H594)</f>
        <v>3.88</v>
      </c>
    </row>
    <row r="598" spans="2:8">
      <c r="B598" s="309" t="s">
        <v>1331</v>
      </c>
    </row>
    <row r="599" spans="2:8">
      <c r="B599" s="315" t="s">
        <v>598</v>
      </c>
      <c r="C599" s="316"/>
      <c r="D599" s="316"/>
      <c r="E599" s="316"/>
      <c r="F599" s="316"/>
      <c r="G599" s="316"/>
      <c r="H599" s="413">
        <f>H136+H361+H559</f>
        <v>119102.69</v>
      </c>
    </row>
    <row r="600" spans="2:8">
      <c r="B600" s="318" t="s">
        <v>602</v>
      </c>
      <c r="H600" s="414">
        <f>H570+H374+H149</f>
        <v>2920.9140000000002</v>
      </c>
    </row>
    <row r="601" spans="2:8">
      <c r="B601" s="318" t="s">
        <v>636</v>
      </c>
      <c r="H601" s="414">
        <f>H167+H409</f>
        <v>682.54</v>
      </c>
    </row>
    <row r="602" spans="2:8">
      <c r="B602" s="318" t="s">
        <v>614</v>
      </c>
      <c r="H602" s="414">
        <f>H427+H590+H184</f>
        <v>2698.5028000000002</v>
      </c>
    </row>
    <row r="603" spans="2:8" ht="15.75" thickBot="1">
      <c r="B603" s="318" t="s">
        <v>1174</v>
      </c>
      <c r="H603" s="414">
        <f>H194+H436+H596</f>
        <v>104.74</v>
      </c>
    </row>
    <row r="604" spans="2:8" ht="15.75" thickBot="1">
      <c r="B604" s="348" t="s">
        <v>873</v>
      </c>
      <c r="C604" s="312"/>
      <c r="D604" s="312"/>
      <c r="E604" s="312"/>
      <c r="F604" s="312"/>
      <c r="G604" s="878"/>
      <c r="H604" s="871">
        <f>SUM(H599:H603)</f>
        <v>125509.38680000001</v>
      </c>
    </row>
    <row r="606" spans="2:8">
      <c r="B606" s="215" t="s">
        <v>1332</v>
      </c>
      <c r="C606" s="213"/>
      <c r="D606" s="213"/>
      <c r="E606" s="213"/>
      <c r="F606" s="213"/>
      <c r="G606" s="213"/>
      <c r="H606" s="213"/>
    </row>
    <row r="607" spans="2:8">
      <c r="B607" s="557" t="s">
        <v>1212</v>
      </c>
      <c r="C607" s="558"/>
      <c r="D607" s="558"/>
      <c r="E607" s="558"/>
      <c r="F607" s="558"/>
      <c r="G607" s="558"/>
      <c r="H607" s="866">
        <f>H604</f>
        <v>125509.38680000001</v>
      </c>
    </row>
    <row r="608" spans="2:8" ht="15.75" thickBot="1">
      <c r="B608" s="559" t="s">
        <v>1210</v>
      </c>
      <c r="C608" s="213"/>
      <c r="D608" s="213"/>
      <c r="E608" s="213"/>
      <c r="F608" s="213"/>
      <c r="G608" s="213"/>
      <c r="H608" s="867">
        <f>TRUNC((E463+E227+E30)*'6.ADM'!F334,2)</f>
        <v>23834.880000000001</v>
      </c>
    </row>
    <row r="609" spans="2:8" ht="15.75" thickBot="1">
      <c r="B609" s="570" t="s">
        <v>873</v>
      </c>
      <c r="C609" s="555"/>
      <c r="D609" s="555"/>
      <c r="E609" s="555"/>
      <c r="F609" s="555"/>
      <c r="G609" s="556"/>
      <c r="H609" s="870">
        <f>SUM(H607:H608)</f>
        <v>149344.26680000001</v>
      </c>
    </row>
    <row r="611" spans="2:8">
      <c r="B611" s="309" t="s">
        <v>1333</v>
      </c>
    </row>
    <row r="612" spans="2:8">
      <c r="B612" s="315" t="s">
        <v>924</v>
      </c>
      <c r="C612" s="316"/>
      <c r="D612" s="316"/>
      <c r="E612" s="316"/>
      <c r="F612" s="365">
        <f>H609</f>
        <v>149344.26680000001</v>
      </c>
    </row>
    <row r="613" spans="2:8">
      <c r="B613" s="320" t="s">
        <v>926</v>
      </c>
      <c r="C613" s="321"/>
      <c r="D613" s="321"/>
      <c r="F613" s="366">
        <f>ANEXO_IIId_BDI!D16</f>
        <v>0.32340000000000002</v>
      </c>
    </row>
    <row r="614" spans="2:8">
      <c r="B614" s="364" t="s">
        <v>925</v>
      </c>
      <c r="C614" s="321"/>
      <c r="D614" s="321"/>
      <c r="E614" s="312"/>
      <c r="F614" s="367">
        <f>(1+F613)*F612</f>
        <v>197642.20268312001</v>
      </c>
    </row>
    <row r="616" spans="2:8" ht="15.75">
      <c r="B616" s="347" t="s">
        <v>1334</v>
      </c>
    </row>
    <row r="617" spans="2:8">
      <c r="B617" s="315" t="s">
        <v>925</v>
      </c>
      <c r="C617" s="316"/>
      <c r="D617" s="316"/>
      <c r="E617" s="316"/>
      <c r="F617" s="365">
        <f>F614</f>
        <v>197642.20268312001</v>
      </c>
    </row>
    <row r="618" spans="2:8">
      <c r="B618" s="320" t="s">
        <v>1328</v>
      </c>
      <c r="C618" s="321"/>
      <c r="D618" s="321"/>
      <c r="E618" s="321"/>
      <c r="F618" s="368">
        <f>E442+E200+E8</f>
        <v>508028.47938670433</v>
      </c>
    </row>
    <row r="619" spans="2:8">
      <c r="B619" s="364" t="s">
        <v>1198</v>
      </c>
      <c r="C619" s="321"/>
      <c r="D619" s="321"/>
      <c r="E619" s="312"/>
      <c r="F619" s="367">
        <f>TRUNC(F617/F618,2)</f>
        <v>0.38</v>
      </c>
    </row>
  </sheetData>
  <mergeCells count="14">
    <mergeCell ref="B252:D252"/>
    <mergeCell ref="B254:D254"/>
    <mergeCell ref="B257:D257"/>
    <mergeCell ref="B584:D584"/>
    <mergeCell ref="B460:D460"/>
    <mergeCell ref="B485:D485"/>
    <mergeCell ref="B487:D487"/>
    <mergeCell ref="B523:D523"/>
    <mergeCell ref="B582:D582"/>
    <mergeCell ref="B27:D27"/>
    <mergeCell ref="B54:D54"/>
    <mergeCell ref="B56:D56"/>
    <mergeCell ref="B100:D100"/>
    <mergeCell ref="B224:D224"/>
  </mergeCells>
  <pageMargins left="0.78740157480314965" right="0.78740157480314965" top="1.1811023622047245" bottom="0.78740157480314965" header="0.31496062992125984" footer="0.31496062992125984"/>
  <pageSetup paperSize="9" scale="78" fitToHeight="0" orientation="portrait" r:id="rId1"/>
  <rowBreaks count="18" manualBreakCount="18">
    <brk id="31" min="1" max="7" man="1"/>
    <brk id="72" min="1" max="7" man="1"/>
    <brk id="105" max="16383" man="1"/>
    <brk id="136" min="1" max="7" man="1"/>
    <brk id="167" min="1" max="7" man="1"/>
    <brk id="195" min="1" max="7" man="1"/>
    <brk id="228" min="1" max="7" man="1"/>
    <brk id="263" min="1" max="7" man="1"/>
    <brk id="302" min="1" max="7" man="1"/>
    <brk id="331" min="1" max="7" man="1"/>
    <brk id="375" min="1" max="7" man="1"/>
    <brk id="410" min="1" max="7" man="1"/>
    <brk id="437" min="1" max="7" man="1"/>
    <brk id="464" min="1" max="7" man="1"/>
    <brk id="498" min="1" max="7" man="1"/>
    <brk id="529" min="1" max="7" man="1"/>
    <brk id="560" min="1" max="7" man="1"/>
    <brk id="596" min="1" max="7" man="1"/>
  </rowBreaks>
  <drawing r:id="rId2"/>
  <legacy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1:U241"/>
  <sheetViews>
    <sheetView showGridLines="0" view="pageBreakPreview" zoomScale="60" zoomScaleNormal="85" zoomScalePageLayoutView="85" workbookViewId="0">
      <selection activeCell="P211" sqref="P211"/>
    </sheetView>
  </sheetViews>
  <sheetFormatPr defaultColWidth="9.140625" defaultRowHeight="15"/>
  <cols>
    <col min="1" max="2" width="9.140625" style="307"/>
    <col min="3" max="3" width="13" style="307" customWidth="1"/>
    <col min="4" max="4" width="16.28515625" style="307" customWidth="1"/>
    <col min="5" max="5" width="14.28515625" style="307" customWidth="1"/>
    <col min="6" max="6" width="18.85546875" style="307" customWidth="1"/>
    <col min="7" max="7" width="19" style="307" customWidth="1"/>
    <col min="8" max="8" width="15" style="307" bestFit="1" customWidth="1"/>
    <col min="9" max="9" width="9.140625" style="307" customWidth="1"/>
    <col min="10" max="11" width="9.140625" style="307"/>
    <col min="12" max="12" width="9.140625" style="318"/>
    <col min="13" max="15" width="9.140625" style="307"/>
    <col min="16" max="16" width="11.42578125" style="307" bestFit="1" customWidth="1"/>
    <col min="17" max="16384" width="9.140625" style="307"/>
  </cols>
  <sheetData>
    <row r="1" spans="2:14">
      <c r="D1" s="370"/>
      <c r="E1" s="370"/>
      <c r="F1" s="370"/>
      <c r="G1" s="370"/>
      <c r="H1" s="370"/>
    </row>
    <row r="2" spans="2:14" ht="18.75">
      <c r="B2" s="369" t="s">
        <v>1255</v>
      </c>
      <c r="C2" s="370"/>
      <c r="D2" s="370"/>
      <c r="E2" s="370"/>
      <c r="F2" s="370"/>
      <c r="G2" s="370"/>
      <c r="H2" s="370"/>
    </row>
    <row r="3" spans="2:14">
      <c r="B3" s="372" t="s">
        <v>940</v>
      </c>
      <c r="C3" s="370"/>
      <c r="D3" s="370"/>
      <c r="E3" s="370"/>
      <c r="F3" s="370"/>
      <c r="G3" s="371" t="s">
        <v>891</v>
      </c>
      <c r="H3" s="370">
        <v>25.33</v>
      </c>
      <c r="I3" s="779"/>
    </row>
    <row r="4" spans="2:14">
      <c r="B4" s="370"/>
      <c r="C4" s="370"/>
      <c r="D4" s="370"/>
      <c r="E4" s="370"/>
      <c r="F4" s="370"/>
      <c r="G4" s="370"/>
      <c r="H4" s="370"/>
    </row>
    <row r="5" spans="2:14">
      <c r="B5" s="370" t="s">
        <v>644</v>
      </c>
      <c r="C5" s="370"/>
      <c r="D5" s="370"/>
      <c r="E5" s="373">
        <v>712.86</v>
      </c>
      <c r="F5" s="370" t="s">
        <v>710</v>
      </c>
      <c r="H5" s="370"/>
    </row>
    <row r="6" spans="2:14">
      <c r="B6" s="370" t="s">
        <v>645</v>
      </c>
      <c r="C6" s="370"/>
      <c r="D6" s="370"/>
      <c r="E6" s="373">
        <f>E5*1000/12</f>
        <v>59405</v>
      </c>
      <c r="F6" s="370" t="s">
        <v>646</v>
      </c>
      <c r="H6" s="370"/>
    </row>
    <row r="7" spans="2:14">
      <c r="B7" s="370" t="s">
        <v>862</v>
      </c>
      <c r="C7" s="370"/>
      <c r="D7" s="370"/>
      <c r="E7" s="373">
        <f>E6*2*E10</f>
        <v>47524</v>
      </c>
      <c r="F7" s="370" t="s">
        <v>863</v>
      </c>
      <c r="H7" s="370"/>
    </row>
    <row r="8" spans="2:14">
      <c r="B8" s="370"/>
      <c r="C8" s="370"/>
      <c r="D8" s="370"/>
      <c r="E8" s="370"/>
      <c r="F8" s="373"/>
      <c r="G8" s="370"/>
      <c r="H8" s="370"/>
    </row>
    <row r="9" spans="2:14">
      <c r="B9" s="784" t="s">
        <v>573</v>
      </c>
      <c r="C9" s="784"/>
      <c r="D9" s="784"/>
      <c r="E9" s="785">
        <v>300</v>
      </c>
      <c r="F9" s="784" t="s">
        <v>1155</v>
      </c>
      <c r="H9" s="370"/>
      <c r="L9" s="879" t="s">
        <v>1203</v>
      </c>
    </row>
    <row r="10" spans="2:14">
      <c r="B10" s="784" t="s">
        <v>847</v>
      </c>
      <c r="C10" s="784"/>
      <c r="D10" s="784"/>
      <c r="E10" s="785">
        <v>0.4</v>
      </c>
      <c r="F10" s="784" t="s">
        <v>846</v>
      </c>
      <c r="H10" s="370"/>
      <c r="L10" s="879" t="s">
        <v>1203</v>
      </c>
    </row>
    <row r="11" spans="2:14" ht="15.75" thickBot="1">
      <c r="B11" s="370"/>
      <c r="C11" s="370"/>
      <c r="D11" s="370"/>
      <c r="E11" s="370"/>
      <c r="F11" s="370"/>
      <c r="G11" s="370"/>
      <c r="H11" s="370"/>
    </row>
    <row r="12" spans="2:14" ht="15.75" thickBot="1">
      <c r="B12" s="561" t="s">
        <v>1156</v>
      </c>
      <c r="C12" s="562"/>
      <c r="D12" s="562"/>
      <c r="E12" s="374">
        <f>ROUND(E6/(E9*H3),0)</f>
        <v>8</v>
      </c>
      <c r="F12" s="830"/>
      <c r="H12" s="370"/>
      <c r="L12" s="73"/>
      <c r="M12"/>
      <c r="N12"/>
    </row>
    <row r="13" spans="2:14">
      <c r="B13" s="370"/>
      <c r="C13" s="370"/>
      <c r="D13" s="370"/>
      <c r="E13" s="370"/>
      <c r="F13" s="370"/>
      <c r="G13" s="370"/>
      <c r="H13" s="370"/>
      <c r="L13" s="73"/>
      <c r="M13"/>
      <c r="N13"/>
    </row>
    <row r="14" spans="2:14">
      <c r="B14" s="372" t="s">
        <v>941</v>
      </c>
      <c r="C14" s="370"/>
      <c r="D14" s="370"/>
      <c r="E14" s="370"/>
      <c r="F14" s="370"/>
      <c r="G14" s="370"/>
      <c r="H14" s="370"/>
      <c r="L14" s="73"/>
      <c r="M14"/>
      <c r="N14"/>
    </row>
    <row r="15" spans="2:14">
      <c r="B15" s="370"/>
      <c r="C15" s="370"/>
      <c r="D15" s="370"/>
      <c r="E15" s="370"/>
      <c r="F15" s="370"/>
      <c r="G15" s="370"/>
      <c r="H15" s="370"/>
      <c r="L15" s="73"/>
      <c r="M15"/>
      <c r="N15"/>
    </row>
    <row r="16" spans="2:14">
      <c r="B16" s="784" t="s">
        <v>1147</v>
      </c>
      <c r="C16" s="784"/>
      <c r="D16" s="784"/>
      <c r="E16" s="784">
        <f>1/16</f>
        <v>6.25E-2</v>
      </c>
      <c r="F16" s="784" t="s">
        <v>1150</v>
      </c>
      <c r="H16" s="370"/>
      <c r="L16" s="879" t="s">
        <v>1203</v>
      </c>
      <c r="M16"/>
      <c r="N16"/>
    </row>
    <row r="17" spans="2:12">
      <c r="B17" s="784" t="s">
        <v>576</v>
      </c>
      <c r="C17" s="784"/>
      <c r="D17" s="784"/>
      <c r="E17" s="790">
        <v>0</v>
      </c>
      <c r="F17" s="784"/>
      <c r="H17" s="370"/>
    </row>
    <row r="18" spans="2:12" ht="15.75" thickBot="1">
      <c r="B18" s="370"/>
      <c r="C18" s="370"/>
      <c r="D18" s="370"/>
      <c r="E18" s="370"/>
      <c r="F18" s="370"/>
      <c r="G18" s="370"/>
      <c r="H18" s="370"/>
    </row>
    <row r="19" spans="2:12" ht="27.75" customHeight="1">
      <c r="B19" s="1464" t="s">
        <v>1148</v>
      </c>
      <c r="C19" s="1465"/>
      <c r="D19" s="1466"/>
      <c r="E19" s="836">
        <f>E12</f>
        <v>8</v>
      </c>
      <c r="F19" s="370"/>
      <c r="G19" s="370"/>
      <c r="H19" s="370"/>
    </row>
    <row r="20" spans="2:12">
      <c r="B20" s="561" t="s">
        <v>1141</v>
      </c>
      <c r="C20" s="562"/>
      <c r="D20" s="312"/>
      <c r="E20" s="774">
        <f>ROUNDUP(E12*E16,0)</f>
        <v>1</v>
      </c>
      <c r="F20" s="370"/>
      <c r="G20" s="370"/>
      <c r="H20" s="370"/>
    </row>
    <row r="21" spans="2:12">
      <c r="B21" s="561" t="s">
        <v>1206</v>
      </c>
      <c r="C21" s="562"/>
      <c r="D21" s="312"/>
      <c r="E21" s="774">
        <f>ROUNDUP(E12/14,0)</f>
        <v>1</v>
      </c>
      <c r="F21" s="370"/>
      <c r="G21" s="370"/>
      <c r="H21" s="370"/>
    </row>
    <row r="22" spans="2:12" ht="15.75" thickBot="1">
      <c r="B22" s="561" t="s">
        <v>555</v>
      </c>
      <c r="C22" s="562"/>
      <c r="D22" s="312"/>
      <c r="E22" s="837">
        <f>E17</f>
        <v>0</v>
      </c>
    </row>
    <row r="23" spans="2:12" ht="15.75" thickBot="1">
      <c r="B23" s="786" t="s">
        <v>1180</v>
      </c>
      <c r="C23" s="312"/>
      <c r="D23" s="324"/>
      <c r="E23" s="374">
        <f>SUM(E19:E22)</f>
        <v>10</v>
      </c>
      <c r="F23" s="370"/>
      <c r="G23" s="370"/>
      <c r="H23" s="370"/>
    </row>
    <row r="24" spans="2:12">
      <c r="B24" s="370"/>
      <c r="C24" s="370"/>
      <c r="D24" s="370"/>
      <c r="E24" s="370"/>
      <c r="F24" s="370"/>
      <c r="G24" s="370"/>
      <c r="H24" s="370"/>
    </row>
    <row r="25" spans="2:12">
      <c r="B25" s="372" t="s">
        <v>942</v>
      </c>
      <c r="C25" s="370"/>
      <c r="D25" s="370"/>
      <c r="E25" s="370"/>
      <c r="F25" s="370"/>
      <c r="G25" s="370"/>
      <c r="H25" s="370"/>
    </row>
    <row r="26" spans="2:12">
      <c r="B26" s="370"/>
      <c r="C26" s="370"/>
      <c r="D26" s="370"/>
      <c r="E26" s="370"/>
      <c r="F26" s="370"/>
      <c r="G26" s="370"/>
      <c r="H26" s="370"/>
    </row>
    <row r="27" spans="2:12" ht="15.75" thickBot="1">
      <c r="B27" s="372" t="s">
        <v>565</v>
      </c>
      <c r="C27" s="370"/>
      <c r="D27" s="370"/>
      <c r="E27" s="370"/>
      <c r="F27" s="370"/>
      <c r="G27" s="370"/>
      <c r="H27" s="370"/>
    </row>
    <row r="28" spans="2:12">
      <c r="B28" s="348" t="s">
        <v>900</v>
      </c>
      <c r="C28" s="732"/>
      <c r="D28" s="732"/>
      <c r="E28" s="348" t="s">
        <v>901</v>
      </c>
      <c r="F28" s="732"/>
      <c r="G28" s="359"/>
      <c r="H28" s="733" t="s">
        <v>584</v>
      </c>
    </row>
    <row r="29" spans="2:12">
      <c r="B29" s="1473" t="s">
        <v>651</v>
      </c>
      <c r="C29" s="1474"/>
      <c r="D29" s="1475"/>
      <c r="E29" s="415">
        <v>1</v>
      </c>
      <c r="F29" s="548" t="s">
        <v>1150</v>
      </c>
      <c r="G29" s="370"/>
      <c r="H29" s="416">
        <f>TRUNC((E29*E19)/12,2)</f>
        <v>0.66</v>
      </c>
      <c r="L29" s="879" t="s">
        <v>1203</v>
      </c>
    </row>
    <row r="30" spans="2:12">
      <c r="B30" s="1476" t="s">
        <v>647</v>
      </c>
      <c r="C30" s="1477"/>
      <c r="D30" s="1478"/>
      <c r="E30" s="415">
        <v>1</v>
      </c>
      <c r="F30" s="381" t="s">
        <v>1150</v>
      </c>
      <c r="G30" s="370"/>
      <c r="H30" s="376">
        <f>TRUNC((E30*E19)/12,2)</f>
        <v>0.66</v>
      </c>
      <c r="L30" s="879" t="s">
        <v>1203</v>
      </c>
    </row>
    <row r="31" spans="2:12">
      <c r="B31" s="1476" t="s">
        <v>648</v>
      </c>
      <c r="C31" s="1477"/>
      <c r="D31" s="1478"/>
      <c r="E31" s="415">
        <v>0.5</v>
      </c>
      <c r="F31" s="381" t="s">
        <v>1150</v>
      </c>
      <c r="G31" s="370"/>
      <c r="H31" s="376">
        <f>TRUNC((E31*E19)/12,2)</f>
        <v>0.33</v>
      </c>
      <c r="L31" s="879" t="s">
        <v>1203</v>
      </c>
    </row>
    <row r="32" spans="2:12" ht="15.75" thickBot="1">
      <c r="B32" s="1479" t="s">
        <v>1320</v>
      </c>
      <c r="C32" s="1480"/>
      <c r="D32" s="1481"/>
      <c r="E32" s="857">
        <v>0.04</v>
      </c>
      <c r="F32" s="385" t="s">
        <v>1240</v>
      </c>
      <c r="G32" s="568"/>
      <c r="H32" s="377">
        <f>E32*E7</f>
        <v>1900.96</v>
      </c>
      <c r="L32" s="879" t="s">
        <v>1203</v>
      </c>
    </row>
    <row r="33" spans="2:12">
      <c r="B33" s="209" t="s">
        <v>595</v>
      </c>
      <c r="C33" s="370"/>
      <c r="D33" s="370"/>
      <c r="E33" s="373"/>
      <c r="F33" s="370"/>
      <c r="G33" s="370"/>
      <c r="H33" s="370"/>
    </row>
    <row r="34" spans="2:12">
      <c r="B34" s="370"/>
      <c r="C34" s="370"/>
      <c r="D34" s="370"/>
      <c r="E34" s="370"/>
      <c r="F34" s="370"/>
      <c r="G34" s="370"/>
      <c r="H34" s="370"/>
    </row>
    <row r="35" spans="2:12" ht="15.75" thickBot="1">
      <c r="B35" s="372" t="s">
        <v>547</v>
      </c>
      <c r="C35" s="370"/>
      <c r="D35" s="370"/>
      <c r="E35" s="370"/>
      <c r="F35" s="370"/>
      <c r="G35" s="370"/>
      <c r="H35" s="370"/>
    </row>
    <row r="36" spans="2:12">
      <c r="B36" s="348" t="s">
        <v>900</v>
      </c>
      <c r="C36" s="732"/>
      <c r="D36" s="732"/>
      <c r="E36" s="348" t="s">
        <v>901</v>
      </c>
      <c r="F36" s="732"/>
      <c r="G36" s="747" t="s">
        <v>1163</v>
      </c>
      <c r="H36" s="733" t="s">
        <v>384</v>
      </c>
    </row>
    <row r="37" spans="2:12">
      <c r="B37" s="1458" t="s">
        <v>652</v>
      </c>
      <c r="C37" s="1459"/>
      <c r="D37" s="1460"/>
      <c r="E37" s="417">
        <v>7.0000000000000007E-2</v>
      </c>
      <c r="F37" s="391" t="s">
        <v>551</v>
      </c>
      <c r="G37" s="430">
        <v>120</v>
      </c>
      <c r="H37" s="418">
        <f>ROUNDUP(TRUNC(E37*E23,2),0)</f>
        <v>1</v>
      </c>
    </row>
    <row r="38" spans="2:12" ht="15.75" thickBot="1">
      <c r="B38" s="1455" t="s">
        <v>649</v>
      </c>
      <c r="C38" s="1456"/>
      <c r="D38" s="1457"/>
      <c r="E38" s="419">
        <v>7.0000000000000007E-2</v>
      </c>
      <c r="F38" s="396" t="s">
        <v>551</v>
      </c>
      <c r="G38" s="432">
        <v>120</v>
      </c>
      <c r="H38" s="420">
        <f>H37</f>
        <v>1</v>
      </c>
    </row>
    <row r="39" spans="2:12">
      <c r="B39" s="209" t="s">
        <v>595</v>
      </c>
      <c r="C39" s="370"/>
      <c r="D39" s="370"/>
      <c r="E39" s="370"/>
      <c r="F39" s="370"/>
      <c r="G39" s="370"/>
      <c r="H39" s="370"/>
    </row>
    <row r="40" spans="2:12">
      <c r="B40" s="370"/>
      <c r="C40" s="370"/>
      <c r="D40" s="370"/>
      <c r="E40" s="370"/>
      <c r="F40" s="370"/>
      <c r="G40" s="370"/>
      <c r="H40" s="370"/>
    </row>
    <row r="41" spans="2:12" ht="15.75" thickBot="1">
      <c r="B41" s="372" t="s">
        <v>442</v>
      </c>
      <c r="C41" s="370"/>
      <c r="D41" s="370"/>
      <c r="E41" s="370"/>
      <c r="F41" s="370"/>
      <c r="G41" s="370"/>
      <c r="H41" s="370"/>
    </row>
    <row r="42" spans="2:12">
      <c r="B42" s="348" t="s">
        <v>900</v>
      </c>
      <c r="C42" s="732"/>
      <c r="D42" s="732"/>
      <c r="E42" s="348" t="s">
        <v>901</v>
      </c>
      <c r="F42" s="732"/>
      <c r="G42" s="359"/>
      <c r="H42" s="733" t="s">
        <v>584</v>
      </c>
    </row>
    <row r="43" spans="2:12">
      <c r="B43" s="1458" t="s">
        <v>566</v>
      </c>
      <c r="C43" s="1459"/>
      <c r="D43" s="1460"/>
      <c r="E43" s="379">
        <v>1</v>
      </c>
      <c r="F43" s="421" t="s">
        <v>701</v>
      </c>
      <c r="G43" s="560"/>
      <c r="H43" s="422">
        <f t="shared" ref="H43:H50" si="0">TRUNC(E43*$E$23/12,2)</f>
        <v>0.83</v>
      </c>
      <c r="L43" s="879" t="s">
        <v>1222</v>
      </c>
    </row>
    <row r="44" spans="2:12">
      <c r="B44" s="1461" t="s">
        <v>492</v>
      </c>
      <c r="C44" s="1462"/>
      <c r="D44" s="1463"/>
      <c r="E44" s="388">
        <v>3</v>
      </c>
      <c r="F44" s="423" t="s">
        <v>701</v>
      </c>
      <c r="G44" s="560"/>
      <c r="H44" s="424">
        <f t="shared" si="0"/>
        <v>2.5</v>
      </c>
      <c r="L44" s="879" t="s">
        <v>1201</v>
      </c>
    </row>
    <row r="45" spans="2:12" ht="28.5" customHeight="1">
      <c r="B45" s="1470" t="s">
        <v>493</v>
      </c>
      <c r="C45" s="1471"/>
      <c r="D45" s="1472"/>
      <c r="E45" s="388">
        <v>3</v>
      </c>
      <c r="F45" s="423" t="s">
        <v>701</v>
      </c>
      <c r="G45" s="560"/>
      <c r="H45" s="424">
        <f t="shared" si="0"/>
        <v>2.5</v>
      </c>
      <c r="L45" s="879" t="s">
        <v>1201</v>
      </c>
    </row>
    <row r="46" spans="2:12">
      <c r="B46" s="1461" t="s">
        <v>494</v>
      </c>
      <c r="C46" s="1462"/>
      <c r="D46" s="1463"/>
      <c r="E46" s="388">
        <v>2</v>
      </c>
      <c r="F46" s="423" t="s">
        <v>701</v>
      </c>
      <c r="G46" s="560"/>
      <c r="H46" s="424">
        <f t="shared" si="0"/>
        <v>1.66</v>
      </c>
      <c r="L46" s="879" t="s">
        <v>1201</v>
      </c>
    </row>
    <row r="47" spans="2:12" ht="27.75" customHeight="1">
      <c r="B47" s="1470" t="s">
        <v>502</v>
      </c>
      <c r="C47" s="1471"/>
      <c r="D47" s="1472"/>
      <c r="E47" s="388">
        <v>3</v>
      </c>
      <c r="F47" s="423" t="s">
        <v>702</v>
      </c>
      <c r="G47" s="560"/>
      <c r="H47" s="424">
        <f t="shared" si="0"/>
        <v>2.5</v>
      </c>
      <c r="L47" s="879" t="s">
        <v>1201</v>
      </c>
    </row>
    <row r="48" spans="2:12" ht="26.25" customHeight="1">
      <c r="B48" s="1470" t="s">
        <v>496</v>
      </c>
      <c r="C48" s="1471"/>
      <c r="D48" s="1472"/>
      <c r="E48" s="388">
        <v>2</v>
      </c>
      <c r="F48" s="423" t="s">
        <v>701</v>
      </c>
      <c r="G48" s="560"/>
      <c r="H48" s="424">
        <f t="shared" si="0"/>
        <v>1.66</v>
      </c>
      <c r="L48" s="879" t="s">
        <v>1201</v>
      </c>
    </row>
    <row r="49" spans="2:12">
      <c r="B49" s="1461" t="s">
        <v>497</v>
      </c>
      <c r="C49" s="1462"/>
      <c r="D49" s="1463"/>
      <c r="E49" s="388">
        <v>2</v>
      </c>
      <c r="F49" s="423" t="s">
        <v>701</v>
      </c>
      <c r="G49" s="560"/>
      <c r="H49" s="424">
        <f t="shared" si="0"/>
        <v>1.66</v>
      </c>
      <c r="L49" s="880" t="s">
        <v>1223</v>
      </c>
    </row>
    <row r="50" spans="2:12" ht="30" customHeight="1">
      <c r="B50" s="1470" t="s">
        <v>498</v>
      </c>
      <c r="C50" s="1471"/>
      <c r="D50" s="1472"/>
      <c r="E50" s="388">
        <v>8</v>
      </c>
      <c r="F50" s="423" t="s">
        <v>702</v>
      </c>
      <c r="G50" s="560"/>
      <c r="H50" s="424">
        <f t="shared" si="0"/>
        <v>6.66</v>
      </c>
      <c r="L50" s="879" t="s">
        <v>1201</v>
      </c>
    </row>
    <row r="51" spans="2:12" ht="16.5" customHeight="1">
      <c r="B51" s="1461" t="s">
        <v>499</v>
      </c>
      <c r="C51" s="1462"/>
      <c r="D51" s="1463"/>
      <c r="E51" s="388">
        <v>12</v>
      </c>
      <c r="F51" s="908" t="s">
        <v>701</v>
      </c>
      <c r="G51" s="560"/>
      <c r="H51" s="424">
        <f>TRUNC(E51*$E$23/12,2)</f>
        <v>10</v>
      </c>
      <c r="L51" s="879"/>
    </row>
    <row r="52" spans="2:12" ht="15.75" thickBot="1">
      <c r="B52" s="1455" t="s">
        <v>590</v>
      </c>
      <c r="C52" s="1456"/>
      <c r="D52" s="1457"/>
      <c r="E52" s="383">
        <v>1</v>
      </c>
      <c r="F52" s="425" t="s">
        <v>1326</v>
      </c>
      <c r="G52" s="907"/>
      <c r="H52" s="426">
        <f>TRUNC((E52*E20)/12,2)</f>
        <v>0.08</v>
      </c>
      <c r="L52" s="880" t="s">
        <v>1223</v>
      </c>
    </row>
    <row r="53" spans="2:12">
      <c r="B53" s="209" t="s">
        <v>595</v>
      </c>
      <c r="C53" s="370"/>
      <c r="D53" s="370"/>
      <c r="E53" s="370"/>
      <c r="F53" s="370"/>
      <c r="G53" s="370"/>
      <c r="H53" s="370"/>
    </row>
    <row r="54" spans="2:12">
      <c r="B54" s="211"/>
      <c r="C54" s="370"/>
      <c r="D54" s="370"/>
      <c r="E54" s="370"/>
      <c r="F54" s="370"/>
      <c r="G54" s="370"/>
      <c r="H54" s="370"/>
    </row>
    <row r="55" spans="2:12" ht="15.75" thickBot="1">
      <c r="B55" s="309" t="s">
        <v>1161</v>
      </c>
    </row>
    <row r="56" spans="2:12">
      <c r="B56" s="348" t="s">
        <v>900</v>
      </c>
      <c r="C56" s="732"/>
      <c r="D56" s="732"/>
      <c r="E56" s="348" t="s">
        <v>901</v>
      </c>
      <c r="F56" s="732"/>
      <c r="G56" s="359"/>
      <c r="H56" s="733" t="s">
        <v>584</v>
      </c>
    </row>
    <row r="57" spans="2:12">
      <c r="B57" s="1467" t="s">
        <v>604</v>
      </c>
      <c r="C57" s="1468"/>
      <c r="D57" s="1469"/>
      <c r="E57" s="379">
        <v>0.16700000000000001</v>
      </c>
      <c r="F57" s="421" t="s">
        <v>701</v>
      </c>
      <c r="G57" s="765"/>
      <c r="H57" s="422">
        <f>TRUNC(E57*$E$23/12,2)</f>
        <v>0.13</v>
      </c>
      <c r="L57" s="879" t="s">
        <v>1203</v>
      </c>
    </row>
    <row r="58" spans="2:12">
      <c r="B58" s="320" t="s">
        <v>1038</v>
      </c>
      <c r="C58" s="321"/>
      <c r="D58" s="321"/>
      <c r="E58" s="741">
        <v>0.53600000000000003</v>
      </c>
      <c r="F58" s="346" t="s">
        <v>1171</v>
      </c>
      <c r="G58" s="321"/>
      <c r="H58" s="831">
        <f>TRUNC(E58*$E$12/12,2)</f>
        <v>0.35</v>
      </c>
      <c r="L58" s="880" t="s">
        <v>1242</v>
      </c>
    </row>
    <row r="59" spans="2:12">
      <c r="B59" s="209" t="s">
        <v>595</v>
      </c>
      <c r="C59" s="370"/>
      <c r="D59" s="370"/>
      <c r="E59" s="370"/>
      <c r="F59" s="370"/>
      <c r="G59" s="370"/>
      <c r="H59" s="370"/>
    </row>
    <row r="60" spans="2:12">
      <c r="B60" s="211"/>
      <c r="C60" s="370"/>
      <c r="D60" s="370"/>
      <c r="E60" s="370"/>
      <c r="F60" s="370"/>
      <c r="G60" s="370"/>
      <c r="H60" s="370"/>
    </row>
    <row r="61" spans="2:12" ht="15.75">
      <c r="B61" s="389" t="s">
        <v>943</v>
      </c>
      <c r="C61" s="370"/>
      <c r="D61" s="370"/>
      <c r="E61" s="370"/>
      <c r="F61" s="370"/>
      <c r="G61" s="370"/>
      <c r="H61" s="370"/>
    </row>
    <row r="62" spans="2:12">
      <c r="B62" s="372" t="s">
        <v>944</v>
      </c>
      <c r="C62" s="370"/>
      <c r="D62" s="370"/>
      <c r="E62" s="370"/>
      <c r="F62" s="370"/>
      <c r="G62" s="370"/>
      <c r="H62" s="370"/>
    </row>
    <row r="63" spans="2:12" ht="15.75" thickBot="1">
      <c r="B63" s="372" t="s">
        <v>1295</v>
      </c>
      <c r="C63" s="370"/>
      <c r="D63" s="370"/>
      <c r="E63" s="370"/>
      <c r="F63" s="370"/>
      <c r="G63" s="370"/>
      <c r="H63" s="370"/>
    </row>
    <row r="64" spans="2:12">
      <c r="B64" s="655" t="s">
        <v>1128</v>
      </c>
      <c r="C64" s="656"/>
      <c r="D64" s="656"/>
      <c r="E64" s="656"/>
      <c r="F64" s="656"/>
      <c r="G64" s="657"/>
      <c r="H64" s="658">
        <f>H80+H82+H86+H88</f>
        <v>3271.46</v>
      </c>
    </row>
    <row r="65" spans="2:8" ht="27.75" customHeight="1">
      <c r="B65" s="1482" t="str">
        <f>CONCATENATE("Salário - ",B64)</f>
        <v>Salário - Agente de limpeza pública e serviços gerais</v>
      </c>
      <c r="C65" s="1483"/>
      <c r="D65" s="1484"/>
      <c r="E65" s="662" t="s">
        <v>466</v>
      </c>
      <c r="F65" s="662">
        <v>1</v>
      </c>
      <c r="G65" s="626">
        <f>VLOOKUP(B65,Tabela3[[#All],[descrição]:[fonte]],4,FALSE)</f>
        <v>1115.69</v>
      </c>
      <c r="H65" s="663">
        <f>TRUNC(F65*G65,2)</f>
        <v>1115.69</v>
      </c>
    </row>
    <row r="66" spans="2:8">
      <c r="B66" s="664" t="s">
        <v>855</v>
      </c>
      <c r="C66" s="665"/>
      <c r="D66" s="665"/>
      <c r="E66" s="666" t="s">
        <v>466</v>
      </c>
      <c r="F66" s="666">
        <v>1</v>
      </c>
      <c r="G66" s="626">
        <f>VLOOKUP(B66,Tabela3[[#All],[descrição]:[fonte]],4,FALSE)</f>
        <v>1045</v>
      </c>
      <c r="H66" s="667"/>
    </row>
    <row r="67" spans="2:8">
      <c r="B67" s="664" t="s">
        <v>468</v>
      </c>
      <c r="C67" s="665"/>
      <c r="D67" s="665"/>
      <c r="E67" s="666" t="s">
        <v>469</v>
      </c>
      <c r="F67" s="668"/>
      <c r="G67" s="669"/>
      <c r="H67" s="670"/>
    </row>
    <row r="68" spans="2:8">
      <c r="B68" s="664"/>
      <c r="C68" s="665"/>
      <c r="D68" s="665"/>
      <c r="E68" s="666" t="s">
        <v>470</v>
      </c>
      <c r="F68" s="626">
        <f>F67*8/7</f>
        <v>0</v>
      </c>
      <c r="G68" s="671">
        <f>G65/220*0.2</f>
        <v>1.0142636363636366</v>
      </c>
      <c r="H68" s="667">
        <f>TRUNC(F68*G68,2)</f>
        <v>0</v>
      </c>
    </row>
    <row r="69" spans="2:8">
      <c r="B69" s="664" t="s">
        <v>471</v>
      </c>
      <c r="C69" s="665"/>
      <c r="D69" s="665"/>
      <c r="E69" s="666" t="s">
        <v>472</v>
      </c>
      <c r="F69" s="668"/>
      <c r="G69" s="626">
        <f>G65/220*2</f>
        <v>10.142636363636365</v>
      </c>
      <c r="H69" s="667">
        <f>TRUNC(F69*G69,2)</f>
        <v>0</v>
      </c>
    </row>
    <row r="70" spans="2:8">
      <c r="B70" s="664" t="s">
        <v>473</v>
      </c>
      <c r="C70" s="665"/>
      <c r="D70" s="665"/>
      <c r="E70" s="666" t="s">
        <v>469</v>
      </c>
      <c r="F70" s="668"/>
      <c r="G70" s="626"/>
      <c r="H70" s="667"/>
    </row>
    <row r="71" spans="2:8">
      <c r="B71" s="664"/>
      <c r="C71" s="665"/>
      <c r="D71" s="665"/>
      <c r="E71" s="666" t="s">
        <v>470</v>
      </c>
      <c r="F71" s="626">
        <f>F70*8/7</f>
        <v>0</v>
      </c>
      <c r="G71" s="626">
        <f>G65/220*2*1.2</f>
        <v>12.171163636363637</v>
      </c>
      <c r="H71" s="667">
        <f>TRUNC(F71*G71,2)</f>
        <v>0</v>
      </c>
    </row>
    <row r="72" spans="2:8">
      <c r="B72" s="664" t="s">
        <v>474</v>
      </c>
      <c r="C72" s="665"/>
      <c r="D72" s="665"/>
      <c r="E72" s="666" t="s">
        <v>472</v>
      </c>
      <c r="F72" s="668"/>
      <c r="G72" s="626">
        <f>G65/220*1.5</f>
        <v>7.6069772727272742</v>
      </c>
      <c r="H72" s="667">
        <f>TRUNC(F72*G72,2)</f>
        <v>0</v>
      </c>
    </row>
    <row r="73" spans="2:8">
      <c r="B73" s="664" t="s">
        <v>475</v>
      </c>
      <c r="C73" s="665"/>
      <c r="D73" s="665"/>
      <c r="E73" s="666" t="s">
        <v>469</v>
      </c>
      <c r="F73" s="668"/>
      <c r="G73" s="626"/>
      <c r="H73" s="667"/>
    </row>
    <row r="74" spans="2:8">
      <c r="B74" s="664"/>
      <c r="C74" s="665"/>
      <c r="D74" s="665"/>
      <c r="E74" s="666" t="s">
        <v>470</v>
      </c>
      <c r="F74" s="626">
        <f>F73*8/7</f>
        <v>0</v>
      </c>
      <c r="G74" s="626">
        <f>G65/220*1.5*1.2</f>
        <v>9.128372727272728</v>
      </c>
      <c r="H74" s="667">
        <f>TRUNC(F74*G74,2)</f>
        <v>0</v>
      </c>
    </row>
    <row r="75" spans="2:8">
      <c r="B75" s="664" t="s">
        <v>476</v>
      </c>
      <c r="C75" s="665"/>
      <c r="D75" s="665"/>
      <c r="E75" s="666" t="s">
        <v>477</v>
      </c>
      <c r="F75" s="669"/>
      <c r="G75" s="626">
        <f>TRUNC(((52+9)/304)*(SUM(H69:H74)),2)</f>
        <v>0</v>
      </c>
      <c r="H75" s="667">
        <f>G75</f>
        <v>0</v>
      </c>
    </row>
    <row r="76" spans="2:8">
      <c r="B76" s="664" t="s">
        <v>478</v>
      </c>
      <c r="C76" s="665"/>
      <c r="D76" s="665"/>
      <c r="E76" s="666"/>
      <c r="F76" s="672">
        <v>1</v>
      </c>
      <c r="G76" s="626"/>
      <c r="H76" s="667"/>
    </row>
    <row r="77" spans="2:8">
      <c r="B77" s="664" t="s">
        <v>479</v>
      </c>
      <c r="C77" s="665"/>
      <c r="D77" s="665"/>
      <c r="E77" s="666" t="s">
        <v>480</v>
      </c>
      <c r="F77" s="673">
        <f>VLOOKUP(B65,Tabela3[[#All],[descrição]:[fonte]],3,FALSE)</f>
        <v>40</v>
      </c>
      <c r="G77" s="626">
        <f>IF(F76=2,SUM(H65:H75),IF(F76=1,SUM(H65:H75)*G66/G65,0))</f>
        <v>1045</v>
      </c>
      <c r="H77" s="667">
        <f>TRUNC(F77*G77/100,2)</f>
        <v>418</v>
      </c>
    </row>
    <row r="78" spans="2:8">
      <c r="B78" s="674" t="s">
        <v>481</v>
      </c>
      <c r="C78" s="665"/>
      <c r="D78" s="665"/>
      <c r="E78" s="675"/>
      <c r="F78" s="675"/>
      <c r="G78" s="676"/>
      <c r="H78" s="677">
        <f>SUM(H65:H77)</f>
        <v>1533.69</v>
      </c>
    </row>
    <row r="79" spans="2:8">
      <c r="B79" s="678" t="s">
        <v>482</v>
      </c>
      <c r="C79" s="679"/>
      <c r="D79" s="680"/>
      <c r="E79" s="681" t="s">
        <v>480</v>
      </c>
      <c r="F79" s="682">
        <f>VLOOKUP(B79,Tabela3[[#All],[descrição]:[fonte]],4,FALSE)</f>
        <v>70.489999999999995</v>
      </c>
      <c r="G79" s="682">
        <f>H78</f>
        <v>1533.69</v>
      </c>
      <c r="H79" s="683">
        <f>TRUNC(G79*F79/100,2)</f>
        <v>1081.0899999999999</v>
      </c>
    </row>
    <row r="80" spans="2:8">
      <c r="B80" s="684" t="s">
        <v>861</v>
      </c>
      <c r="C80" s="665"/>
      <c r="D80" s="665"/>
      <c r="E80" s="685"/>
      <c r="F80" s="685"/>
      <c r="G80" s="686"/>
      <c r="H80" s="687">
        <f>TRUNC(H78+H79,2)</f>
        <v>2614.7800000000002</v>
      </c>
    </row>
    <row r="81" spans="2:8">
      <c r="B81" s="751" t="s">
        <v>483</v>
      </c>
      <c r="C81" s="209"/>
      <c r="D81" s="209"/>
      <c r="E81" s="209"/>
      <c r="F81" s="209"/>
      <c r="G81" s="209"/>
      <c r="H81" s="752"/>
    </row>
    <row r="82" spans="2:8">
      <c r="B82" s="690" t="s">
        <v>860</v>
      </c>
      <c r="C82" s="691"/>
      <c r="D82" s="692"/>
      <c r="E82" s="693" t="s">
        <v>484</v>
      </c>
      <c r="F82" s="694">
        <v>1</v>
      </c>
      <c r="G82" s="694">
        <f>H85</f>
        <v>132.72</v>
      </c>
      <c r="H82" s="695">
        <f>TRUNC(G82*F82,2)</f>
        <v>132.72</v>
      </c>
    </row>
    <row r="83" spans="2:8">
      <c r="B83" s="664" t="s">
        <v>485</v>
      </c>
      <c r="C83" s="665"/>
      <c r="D83" s="665"/>
      <c r="E83" s="666" t="s">
        <v>477</v>
      </c>
      <c r="F83" s="626">
        <v>1</v>
      </c>
      <c r="G83" s="626">
        <f>VLOOKUP(B83,Tabela3[[#All],[descrição]:[fonte]],4,FALSE)</f>
        <v>3.95</v>
      </c>
      <c r="H83" s="667"/>
    </row>
    <row r="84" spans="2:8">
      <c r="B84" s="664" t="s">
        <v>486</v>
      </c>
      <c r="C84" s="665"/>
      <c r="D84" s="665"/>
      <c r="E84" s="666" t="s">
        <v>487</v>
      </c>
      <c r="F84" s="626">
        <f>$H$3</f>
        <v>25.33</v>
      </c>
      <c r="G84" s="626"/>
      <c r="H84" s="667"/>
    </row>
    <row r="85" spans="2:8" ht="24.75" customHeight="1">
      <c r="B85" s="1485" t="str">
        <f>CONCATENATE("Vale Transporte - ",B64)</f>
        <v>Vale Transporte - Agente de limpeza pública e serviços gerais</v>
      </c>
      <c r="C85" s="1486"/>
      <c r="D85" s="1487"/>
      <c r="E85" s="697" t="s">
        <v>488</v>
      </c>
      <c r="F85" s="698">
        <f>F84*2*1</f>
        <v>50.66</v>
      </c>
      <c r="G85" s="698">
        <f>IF(TRUNC(IFERROR(((G83)-((G65*0.06)/(F84*2))),"-"),2)&lt;=0,0,TRUNC(IFERROR(((G83)-((G65*0.06)/(F84*2))),"-"),2))</f>
        <v>2.62</v>
      </c>
      <c r="H85" s="699">
        <f>TRUNC(IFERROR(F85*G85,"-"),2)</f>
        <v>132.72</v>
      </c>
    </row>
    <row r="86" spans="2:8">
      <c r="B86" s="690" t="s">
        <v>859</v>
      </c>
      <c r="C86" s="691"/>
      <c r="D86" s="692"/>
      <c r="E86" s="693" t="s">
        <v>484</v>
      </c>
      <c r="F86" s="694">
        <v>1</v>
      </c>
      <c r="G86" s="694">
        <f>H87</f>
        <v>303.95999999999998</v>
      </c>
      <c r="H86" s="695">
        <f>G86*F86</f>
        <v>303.95999999999998</v>
      </c>
    </row>
    <row r="87" spans="2:8">
      <c r="B87" s="700" t="s">
        <v>489</v>
      </c>
      <c r="C87" s="701"/>
      <c r="D87" s="702"/>
      <c r="E87" s="703" t="s">
        <v>490</v>
      </c>
      <c r="F87" s="694">
        <f>F84</f>
        <v>25.33</v>
      </c>
      <c r="G87" s="694">
        <f>VLOOKUP(B87,Tabela3[[#All],[descrição]:[fonte]],4,FALSE)</f>
        <v>12</v>
      </c>
      <c r="H87" s="704">
        <f>TRUNC(F87*G87,2)</f>
        <v>303.95999999999998</v>
      </c>
    </row>
    <row r="88" spans="2:8">
      <c r="B88" s="705" t="s">
        <v>491</v>
      </c>
      <c r="C88" s="706"/>
      <c r="D88" s="707"/>
      <c r="E88" s="675" t="s">
        <v>484</v>
      </c>
      <c r="F88" s="626">
        <v>1</v>
      </c>
      <c r="G88" s="626">
        <f>VLOOKUP(B88,Tabela3[[#All],[descrição]:[fonte]],4,FALSE)</f>
        <v>220</v>
      </c>
      <c r="H88" s="677">
        <f>G88*F88</f>
        <v>220</v>
      </c>
    </row>
    <row r="89" spans="2:8">
      <c r="B89" s="708" t="s">
        <v>384</v>
      </c>
      <c r="C89" s="709"/>
      <c r="D89" s="709"/>
      <c r="E89" s="709"/>
      <c r="F89" s="709"/>
      <c r="G89" s="709"/>
      <c r="H89" s="725">
        <f>E19</f>
        <v>8</v>
      </c>
    </row>
    <row r="90" spans="2:8" ht="15.75" thickBot="1">
      <c r="B90" s="710" t="s">
        <v>854</v>
      </c>
      <c r="C90" s="711"/>
      <c r="D90" s="711"/>
      <c r="E90" s="711"/>
      <c r="F90" s="711"/>
      <c r="G90" s="711"/>
      <c r="H90" s="712">
        <f>H89*H64</f>
        <v>26171.68</v>
      </c>
    </row>
    <row r="91" spans="2:8">
      <c r="B91" s="370"/>
      <c r="C91" s="370"/>
      <c r="D91" s="370"/>
      <c r="E91" s="370"/>
      <c r="F91" s="370"/>
      <c r="G91" s="370"/>
      <c r="H91" s="370"/>
    </row>
    <row r="92" spans="2:8" ht="15.75" thickBot="1">
      <c r="B92" s="372" t="s">
        <v>1296</v>
      </c>
      <c r="C92" s="370"/>
      <c r="D92" s="370"/>
      <c r="E92" s="370"/>
      <c r="F92" s="370"/>
      <c r="G92" s="370"/>
      <c r="H92" s="370"/>
    </row>
    <row r="93" spans="2:8">
      <c r="B93" s="655" t="s">
        <v>1132</v>
      </c>
      <c r="C93" s="656"/>
      <c r="D93" s="656"/>
      <c r="E93" s="656"/>
      <c r="F93" s="656"/>
      <c r="G93" s="657"/>
      <c r="H93" s="658">
        <f>H109+H111+H115+H117</f>
        <v>3490.1499999999996</v>
      </c>
    </row>
    <row r="94" spans="2:8">
      <c r="B94" s="659" t="str">
        <f>CONCATENATE("Salário - ",B93)</f>
        <v>Salário - Encarregado de equipe</v>
      </c>
      <c r="C94" s="660"/>
      <c r="D94" s="661"/>
      <c r="E94" s="662" t="s">
        <v>466</v>
      </c>
      <c r="F94" s="662">
        <v>1</v>
      </c>
      <c r="G94" s="626">
        <f>VLOOKUP(B94,Tabela3[[#All],[descrição]:[fonte]],4,FALSE)</f>
        <v>1465.14</v>
      </c>
      <c r="H94" s="663">
        <f>TRUNC(F94*G94,2)</f>
        <v>1465.14</v>
      </c>
    </row>
    <row r="95" spans="2:8">
      <c r="B95" s="664" t="s">
        <v>855</v>
      </c>
      <c r="C95" s="665"/>
      <c r="D95" s="665"/>
      <c r="E95" s="666" t="s">
        <v>466</v>
      </c>
      <c r="F95" s="666">
        <v>1</v>
      </c>
      <c r="G95" s="626">
        <f>VLOOKUP(B95,Tabela3[[#All],[descrição]:[fonte]],4,FALSE)</f>
        <v>1045</v>
      </c>
      <c r="H95" s="667"/>
    </row>
    <row r="96" spans="2:8">
      <c r="B96" s="664" t="s">
        <v>468</v>
      </c>
      <c r="C96" s="665"/>
      <c r="D96" s="665"/>
      <c r="E96" s="666" t="s">
        <v>469</v>
      </c>
      <c r="F96" s="668"/>
      <c r="G96" s="669"/>
      <c r="H96" s="670"/>
    </row>
    <row r="97" spans="2:8">
      <c r="B97" s="664"/>
      <c r="C97" s="665"/>
      <c r="D97" s="665"/>
      <c r="E97" s="666" t="s">
        <v>470</v>
      </c>
      <c r="F97" s="626">
        <f>F96*8/7</f>
        <v>0</v>
      </c>
      <c r="G97" s="671">
        <f>G94/220*0.2</f>
        <v>1.3319454545454548</v>
      </c>
      <c r="H97" s="667">
        <f>TRUNC(F97*G97,2)</f>
        <v>0</v>
      </c>
    </row>
    <row r="98" spans="2:8">
      <c r="B98" s="664" t="s">
        <v>471</v>
      </c>
      <c r="C98" s="665"/>
      <c r="D98" s="665"/>
      <c r="E98" s="666" t="s">
        <v>472</v>
      </c>
      <c r="F98" s="668"/>
      <c r="G98" s="626">
        <f>G94/220*2</f>
        <v>13.319454545454546</v>
      </c>
      <c r="H98" s="667">
        <f>TRUNC(F98*G98,2)</f>
        <v>0</v>
      </c>
    </row>
    <row r="99" spans="2:8">
      <c r="B99" s="664" t="s">
        <v>473</v>
      </c>
      <c r="C99" s="665"/>
      <c r="D99" s="665"/>
      <c r="E99" s="666" t="s">
        <v>469</v>
      </c>
      <c r="F99" s="668"/>
      <c r="G99" s="626"/>
      <c r="H99" s="667"/>
    </row>
    <row r="100" spans="2:8">
      <c r="B100" s="664"/>
      <c r="C100" s="665"/>
      <c r="D100" s="665"/>
      <c r="E100" s="666" t="s">
        <v>470</v>
      </c>
      <c r="F100" s="626">
        <f>F99*8/7</f>
        <v>0</v>
      </c>
      <c r="G100" s="626">
        <f>G94/220*2*1.2</f>
        <v>15.983345454545454</v>
      </c>
      <c r="H100" s="667">
        <f>TRUNC(F100*G100,2)</f>
        <v>0</v>
      </c>
    </row>
    <row r="101" spans="2:8">
      <c r="B101" s="664" t="s">
        <v>474</v>
      </c>
      <c r="C101" s="665"/>
      <c r="D101" s="665"/>
      <c r="E101" s="666" t="s">
        <v>472</v>
      </c>
      <c r="F101" s="668"/>
      <c r="G101" s="626">
        <f>G94/220*1.5</f>
        <v>9.989590909090909</v>
      </c>
      <c r="H101" s="667">
        <f>TRUNC(F101*G101,2)</f>
        <v>0</v>
      </c>
    </row>
    <row r="102" spans="2:8">
      <c r="B102" s="664" t="s">
        <v>475</v>
      </c>
      <c r="C102" s="665"/>
      <c r="D102" s="665"/>
      <c r="E102" s="666" t="s">
        <v>469</v>
      </c>
      <c r="F102" s="668"/>
      <c r="G102" s="626"/>
      <c r="H102" s="667"/>
    </row>
    <row r="103" spans="2:8">
      <c r="B103" s="664"/>
      <c r="C103" s="665"/>
      <c r="D103" s="665"/>
      <c r="E103" s="666" t="s">
        <v>470</v>
      </c>
      <c r="F103" s="626">
        <f>F102*8/7</f>
        <v>0</v>
      </c>
      <c r="G103" s="626">
        <f>G94/220*1.5*1.2</f>
        <v>11.987509090909091</v>
      </c>
      <c r="H103" s="667">
        <f>TRUNC(F103*G103,2)</f>
        <v>0</v>
      </c>
    </row>
    <row r="104" spans="2:8">
      <c r="B104" s="664" t="s">
        <v>476</v>
      </c>
      <c r="C104" s="665"/>
      <c r="D104" s="665"/>
      <c r="E104" s="666" t="s">
        <v>477</v>
      </c>
      <c r="F104" s="669"/>
      <c r="G104" s="626">
        <f>TRUNC(((52+9)/304)*(SUM(H98:H103)),2)</f>
        <v>0</v>
      </c>
      <c r="H104" s="667">
        <f>G104</f>
        <v>0</v>
      </c>
    </row>
    <row r="105" spans="2:8">
      <c r="B105" s="664" t="s">
        <v>478</v>
      </c>
      <c r="C105" s="665"/>
      <c r="D105" s="665"/>
      <c r="E105" s="666"/>
      <c r="F105" s="672">
        <v>1</v>
      </c>
      <c r="G105" s="626"/>
      <c r="H105" s="667"/>
    </row>
    <row r="106" spans="2:8">
      <c r="B106" s="664" t="s">
        <v>479</v>
      </c>
      <c r="C106" s="665"/>
      <c r="D106" s="665"/>
      <c r="E106" s="666" t="s">
        <v>480</v>
      </c>
      <c r="F106" s="673">
        <f>VLOOKUP(B94,Tabela3[[#All],[descrição]:[fonte]],3,FALSE)</f>
        <v>20</v>
      </c>
      <c r="G106" s="626">
        <f>IF(F105=2,SUM(H94:H104),IF(F105=1,SUM(H94:H104)*G95/G94,0))</f>
        <v>1045</v>
      </c>
      <c r="H106" s="667">
        <f>TRUNC(F106*G106/100,2)</f>
        <v>209</v>
      </c>
    </row>
    <row r="107" spans="2:8">
      <c r="B107" s="674" t="s">
        <v>481</v>
      </c>
      <c r="C107" s="665"/>
      <c r="D107" s="665"/>
      <c r="E107" s="675"/>
      <c r="F107" s="675"/>
      <c r="G107" s="676"/>
      <c r="H107" s="677">
        <f>SUM(H94:H106)</f>
        <v>1674.14</v>
      </c>
    </row>
    <row r="108" spans="2:8">
      <c r="B108" s="678" t="s">
        <v>482</v>
      </c>
      <c r="C108" s="679"/>
      <c r="D108" s="680"/>
      <c r="E108" s="681" t="s">
        <v>480</v>
      </c>
      <c r="F108" s="682">
        <f>VLOOKUP(B108,Tabela3[[#All],[descrição]:[fonte]],4,FALSE)</f>
        <v>70.489999999999995</v>
      </c>
      <c r="G108" s="682">
        <f>H107</f>
        <v>1674.14</v>
      </c>
      <c r="H108" s="683">
        <f>TRUNC(G108*F108/100,2)</f>
        <v>1180.0999999999999</v>
      </c>
    </row>
    <row r="109" spans="2:8">
      <c r="B109" s="684" t="s">
        <v>861</v>
      </c>
      <c r="C109" s="665"/>
      <c r="D109" s="665"/>
      <c r="E109" s="685"/>
      <c r="F109" s="685"/>
      <c r="G109" s="686"/>
      <c r="H109" s="687">
        <f>TRUNC(H107+H108,2)</f>
        <v>2854.24</v>
      </c>
    </row>
    <row r="110" spans="2:8">
      <c r="B110" s="751" t="s">
        <v>483</v>
      </c>
      <c r="C110" s="209"/>
      <c r="D110" s="209"/>
      <c r="E110" s="209"/>
      <c r="F110" s="209"/>
      <c r="G110" s="209"/>
      <c r="H110" s="752"/>
    </row>
    <row r="111" spans="2:8">
      <c r="B111" s="690" t="s">
        <v>860</v>
      </c>
      <c r="C111" s="691"/>
      <c r="D111" s="692"/>
      <c r="E111" s="693" t="s">
        <v>484</v>
      </c>
      <c r="F111" s="694">
        <v>1</v>
      </c>
      <c r="G111" s="694">
        <f>H114</f>
        <v>111.95</v>
      </c>
      <c r="H111" s="695">
        <f>TRUNC(G111*F111,2)</f>
        <v>111.95</v>
      </c>
    </row>
    <row r="112" spans="2:8">
      <c r="B112" s="664" t="s">
        <v>485</v>
      </c>
      <c r="C112" s="665"/>
      <c r="D112" s="665"/>
      <c r="E112" s="666" t="s">
        <v>477</v>
      </c>
      <c r="F112" s="626">
        <v>1</v>
      </c>
      <c r="G112" s="626">
        <f>VLOOKUP(B112,Tabela3[[#All],[descrição]:[fonte]],4,FALSE)</f>
        <v>3.95</v>
      </c>
      <c r="H112" s="667"/>
    </row>
    <row r="113" spans="2:8">
      <c r="B113" s="664" t="s">
        <v>486</v>
      </c>
      <c r="C113" s="665"/>
      <c r="D113" s="665"/>
      <c r="E113" s="666" t="s">
        <v>487</v>
      </c>
      <c r="F113" s="626">
        <f>$H$3</f>
        <v>25.33</v>
      </c>
      <c r="G113" s="626"/>
      <c r="H113" s="667"/>
    </row>
    <row r="114" spans="2:8">
      <c r="B114" s="696" t="str">
        <f>CONCATENATE("Vale Transporte - ",B93)</f>
        <v>Vale Transporte - Encarregado de equipe</v>
      </c>
      <c r="C114" s="665"/>
      <c r="D114" s="665"/>
      <c r="E114" s="697" t="s">
        <v>488</v>
      </c>
      <c r="F114" s="698">
        <f>F113*2*1</f>
        <v>50.66</v>
      </c>
      <c r="G114" s="698">
        <f>IF(TRUNC(IFERROR(((G112)-((G94*0.06)/(F113*2))),"-"),2)&lt;=0,0,TRUNC(IFERROR(((G112)-((G94*0.06)/(F113*2))),"-"),2))</f>
        <v>2.21</v>
      </c>
      <c r="H114" s="699">
        <f>TRUNC(IFERROR(F114*G114,"-"),2)</f>
        <v>111.95</v>
      </c>
    </row>
    <row r="115" spans="2:8">
      <c r="B115" s="690" t="s">
        <v>859</v>
      </c>
      <c r="C115" s="691"/>
      <c r="D115" s="692"/>
      <c r="E115" s="693" t="s">
        <v>484</v>
      </c>
      <c r="F115" s="694">
        <v>1</v>
      </c>
      <c r="G115" s="694">
        <f>H116</f>
        <v>303.95999999999998</v>
      </c>
      <c r="H115" s="695">
        <f>G115*F115</f>
        <v>303.95999999999998</v>
      </c>
    </row>
    <row r="116" spans="2:8">
      <c r="B116" s="700" t="s">
        <v>489</v>
      </c>
      <c r="C116" s="701"/>
      <c r="D116" s="702"/>
      <c r="E116" s="703" t="s">
        <v>490</v>
      </c>
      <c r="F116" s="694">
        <f>F113</f>
        <v>25.33</v>
      </c>
      <c r="G116" s="694">
        <f>VLOOKUP(B116,Tabela3[[#All],[descrição]:[fonte]],4,FALSE)</f>
        <v>12</v>
      </c>
      <c r="H116" s="704">
        <f>TRUNC(F116*G116,2)</f>
        <v>303.95999999999998</v>
      </c>
    </row>
    <row r="117" spans="2:8">
      <c r="B117" s="705" t="s">
        <v>491</v>
      </c>
      <c r="C117" s="706"/>
      <c r="D117" s="707"/>
      <c r="E117" s="675" t="s">
        <v>484</v>
      </c>
      <c r="F117" s="626">
        <v>1</v>
      </c>
      <c r="G117" s="626">
        <f>VLOOKUP(B117,Tabela3[[#All],[descrição]:[fonte]],4,FALSE)</f>
        <v>220</v>
      </c>
      <c r="H117" s="677">
        <f>G117*F117</f>
        <v>220</v>
      </c>
    </row>
    <row r="118" spans="2:8">
      <c r="B118" s="708" t="s">
        <v>384</v>
      </c>
      <c r="C118" s="709"/>
      <c r="D118" s="709"/>
      <c r="E118" s="709"/>
      <c r="F118" s="709"/>
      <c r="G118" s="709"/>
      <c r="H118" s="725">
        <f>E20</f>
        <v>1</v>
      </c>
    </row>
    <row r="119" spans="2:8" ht="15.75" thickBot="1">
      <c r="B119" s="710" t="s">
        <v>854</v>
      </c>
      <c r="C119" s="711"/>
      <c r="D119" s="711"/>
      <c r="E119" s="711"/>
      <c r="F119" s="711"/>
      <c r="G119" s="711"/>
      <c r="H119" s="712">
        <f>H118*H93</f>
        <v>3490.1499999999996</v>
      </c>
    </row>
    <row r="120" spans="2:8">
      <c r="B120" s="370"/>
      <c r="C120" s="370"/>
      <c r="D120" s="370"/>
      <c r="E120" s="370"/>
      <c r="F120" s="370"/>
      <c r="G120" s="370"/>
      <c r="H120" s="370"/>
    </row>
    <row r="121" spans="2:8" ht="15.75" thickBot="1">
      <c r="B121" s="372" t="s">
        <v>1297</v>
      </c>
      <c r="C121" s="370"/>
      <c r="D121" s="370"/>
      <c r="E121" s="370"/>
      <c r="F121" s="370"/>
      <c r="G121" s="370"/>
      <c r="H121" s="370"/>
    </row>
    <row r="122" spans="2:8">
      <c r="B122" s="655" t="s">
        <v>729</v>
      </c>
      <c r="C122" s="656"/>
      <c r="D122" s="656"/>
      <c r="E122" s="656"/>
      <c r="F122" s="656"/>
      <c r="G122" s="657"/>
      <c r="H122" s="658">
        <f>H138+H140+H144+H146</f>
        <v>3945.52</v>
      </c>
    </row>
    <row r="123" spans="2:8">
      <c r="B123" s="587" t="str">
        <f>CONCATENATE("Salário - ",B122)</f>
        <v>Salário - Motorista</v>
      </c>
      <c r="C123" s="660"/>
      <c r="D123" s="661"/>
      <c r="E123" s="662" t="s">
        <v>466</v>
      </c>
      <c r="F123" s="662">
        <v>1</v>
      </c>
      <c r="G123" s="626">
        <f>VLOOKUP(B123,Tabela3[[#All],[descrição]:[fonte]],4,FALSE)</f>
        <v>1742.04</v>
      </c>
      <c r="H123" s="663">
        <f>TRUNC(F123*G123,2)</f>
        <v>1742.04</v>
      </c>
    </row>
    <row r="124" spans="2:8">
      <c r="B124" s="664" t="s">
        <v>855</v>
      </c>
      <c r="C124" s="665"/>
      <c r="D124" s="665"/>
      <c r="E124" s="666" t="s">
        <v>466</v>
      </c>
      <c r="F124" s="666">
        <v>1</v>
      </c>
      <c r="G124" s="626">
        <f>VLOOKUP(B124,Tabela3[[#All],[descrição]:[fonte]],4,FALSE)</f>
        <v>1045</v>
      </c>
      <c r="H124" s="667"/>
    </row>
    <row r="125" spans="2:8">
      <c r="B125" s="664" t="s">
        <v>468</v>
      </c>
      <c r="C125" s="665"/>
      <c r="D125" s="665"/>
      <c r="E125" s="666" t="s">
        <v>469</v>
      </c>
      <c r="F125" s="668"/>
      <c r="G125" s="669"/>
      <c r="H125" s="670"/>
    </row>
    <row r="126" spans="2:8">
      <c r="B126" s="664"/>
      <c r="C126" s="665"/>
      <c r="D126" s="665"/>
      <c r="E126" s="666" t="s">
        <v>470</v>
      </c>
      <c r="F126" s="626">
        <f>F125*8/7</f>
        <v>0</v>
      </c>
      <c r="G126" s="671">
        <f>G123/220*0.2</f>
        <v>1.5836727272727273</v>
      </c>
      <c r="H126" s="667">
        <f>TRUNC(F126*G126,2)</f>
        <v>0</v>
      </c>
    </row>
    <row r="127" spans="2:8">
      <c r="B127" s="664" t="s">
        <v>471</v>
      </c>
      <c r="C127" s="665"/>
      <c r="D127" s="665"/>
      <c r="E127" s="666" t="s">
        <v>472</v>
      </c>
      <c r="F127" s="668"/>
      <c r="G127" s="626">
        <f>G123/220*2</f>
        <v>15.836727272727272</v>
      </c>
      <c r="H127" s="667">
        <f>TRUNC(F127*G127,2)</f>
        <v>0</v>
      </c>
    </row>
    <row r="128" spans="2:8">
      <c r="B128" s="664" t="s">
        <v>473</v>
      </c>
      <c r="C128" s="665"/>
      <c r="D128" s="665"/>
      <c r="E128" s="666" t="s">
        <v>469</v>
      </c>
      <c r="F128" s="668"/>
      <c r="G128" s="626"/>
      <c r="H128" s="667"/>
    </row>
    <row r="129" spans="2:8">
      <c r="B129" s="664"/>
      <c r="C129" s="665"/>
      <c r="D129" s="665"/>
      <c r="E129" s="666" t="s">
        <v>470</v>
      </c>
      <c r="F129" s="626">
        <f>F128*8/7</f>
        <v>0</v>
      </c>
      <c r="G129" s="626">
        <f>G123/220*2*1.2</f>
        <v>19.004072727272725</v>
      </c>
      <c r="H129" s="667">
        <f>TRUNC(F129*G129,2)</f>
        <v>0</v>
      </c>
    </row>
    <row r="130" spans="2:8">
      <c r="B130" s="664" t="s">
        <v>474</v>
      </c>
      <c r="C130" s="665"/>
      <c r="D130" s="665"/>
      <c r="E130" s="666" t="s">
        <v>472</v>
      </c>
      <c r="F130" s="668"/>
      <c r="G130" s="626">
        <f>G123/220*1.5</f>
        <v>11.877545454545453</v>
      </c>
      <c r="H130" s="667">
        <f>TRUNC(F130*G130,2)</f>
        <v>0</v>
      </c>
    </row>
    <row r="131" spans="2:8">
      <c r="B131" s="664" t="s">
        <v>475</v>
      </c>
      <c r="C131" s="665"/>
      <c r="D131" s="665"/>
      <c r="E131" s="666" t="s">
        <v>469</v>
      </c>
      <c r="F131" s="668"/>
      <c r="G131" s="626"/>
      <c r="H131" s="667"/>
    </row>
    <row r="132" spans="2:8">
      <c r="B132" s="664"/>
      <c r="C132" s="665"/>
      <c r="D132" s="665"/>
      <c r="E132" s="666" t="s">
        <v>470</v>
      </c>
      <c r="F132" s="626">
        <f>F131*8/7</f>
        <v>0</v>
      </c>
      <c r="G132" s="626">
        <f>G123/220*1.5*1.2</f>
        <v>14.253054545454544</v>
      </c>
      <c r="H132" s="667">
        <f>TRUNC(F132*G132,2)</f>
        <v>0</v>
      </c>
    </row>
    <row r="133" spans="2:8">
      <c r="B133" s="664" t="s">
        <v>476</v>
      </c>
      <c r="C133" s="665"/>
      <c r="D133" s="665"/>
      <c r="E133" s="666" t="s">
        <v>477</v>
      </c>
      <c r="F133" s="669"/>
      <c r="G133" s="626">
        <f>TRUNC(((52+9)/304)*(SUM(H127:H132)),2)</f>
        <v>0</v>
      </c>
      <c r="H133" s="667">
        <f>G133</f>
        <v>0</v>
      </c>
    </row>
    <row r="134" spans="2:8">
      <c r="B134" s="664" t="s">
        <v>478</v>
      </c>
      <c r="C134" s="665"/>
      <c r="D134" s="665"/>
      <c r="E134" s="666"/>
      <c r="F134" s="672">
        <v>1</v>
      </c>
      <c r="G134" s="626"/>
      <c r="H134" s="667"/>
    </row>
    <row r="135" spans="2:8">
      <c r="B135" s="664" t="s">
        <v>479</v>
      </c>
      <c r="C135" s="665"/>
      <c r="D135" s="665"/>
      <c r="E135" s="666" t="s">
        <v>480</v>
      </c>
      <c r="F135" s="673">
        <f>VLOOKUP(B123,Tabela3[[#All],[descrição]:[fonte]],3,FALSE)</f>
        <v>20</v>
      </c>
      <c r="G135" s="626">
        <f>IF(F134=2,SUM(H123:H133),IF(F134=1,SUM(H123:H133)*G124/G123,0))</f>
        <v>1045</v>
      </c>
      <c r="H135" s="667">
        <f>TRUNC(F135*G135/100,2)</f>
        <v>209</v>
      </c>
    </row>
    <row r="136" spans="2:8">
      <c r="B136" s="674" t="s">
        <v>481</v>
      </c>
      <c r="C136" s="665"/>
      <c r="D136" s="665"/>
      <c r="E136" s="675"/>
      <c r="F136" s="675"/>
      <c r="G136" s="676"/>
      <c r="H136" s="677">
        <f>SUM(H123:H135)</f>
        <v>1951.04</v>
      </c>
    </row>
    <row r="137" spans="2:8">
      <c r="B137" s="678" t="s">
        <v>482</v>
      </c>
      <c r="C137" s="679"/>
      <c r="D137" s="680"/>
      <c r="E137" s="681" t="s">
        <v>480</v>
      </c>
      <c r="F137" s="682">
        <f>VLOOKUP(B137,Tabela3[[#All],[descrição]:[fonte]],4,FALSE)</f>
        <v>70.489999999999995</v>
      </c>
      <c r="G137" s="682">
        <f>H136</f>
        <v>1951.04</v>
      </c>
      <c r="H137" s="683">
        <f>TRUNC(G137*F137/100,2)</f>
        <v>1375.28</v>
      </c>
    </row>
    <row r="138" spans="2:8">
      <c r="B138" s="684" t="s">
        <v>861</v>
      </c>
      <c r="C138" s="665"/>
      <c r="D138" s="665"/>
      <c r="E138" s="685"/>
      <c r="F138" s="685"/>
      <c r="G138" s="686"/>
      <c r="H138" s="687">
        <f>TRUNC(H136+H137,2)</f>
        <v>3326.32</v>
      </c>
    </row>
    <row r="139" spans="2:8">
      <c r="B139" s="751" t="s">
        <v>483</v>
      </c>
      <c r="C139" s="209"/>
      <c r="D139" s="209"/>
      <c r="E139" s="209"/>
      <c r="F139" s="209"/>
      <c r="G139" s="209"/>
      <c r="H139" s="752"/>
    </row>
    <row r="140" spans="2:8">
      <c r="B140" s="690" t="s">
        <v>860</v>
      </c>
      <c r="C140" s="691"/>
      <c r="D140" s="692"/>
      <c r="E140" s="693" t="s">
        <v>484</v>
      </c>
      <c r="F140" s="694">
        <v>1</v>
      </c>
      <c r="G140" s="694">
        <f>H143</f>
        <v>95.24</v>
      </c>
      <c r="H140" s="695">
        <f>TRUNC(G140*F140,2)</f>
        <v>95.24</v>
      </c>
    </row>
    <row r="141" spans="2:8">
      <c r="B141" s="664" t="s">
        <v>485</v>
      </c>
      <c r="C141" s="665"/>
      <c r="D141" s="665"/>
      <c r="E141" s="666" t="s">
        <v>477</v>
      </c>
      <c r="F141" s="626">
        <v>1</v>
      </c>
      <c r="G141" s="626">
        <f>VLOOKUP(B141,Tabela3[[#All],[descrição]:[fonte]],4,FALSE)</f>
        <v>3.95</v>
      </c>
      <c r="H141" s="667"/>
    </row>
    <row r="142" spans="2:8">
      <c r="B142" s="664" t="s">
        <v>486</v>
      </c>
      <c r="C142" s="665"/>
      <c r="D142" s="665"/>
      <c r="E142" s="666" t="s">
        <v>487</v>
      </c>
      <c r="F142" s="626">
        <f>$H$3</f>
        <v>25.33</v>
      </c>
      <c r="G142" s="626"/>
      <c r="H142" s="667"/>
    </row>
    <row r="143" spans="2:8">
      <c r="B143" s="696" t="str">
        <f>CONCATENATE("Vale Transporte - ",B122)</f>
        <v>Vale Transporte - Motorista</v>
      </c>
      <c r="C143" s="665"/>
      <c r="D143" s="665"/>
      <c r="E143" s="697" t="s">
        <v>488</v>
      </c>
      <c r="F143" s="698">
        <f>F142*2*1</f>
        <v>50.66</v>
      </c>
      <c r="G143" s="698">
        <f>IF(TRUNC(IFERROR(((G141)-((G123*0.06)/(F142*2))),"-"),2)&lt;=0,0,TRUNC(IFERROR(((G141)-((G123*0.06)/(F142*2))),"-"),2))</f>
        <v>1.88</v>
      </c>
      <c r="H143" s="699">
        <f>TRUNC(IFERROR(F143*G143,"-"),2)</f>
        <v>95.24</v>
      </c>
    </row>
    <row r="144" spans="2:8">
      <c r="B144" s="690" t="s">
        <v>859</v>
      </c>
      <c r="C144" s="691"/>
      <c r="D144" s="692"/>
      <c r="E144" s="693" t="s">
        <v>484</v>
      </c>
      <c r="F144" s="694">
        <v>1</v>
      </c>
      <c r="G144" s="694">
        <f>H145</f>
        <v>303.95999999999998</v>
      </c>
      <c r="H144" s="695">
        <f>G144*F144</f>
        <v>303.95999999999998</v>
      </c>
    </row>
    <row r="145" spans="2:8">
      <c r="B145" s="700" t="s">
        <v>489</v>
      </c>
      <c r="C145" s="701"/>
      <c r="D145" s="702"/>
      <c r="E145" s="703" t="s">
        <v>490</v>
      </c>
      <c r="F145" s="694">
        <f>F142</f>
        <v>25.33</v>
      </c>
      <c r="G145" s="694">
        <f>VLOOKUP(B145,Tabela3[[#All],[descrição]:[fonte]],4,FALSE)</f>
        <v>12</v>
      </c>
      <c r="H145" s="704">
        <f>TRUNC(F145*G145,2)</f>
        <v>303.95999999999998</v>
      </c>
    </row>
    <row r="146" spans="2:8">
      <c r="B146" s="705" t="s">
        <v>491</v>
      </c>
      <c r="C146" s="706"/>
      <c r="D146" s="707"/>
      <c r="E146" s="675" t="s">
        <v>484</v>
      </c>
      <c r="F146" s="626">
        <v>1</v>
      </c>
      <c r="G146" s="626">
        <f>VLOOKUP(B146,Tabela3[[#All],[descrição]:[fonte]],4,FALSE)</f>
        <v>220</v>
      </c>
      <c r="H146" s="677">
        <f>G146*F146</f>
        <v>220</v>
      </c>
    </row>
    <row r="147" spans="2:8">
      <c r="B147" s="708" t="s">
        <v>384</v>
      </c>
      <c r="C147" s="709"/>
      <c r="D147" s="709"/>
      <c r="E147" s="709"/>
      <c r="F147" s="709"/>
      <c r="G147" s="709"/>
      <c r="H147" s="725">
        <f>E21</f>
        <v>1</v>
      </c>
    </row>
    <row r="148" spans="2:8" ht="15.75" thickBot="1">
      <c r="B148" s="710" t="s">
        <v>854</v>
      </c>
      <c r="C148" s="711"/>
      <c r="D148" s="711"/>
      <c r="E148" s="711"/>
      <c r="F148" s="711"/>
      <c r="G148" s="711"/>
      <c r="H148" s="712">
        <f>H147*H122</f>
        <v>3945.52</v>
      </c>
    </row>
    <row r="149" spans="2:8" ht="15.75" thickBot="1">
      <c r="B149" s="370"/>
      <c r="C149" s="370"/>
      <c r="D149" s="370"/>
      <c r="E149" s="370"/>
      <c r="F149" s="370"/>
      <c r="G149" s="370"/>
      <c r="H149" s="370"/>
    </row>
    <row r="150" spans="2:8" ht="15.75" thickBot="1">
      <c r="B150" s="218" t="s">
        <v>598</v>
      </c>
      <c r="C150" s="562"/>
      <c r="D150" s="562"/>
      <c r="E150" s="562"/>
      <c r="F150" s="562"/>
      <c r="G150" s="562"/>
      <c r="H150" s="390">
        <f>H148+H119+H90</f>
        <v>33607.35</v>
      </c>
    </row>
    <row r="151" spans="2:8">
      <c r="B151" s="370"/>
      <c r="C151" s="370"/>
      <c r="D151" s="370"/>
      <c r="E151" s="370"/>
      <c r="F151" s="370"/>
      <c r="G151" s="370"/>
      <c r="H151" s="370"/>
    </row>
    <row r="152" spans="2:8">
      <c r="B152" s="372" t="s">
        <v>945</v>
      </c>
      <c r="C152" s="370"/>
      <c r="D152" s="370"/>
      <c r="E152" s="370"/>
      <c r="F152" s="370"/>
      <c r="G152" s="370"/>
      <c r="H152" s="370"/>
    </row>
    <row r="153" spans="2:8" ht="30">
      <c r="B153" s="645" t="s">
        <v>900</v>
      </c>
      <c r="C153" s="646"/>
      <c r="D153" s="648"/>
      <c r="E153" s="649" t="s">
        <v>1164</v>
      </c>
      <c r="F153" s="650" t="s">
        <v>1165</v>
      </c>
      <c r="G153" s="649" t="s">
        <v>1166</v>
      </c>
      <c r="H153" s="651" t="s">
        <v>1167</v>
      </c>
    </row>
    <row r="154" spans="2:8">
      <c r="B154" s="563" t="str">
        <f>B29</f>
        <v>Balde</v>
      </c>
      <c r="C154" s="564"/>
      <c r="D154" s="564"/>
      <c r="E154" s="391" t="s">
        <v>601</v>
      </c>
      <c r="F154" s="427">
        <f>H29</f>
        <v>0.66</v>
      </c>
      <c r="G154" s="394">
        <f>VLOOKUP(B154,Tabela1[[#All],[ITENS PARA ORÇAMENTO]:[MEDIANA]],11,FALSE)</f>
        <v>15.5</v>
      </c>
      <c r="H154" s="393">
        <f>TRUNC(G154*F154,2)</f>
        <v>10.23</v>
      </c>
    </row>
    <row r="155" spans="2:8">
      <c r="B155" s="565" t="str">
        <f>B30</f>
        <v>Trincha</v>
      </c>
      <c r="C155" s="370"/>
      <c r="D155" s="370"/>
      <c r="E155" s="217" t="s">
        <v>601</v>
      </c>
      <c r="F155" s="428">
        <f>H30</f>
        <v>0.66</v>
      </c>
      <c r="G155" s="394">
        <f>VLOOKUP(B155,Tabela1[[#All],[ITENS PARA ORÇAMENTO]:[MEDIANA]],11,FALSE)</f>
        <v>3.52</v>
      </c>
      <c r="H155" s="395">
        <f>TRUNC(G155*F155,2)</f>
        <v>2.3199999999999998</v>
      </c>
    </row>
    <row r="156" spans="2:8">
      <c r="B156" s="565" t="str">
        <f>B31</f>
        <v>vassoura</v>
      </c>
      <c r="C156" s="370"/>
      <c r="D156" s="370"/>
      <c r="E156" s="217" t="s">
        <v>601</v>
      </c>
      <c r="F156" s="428">
        <f>H31</f>
        <v>0.33</v>
      </c>
      <c r="G156" s="394">
        <f>VLOOKUP(B156,Tabela1[[#All],[ITENS PARA ORÇAMENTO]:[MEDIANA]],11,FALSE)</f>
        <v>25.97</v>
      </c>
      <c r="H156" s="395">
        <f>TRUNC(G156*F156,2)</f>
        <v>8.57</v>
      </c>
    </row>
    <row r="157" spans="2:8">
      <c r="B157" s="567" t="str">
        <f>B32</f>
        <v>Cal (saco - 8kg)</v>
      </c>
      <c r="C157" s="568"/>
      <c r="D157" s="568"/>
      <c r="E157" s="396" t="s">
        <v>601</v>
      </c>
      <c r="F157" s="429">
        <v>1945.6000000000001</v>
      </c>
      <c r="G157" s="397">
        <v>8.02</v>
      </c>
      <c r="H157" s="398">
        <v>15603.71</v>
      </c>
    </row>
    <row r="158" spans="2:8" ht="15.75" thickBot="1">
      <c r="B158" s="211" t="s">
        <v>595</v>
      </c>
      <c r="C158" s="370"/>
      <c r="D158" s="370"/>
      <c r="E158" s="370"/>
      <c r="F158" s="370"/>
      <c r="G158" s="370"/>
      <c r="H158" s="370"/>
    </row>
    <row r="159" spans="2:8" ht="15.75" thickBot="1">
      <c r="B159" s="218" t="s">
        <v>602</v>
      </c>
      <c r="C159" s="562"/>
      <c r="D159" s="562"/>
      <c r="E159" s="562"/>
      <c r="F159" s="562"/>
      <c r="G159" s="562"/>
      <c r="H159" s="390">
        <f>SUM(H154:H157)</f>
        <v>15624.83</v>
      </c>
    </row>
    <row r="160" spans="2:8">
      <c r="B160" s="370"/>
      <c r="C160" s="370"/>
      <c r="D160" s="370"/>
      <c r="E160" s="370"/>
      <c r="F160" s="370"/>
      <c r="G160" s="370"/>
      <c r="H160" s="370"/>
    </row>
    <row r="161" spans="2:21">
      <c r="B161" s="372" t="s">
        <v>946</v>
      </c>
      <c r="C161" s="370"/>
      <c r="D161" s="370"/>
      <c r="E161" s="370"/>
      <c r="F161" s="370"/>
      <c r="G161" s="370"/>
      <c r="H161" s="370"/>
    </row>
    <row r="162" spans="2:21">
      <c r="B162" s="372" t="s">
        <v>1298</v>
      </c>
      <c r="C162" s="370"/>
      <c r="D162" s="370"/>
      <c r="E162" s="370"/>
      <c r="F162" s="370"/>
      <c r="G162" s="370"/>
      <c r="H162" s="370"/>
    </row>
    <row r="163" spans="2:21">
      <c r="B163" s="570" t="s">
        <v>900</v>
      </c>
      <c r="C163" s="571"/>
      <c r="D163" s="571"/>
      <c r="E163" s="571" t="s">
        <v>1164</v>
      </c>
      <c r="F163" s="571"/>
      <c r="G163" s="571"/>
      <c r="H163" s="750" t="s">
        <v>1168</v>
      </c>
    </row>
    <row r="164" spans="2:21">
      <c r="B164" s="216" t="str">
        <f>B37</f>
        <v xml:space="preserve">Trator </v>
      </c>
      <c r="C164" s="562"/>
      <c r="D164" s="562"/>
      <c r="E164" s="399" t="s">
        <v>616</v>
      </c>
      <c r="F164" s="562"/>
      <c r="G164" s="562"/>
      <c r="H164" s="527">
        <f>TRUNC(H168+H171+H174,2)</f>
        <v>1615.51</v>
      </c>
    </row>
    <row r="165" spans="2:21">
      <c r="B165" s="563" t="s">
        <v>882</v>
      </c>
      <c r="C165" s="564"/>
      <c r="D165" s="370"/>
      <c r="E165" s="391" t="s">
        <v>601</v>
      </c>
      <c r="F165" s="564"/>
      <c r="G165" s="564"/>
      <c r="H165" s="528">
        <f>VLOOKUP(B164,Tabela1[[#All],[ITENS PARA ORÇAMENTO]:[MEDIANA]],11,FALSE)</f>
        <v>115000</v>
      </c>
    </row>
    <row r="166" spans="2:21">
      <c r="B166" s="565" t="s">
        <v>605</v>
      </c>
      <c r="C166" s="370"/>
      <c r="D166" s="370"/>
      <c r="E166" s="217" t="s">
        <v>615</v>
      </c>
      <c r="F166" s="370"/>
      <c r="G166" s="370"/>
      <c r="H166" s="566">
        <f>G37/12</f>
        <v>10</v>
      </c>
      <c r="L166" s="879" t="s">
        <v>1233</v>
      </c>
    </row>
    <row r="167" spans="2:21">
      <c r="B167" s="565" t="s">
        <v>606</v>
      </c>
      <c r="C167" s="370"/>
      <c r="D167" s="370"/>
      <c r="E167" s="217" t="s">
        <v>615</v>
      </c>
      <c r="F167" s="370"/>
      <c r="G167" s="370"/>
      <c r="H167" s="566">
        <v>0</v>
      </c>
      <c r="L167" s="879"/>
    </row>
    <row r="168" spans="2:21">
      <c r="B168" s="218" t="s">
        <v>607</v>
      </c>
      <c r="C168" s="562"/>
      <c r="D168" s="562"/>
      <c r="E168" s="399" t="s">
        <v>616</v>
      </c>
      <c r="F168" s="562"/>
      <c r="G168" s="562"/>
      <c r="H168" s="400">
        <f>TRUNC((H165-H170)/H166/12,2)</f>
        <v>670.83</v>
      </c>
      <c r="L168" s="879" t="s">
        <v>1230</v>
      </c>
    </row>
    <row r="169" spans="2:21">
      <c r="B169" s="565" t="s">
        <v>608</v>
      </c>
      <c r="C169" s="370"/>
      <c r="D169" s="370"/>
      <c r="E169" s="217" t="s">
        <v>480</v>
      </c>
      <c r="F169" s="370"/>
      <c r="G169" s="370"/>
      <c r="H169" s="401">
        <v>0.3</v>
      </c>
      <c r="L169" s="565" t="s">
        <v>1233</v>
      </c>
    </row>
    <row r="170" spans="2:21">
      <c r="B170" s="565" t="s">
        <v>609</v>
      </c>
      <c r="C170" s="370"/>
      <c r="D170" s="370"/>
      <c r="E170" s="217" t="s">
        <v>477</v>
      </c>
      <c r="F170" s="370"/>
      <c r="G170" s="370"/>
      <c r="H170" s="566">
        <f>H169*H165</f>
        <v>34500</v>
      </c>
      <c r="L170" s="879"/>
    </row>
    <row r="171" spans="2:21">
      <c r="B171" s="218" t="s">
        <v>610</v>
      </c>
      <c r="C171" s="562"/>
      <c r="D171" s="562"/>
      <c r="E171" s="399" t="s">
        <v>616</v>
      </c>
      <c r="F171" s="562"/>
      <c r="G171" s="562"/>
      <c r="H171" s="529">
        <f>TRUNC(((1+H172)^(1/12)-1)*H173,2)</f>
        <v>130.1</v>
      </c>
      <c r="L171" s="879" t="s">
        <v>1230</v>
      </c>
    </row>
    <row r="172" spans="2:21">
      <c r="B172" s="565" t="s">
        <v>612</v>
      </c>
      <c r="C172" s="370"/>
      <c r="D172" s="370"/>
      <c r="E172" s="217" t="s">
        <v>480</v>
      </c>
      <c r="F172" s="370"/>
      <c r="G172" s="370"/>
      <c r="H172" s="528">
        <f>VLOOKUP(B172,Tabela1[[#All],[ITENS PARA ORÇAMENTO]:[MEDIANA]],11,FALSE)</f>
        <v>0.02</v>
      </c>
      <c r="L172" s="879" t="s">
        <v>1232</v>
      </c>
    </row>
    <row r="173" spans="2:21">
      <c r="B173" s="565" t="s">
        <v>611</v>
      </c>
      <c r="C173" s="370"/>
      <c r="D173" s="370"/>
      <c r="E173" s="217" t="s">
        <v>477</v>
      </c>
      <c r="F173" s="370"/>
      <c r="G173" s="370"/>
      <c r="H173" s="530">
        <f>H170+((((H166-H167)+1)*(H165-H170))/(2*(H166-H167)))</f>
        <v>78775</v>
      </c>
      <c r="L173" s="879" t="s">
        <v>1230</v>
      </c>
    </row>
    <row r="174" spans="2:21">
      <c r="B174" s="218" t="s">
        <v>613</v>
      </c>
      <c r="C174" s="562"/>
      <c r="D174" s="562"/>
      <c r="E174" s="399" t="s">
        <v>616</v>
      </c>
      <c r="F174" s="402" t="s">
        <v>874</v>
      </c>
      <c r="G174" s="889">
        <v>0.85</v>
      </c>
      <c r="H174" s="529">
        <f>TRUNC(H165*G174/(H166*12),2)</f>
        <v>814.58</v>
      </c>
      <c r="L174" s="879" t="s">
        <v>1231</v>
      </c>
      <c r="U174" s="307" t="s">
        <v>1234</v>
      </c>
    </row>
    <row r="175" spans="2:21">
      <c r="B175" s="218" t="s">
        <v>384</v>
      </c>
      <c r="C175" s="562"/>
      <c r="D175" s="370"/>
      <c r="E175" s="399"/>
      <c r="F175" s="562"/>
      <c r="G175" s="562"/>
      <c r="H175" s="400">
        <f>H37</f>
        <v>1</v>
      </c>
    </row>
    <row r="176" spans="2:21">
      <c r="B176" s="218" t="s">
        <v>244</v>
      </c>
      <c r="C176" s="562"/>
      <c r="D176" s="562"/>
      <c r="E176" s="399" t="s">
        <v>616</v>
      </c>
      <c r="F176" s="562"/>
      <c r="G176" s="562"/>
      <c r="H176" s="529">
        <f>TRUNC(H175*H164,2)</f>
        <v>1615.51</v>
      </c>
    </row>
    <row r="177" spans="2:21">
      <c r="B177" s="211" t="s">
        <v>595</v>
      </c>
      <c r="C177" s="370"/>
      <c r="D177" s="370"/>
      <c r="E177" s="370"/>
      <c r="F177" s="370"/>
      <c r="G177" s="370"/>
      <c r="H177" s="370"/>
    </row>
    <row r="178" spans="2:21">
      <c r="B178" s="370"/>
      <c r="C178" s="370"/>
      <c r="D178" s="370"/>
      <c r="E178" s="370"/>
      <c r="F178" s="370"/>
      <c r="G178" s="370"/>
      <c r="H178" s="370"/>
    </row>
    <row r="179" spans="2:21">
      <c r="B179" s="372" t="s">
        <v>1299</v>
      </c>
      <c r="C179" s="370"/>
      <c r="D179" s="370"/>
      <c r="E179" s="370"/>
      <c r="F179" s="370"/>
      <c r="G179" s="370"/>
      <c r="H179" s="370"/>
    </row>
    <row r="180" spans="2:21">
      <c r="B180" s="570" t="s">
        <v>900</v>
      </c>
      <c r="C180" s="571"/>
      <c r="D180" s="571"/>
      <c r="E180" s="571" t="s">
        <v>1164</v>
      </c>
      <c r="F180" s="571"/>
      <c r="G180" s="571"/>
      <c r="H180" s="750" t="s">
        <v>1168</v>
      </c>
    </row>
    <row r="181" spans="2:21">
      <c r="B181" s="216" t="s">
        <v>649</v>
      </c>
      <c r="C181" s="562"/>
      <c r="D181" s="562"/>
      <c r="E181" s="399" t="s">
        <v>616</v>
      </c>
      <c r="F181" s="562"/>
      <c r="G181" s="562"/>
      <c r="H181" s="527">
        <f>TRUNC(H185+H188+H191,2)</f>
        <v>0</v>
      </c>
    </row>
    <row r="182" spans="2:21">
      <c r="B182" s="563" t="s">
        <v>882</v>
      </c>
      <c r="C182" s="564"/>
      <c r="D182" s="370"/>
      <c r="E182" s="391" t="s">
        <v>601</v>
      </c>
      <c r="F182" s="564"/>
      <c r="G182" s="564"/>
      <c r="H182" s="528">
        <f>VLOOKUP(B181,Tabela1[[#All],[ITENS PARA ORÇAMENTO]:[MEDIANA]],11,FALSE)</f>
        <v>0</v>
      </c>
    </row>
    <row r="183" spans="2:21">
      <c r="B183" s="565" t="s">
        <v>605</v>
      </c>
      <c r="C183" s="370"/>
      <c r="D183" s="370"/>
      <c r="E183" s="217" t="s">
        <v>615</v>
      </c>
      <c r="F183" s="370"/>
      <c r="G183" s="370"/>
      <c r="H183" s="566">
        <f>G38/12</f>
        <v>10</v>
      </c>
      <c r="L183" s="879" t="s">
        <v>1233</v>
      </c>
    </row>
    <row r="184" spans="2:21">
      <c r="B184" s="565" t="s">
        <v>606</v>
      </c>
      <c r="C184" s="370"/>
      <c r="D184" s="370"/>
      <c r="E184" s="217" t="s">
        <v>615</v>
      </c>
      <c r="F184" s="370"/>
      <c r="G184" s="370"/>
      <c r="H184" s="566">
        <v>0</v>
      </c>
      <c r="L184" s="879"/>
    </row>
    <row r="185" spans="2:21">
      <c r="B185" s="218" t="s">
        <v>607</v>
      </c>
      <c r="C185" s="562"/>
      <c r="D185" s="562"/>
      <c r="E185" s="399" t="s">
        <v>616</v>
      </c>
      <c r="F185" s="562"/>
      <c r="G185" s="562"/>
      <c r="H185" s="400">
        <f>TRUNC((H182-H187)/H183/12,2)</f>
        <v>0</v>
      </c>
      <c r="L185" s="879" t="s">
        <v>1230</v>
      </c>
    </row>
    <row r="186" spans="2:21">
      <c r="B186" s="565" t="s">
        <v>608</v>
      </c>
      <c r="C186" s="370"/>
      <c r="D186" s="370"/>
      <c r="E186" s="217" t="s">
        <v>480</v>
      </c>
      <c r="F186" s="370"/>
      <c r="G186" s="370"/>
      <c r="H186" s="401">
        <v>0.3</v>
      </c>
      <c r="L186" s="890" t="s">
        <v>1241</v>
      </c>
    </row>
    <row r="187" spans="2:21">
      <c r="B187" s="565" t="s">
        <v>609</v>
      </c>
      <c r="C187" s="370"/>
      <c r="D187" s="370"/>
      <c r="E187" s="217" t="s">
        <v>477</v>
      </c>
      <c r="F187" s="370"/>
      <c r="G187" s="370"/>
      <c r="H187" s="566">
        <f>H186*H182</f>
        <v>0</v>
      </c>
      <c r="L187" s="879"/>
    </row>
    <row r="188" spans="2:21">
      <c r="B188" s="218" t="s">
        <v>610</v>
      </c>
      <c r="C188" s="562"/>
      <c r="D188" s="562"/>
      <c r="E188" s="399" t="s">
        <v>616</v>
      </c>
      <c r="F188" s="562"/>
      <c r="G188" s="562"/>
      <c r="H188" s="529">
        <f>TRUNC(((1+H189)^(1/12)-1)*H190,2)</f>
        <v>0</v>
      </c>
      <c r="L188" s="879" t="s">
        <v>1230</v>
      </c>
    </row>
    <row r="189" spans="2:21">
      <c r="B189" s="565" t="s">
        <v>612</v>
      </c>
      <c r="C189" s="370"/>
      <c r="D189" s="370"/>
      <c r="E189" s="217" t="s">
        <v>480</v>
      </c>
      <c r="F189" s="370"/>
      <c r="G189" s="370"/>
      <c r="H189" s="528">
        <f>VLOOKUP(B189,Tabela1[[#All],[ITENS PARA ORÇAMENTO]:[MEDIANA]],11,FALSE)</f>
        <v>0.02</v>
      </c>
      <c r="L189" s="879" t="s">
        <v>1232</v>
      </c>
    </row>
    <row r="190" spans="2:21">
      <c r="B190" s="565" t="s">
        <v>611</v>
      </c>
      <c r="C190" s="370"/>
      <c r="D190" s="370"/>
      <c r="E190" s="217" t="s">
        <v>477</v>
      </c>
      <c r="F190" s="370"/>
      <c r="G190" s="370"/>
      <c r="H190" s="530">
        <f>H187+((((H183-H184)+1)*(H182-H187))/(2*(H183-H184)))</f>
        <v>0</v>
      </c>
      <c r="L190" s="879" t="s">
        <v>1230</v>
      </c>
    </row>
    <row r="191" spans="2:21">
      <c r="B191" s="218" t="s">
        <v>613</v>
      </c>
      <c r="C191" s="562"/>
      <c r="D191" s="562"/>
      <c r="E191" s="399" t="s">
        <v>616</v>
      </c>
      <c r="F191" s="402" t="s">
        <v>874</v>
      </c>
      <c r="G191" s="363">
        <v>0.85</v>
      </c>
      <c r="H191" s="529">
        <f>TRUNC(H182*G191/(H183*12),2)</f>
        <v>0</v>
      </c>
      <c r="L191" s="879" t="s">
        <v>1231</v>
      </c>
      <c r="U191" s="307" t="s">
        <v>1234</v>
      </c>
    </row>
    <row r="192" spans="2:21">
      <c r="B192" s="218" t="s">
        <v>384</v>
      </c>
      <c r="C192" s="562"/>
      <c r="D192" s="370"/>
      <c r="E192" s="399"/>
      <c r="F192" s="562"/>
      <c r="G192" s="562"/>
      <c r="H192" s="400">
        <f>H38</f>
        <v>1</v>
      </c>
    </row>
    <row r="193" spans="2:8">
      <c r="B193" s="218" t="s">
        <v>244</v>
      </c>
      <c r="C193" s="562"/>
      <c r="D193" s="562"/>
      <c r="E193" s="399" t="s">
        <v>616</v>
      </c>
      <c r="F193" s="562"/>
      <c r="G193" s="562"/>
      <c r="H193" s="529">
        <f>TRUNC(H192*H181,2)</f>
        <v>0</v>
      </c>
    </row>
    <row r="194" spans="2:8" ht="15.75" thickBot="1">
      <c r="B194" s="211" t="s">
        <v>595</v>
      </c>
      <c r="C194" s="370"/>
      <c r="D194" s="370"/>
      <c r="E194" s="370"/>
      <c r="F194" s="370"/>
      <c r="G194" s="370"/>
      <c r="H194" s="370"/>
    </row>
    <row r="195" spans="2:8" ht="15.75" thickBot="1">
      <c r="B195" s="218" t="s">
        <v>636</v>
      </c>
      <c r="C195" s="562"/>
      <c r="D195" s="562"/>
      <c r="E195" s="562"/>
      <c r="F195" s="562"/>
      <c r="G195" s="562"/>
      <c r="H195" s="390">
        <f>H193+H176</f>
        <v>1615.51</v>
      </c>
    </row>
    <row r="196" spans="2:8">
      <c r="B196" s="370"/>
      <c r="C196" s="370"/>
      <c r="D196" s="370"/>
      <c r="E196" s="370"/>
      <c r="F196" s="370"/>
      <c r="G196" s="370"/>
      <c r="H196" s="370"/>
    </row>
    <row r="197" spans="2:8">
      <c r="B197" s="372" t="s">
        <v>947</v>
      </c>
      <c r="C197" s="370"/>
      <c r="D197" s="370"/>
      <c r="E197" s="370"/>
      <c r="F197" s="370"/>
      <c r="G197" s="370"/>
      <c r="H197" s="370"/>
    </row>
    <row r="198" spans="2:8" ht="30">
      <c r="B198" s="645" t="s">
        <v>900</v>
      </c>
      <c r="C198" s="646"/>
      <c r="D198" s="648"/>
      <c r="E198" s="649" t="s">
        <v>1164</v>
      </c>
      <c r="F198" s="650" t="s">
        <v>1165</v>
      </c>
      <c r="G198" s="649" t="s">
        <v>1166</v>
      </c>
      <c r="H198" s="651" t="s">
        <v>1167</v>
      </c>
    </row>
    <row r="199" spans="2:8">
      <c r="B199" s="563" t="str">
        <f t="shared" ref="B199:B208" si="1">B43</f>
        <v>Jaqueta com reflexivo</v>
      </c>
      <c r="C199" s="564"/>
      <c r="D199" s="564"/>
      <c r="E199" s="391" t="s">
        <v>601</v>
      </c>
      <c r="F199" s="392">
        <f t="shared" ref="F199:F208" si="2">H43</f>
        <v>0.83</v>
      </c>
      <c r="G199" s="394">
        <f>VLOOKUP(B199,Tabela1[[#All],[ITENS PARA ORÇAMENTO]:[MEDIANA]],11,FALSE)</f>
        <v>132.91</v>
      </c>
      <c r="H199" s="430">
        <f>TRUNC(G199*F199,2)</f>
        <v>110.31</v>
      </c>
    </row>
    <row r="200" spans="2:8">
      <c r="B200" s="565" t="str">
        <f t="shared" si="1"/>
        <v>Calça de Brim</v>
      </c>
      <c r="C200" s="370"/>
      <c r="D200" s="370"/>
      <c r="E200" s="217" t="s">
        <v>601</v>
      </c>
      <c r="F200" s="394">
        <f t="shared" si="2"/>
        <v>2.5</v>
      </c>
      <c r="G200" s="394">
        <f>VLOOKUP(B200,Tabela1[[#All],[ITENS PARA ORÇAMENTO]:[MEDIANA]],11,FALSE)</f>
        <v>43.86</v>
      </c>
      <c r="H200" s="431">
        <f t="shared" ref="H200:H207" si="3">TRUNC(G200*F200,2)</f>
        <v>109.65</v>
      </c>
    </row>
    <row r="201" spans="2:8">
      <c r="B201" s="565" t="str">
        <f t="shared" si="1"/>
        <v>Camiseta manga longa com faixa reflexiva</v>
      </c>
      <c r="C201" s="370"/>
      <c r="D201" s="370"/>
      <c r="E201" s="217" t="s">
        <v>601</v>
      </c>
      <c r="F201" s="394">
        <f t="shared" si="2"/>
        <v>2.5</v>
      </c>
      <c r="G201" s="394">
        <f>VLOOKUP(B201,Tabela1[[#All],[ITENS PARA ORÇAMENTO]:[MEDIANA]],11,FALSE)</f>
        <v>43.02</v>
      </c>
      <c r="H201" s="431">
        <f t="shared" si="3"/>
        <v>107.55</v>
      </c>
    </row>
    <row r="202" spans="2:8">
      <c r="B202" s="565" t="str">
        <f t="shared" si="1"/>
        <v>Boné de Brim</v>
      </c>
      <c r="C202" s="370"/>
      <c r="D202" s="370"/>
      <c r="E202" s="217" t="s">
        <v>601</v>
      </c>
      <c r="F202" s="394">
        <f t="shared" si="2"/>
        <v>1.66</v>
      </c>
      <c r="G202" s="394">
        <f>VLOOKUP(B202,Tabela1[[#All],[ITENS PARA ORÇAMENTO]:[MEDIANA]],11,FALSE)</f>
        <v>17.59</v>
      </c>
      <c r="H202" s="431">
        <f t="shared" si="3"/>
        <v>29.19</v>
      </c>
    </row>
    <row r="203" spans="2:8">
      <c r="B203" s="565" t="str">
        <f t="shared" si="1"/>
        <v>Botina De Segurança C/ Ponta E Biqueira Com Sola Antiderrapante</v>
      </c>
      <c r="C203" s="370"/>
      <c r="D203" s="370"/>
      <c r="E203" s="217" t="s">
        <v>495</v>
      </c>
      <c r="F203" s="394">
        <f t="shared" si="2"/>
        <v>2.5</v>
      </c>
      <c r="G203" s="394">
        <f>VLOOKUP(B203,Tabela1[[#All],[ITENS PARA ORÇAMENTO]:[MEDIANA]],11,FALSE)</f>
        <v>57.7</v>
      </c>
      <c r="H203" s="431">
        <f t="shared" si="3"/>
        <v>144.25</v>
      </c>
    </row>
    <row r="204" spans="2:8">
      <c r="B204" s="565" t="str">
        <f t="shared" si="1"/>
        <v>Capa de chuva amarela com reflexivo</v>
      </c>
      <c r="C204" s="370"/>
      <c r="D204" s="370"/>
      <c r="E204" s="217" t="s">
        <v>601</v>
      </c>
      <c r="F204" s="394">
        <f t="shared" si="2"/>
        <v>1.66</v>
      </c>
      <c r="G204" s="394">
        <f>VLOOKUP(B204,Tabela1[[#All],[ITENS PARA ORÇAMENTO]:[MEDIANA]],11,FALSE)</f>
        <v>23</v>
      </c>
      <c r="H204" s="431">
        <f t="shared" si="3"/>
        <v>38.18</v>
      </c>
    </row>
    <row r="205" spans="2:8">
      <c r="B205" s="565" t="str">
        <f t="shared" si="1"/>
        <v>Colete reflexivo</v>
      </c>
      <c r="C205" s="370"/>
      <c r="D205" s="370"/>
      <c r="E205" s="217" t="s">
        <v>601</v>
      </c>
      <c r="F205" s="394">
        <f t="shared" si="2"/>
        <v>1.66</v>
      </c>
      <c r="G205" s="394">
        <f>VLOOKUP(B205,Tabela1[[#All],[ITENS PARA ORÇAMENTO]:[MEDIANA]],11,FALSE)</f>
        <v>19.989999999999998</v>
      </c>
      <c r="H205" s="431">
        <f t="shared" si="3"/>
        <v>33.18</v>
      </c>
    </row>
    <row r="206" spans="2:8">
      <c r="B206" s="565" t="str">
        <f t="shared" si="1"/>
        <v>Luva Tricotada com revestimento Nitrílico</v>
      </c>
      <c r="C206" s="370"/>
      <c r="D206" s="370"/>
      <c r="E206" s="217" t="s">
        <v>495</v>
      </c>
      <c r="F206" s="394">
        <f t="shared" si="2"/>
        <v>6.66</v>
      </c>
      <c r="G206" s="394">
        <f>VLOOKUP(B206,Tabela1[[#All],[ITENS PARA ORÇAMENTO]:[MEDIANA]],11,FALSE)</f>
        <v>9.99</v>
      </c>
      <c r="H206" s="431">
        <f t="shared" si="3"/>
        <v>66.53</v>
      </c>
    </row>
    <row r="207" spans="2:8">
      <c r="B207" s="565" t="str">
        <f t="shared" si="1"/>
        <v>Protetor solar FPS 30</v>
      </c>
      <c r="C207" s="370"/>
      <c r="D207" s="370"/>
      <c r="E207" s="217" t="s">
        <v>601</v>
      </c>
      <c r="F207" s="394">
        <f t="shared" si="2"/>
        <v>10</v>
      </c>
      <c r="G207" s="394">
        <f>VLOOKUP(B207,Tabela1[[#All],[ITENS PARA ORÇAMENTO]:[MEDIANA]],11,FALSE)</f>
        <v>9.65</v>
      </c>
      <c r="H207" s="431">
        <f t="shared" si="3"/>
        <v>96.5</v>
      </c>
    </row>
    <row r="208" spans="2:8">
      <c r="B208" s="567" t="str">
        <f t="shared" si="1"/>
        <v>Máscara tripla</v>
      </c>
      <c r="C208" s="568"/>
      <c r="D208" s="568"/>
      <c r="E208" s="396" t="s">
        <v>601</v>
      </c>
      <c r="F208" s="397">
        <f t="shared" si="2"/>
        <v>0.08</v>
      </c>
      <c r="G208" s="397">
        <f>VLOOKUP(B208,Tabela1[[#All],[ITENS PARA ORÇAMENTO]:[MEDIANA]],11,FALSE)</f>
        <v>1.1299999999999999</v>
      </c>
      <c r="H208" s="432">
        <f>TRUNC(G208*F208,2)</f>
        <v>0.09</v>
      </c>
    </row>
    <row r="209" spans="2:8" ht="15.75" thickBot="1">
      <c r="B209" s="211" t="s">
        <v>595</v>
      </c>
      <c r="C209" s="370"/>
      <c r="D209" s="370"/>
      <c r="E209" s="370"/>
      <c r="F209" s="370"/>
      <c r="G209" s="370"/>
      <c r="H209" s="370"/>
    </row>
    <row r="210" spans="2:8" ht="15.75" thickBot="1">
      <c r="B210" s="218" t="s">
        <v>614</v>
      </c>
      <c r="C210" s="562"/>
      <c r="D210" s="562"/>
      <c r="E210" s="562"/>
      <c r="F210" s="562"/>
      <c r="G210" s="562"/>
      <c r="H210" s="390">
        <f>SUM(H199:H208)</f>
        <v>735.43</v>
      </c>
    </row>
    <row r="211" spans="2:8">
      <c r="B211" s="372"/>
      <c r="C211" s="370"/>
      <c r="D211" s="370"/>
      <c r="E211" s="370"/>
      <c r="F211" s="370"/>
      <c r="G211" s="370"/>
      <c r="H211" s="809"/>
    </row>
    <row r="212" spans="2:8">
      <c r="B212" s="372" t="s">
        <v>1191</v>
      </c>
      <c r="C212" s="370"/>
      <c r="D212" s="370"/>
      <c r="E212" s="370"/>
      <c r="F212" s="370"/>
      <c r="G212" s="370"/>
      <c r="H212" s="809"/>
    </row>
    <row r="213" spans="2:8" ht="30">
      <c r="B213" s="645" t="s">
        <v>900</v>
      </c>
      <c r="C213" s="646"/>
      <c r="D213" s="648"/>
      <c r="E213" s="649" t="s">
        <v>1164</v>
      </c>
      <c r="F213" s="650" t="s">
        <v>1165</v>
      </c>
      <c r="G213" s="649" t="s">
        <v>1166</v>
      </c>
      <c r="H213" s="651" t="s">
        <v>1167</v>
      </c>
    </row>
    <row r="214" spans="2:8">
      <c r="B214" s="832" t="str">
        <f>B57</f>
        <v>Recipiente térmico para água (5L)</v>
      </c>
      <c r="C214" s="548"/>
      <c r="D214" s="386"/>
      <c r="E214" s="391" t="s">
        <v>601</v>
      </c>
      <c r="F214" s="810">
        <f>H57</f>
        <v>0.13</v>
      </c>
      <c r="G214" s="254">
        <f>VLOOKUP(B214,Tabela1[[ITENS PARA ORÇAMENTO]:[MEDIANA]],11,FALSE)</f>
        <v>29.86</v>
      </c>
      <c r="H214" s="816">
        <f>TRUNC(G214*F214,2)</f>
        <v>3.88</v>
      </c>
    </row>
    <row r="215" spans="2:8">
      <c r="B215" s="808" t="str">
        <f>B58</f>
        <v>Cone de sinalização</v>
      </c>
      <c r="C215" s="385"/>
      <c r="D215" s="382"/>
      <c r="E215" s="396" t="s">
        <v>601</v>
      </c>
      <c r="F215" s="812">
        <f>H58</f>
        <v>0.35</v>
      </c>
      <c r="G215" s="833">
        <f>VLOOKUP(B215,Tabela1[[ITENS PARA ORÇAMENTO]:[MEDIANA]],11,FALSE)</f>
        <v>27.5</v>
      </c>
      <c r="H215" s="818">
        <f>TRUNC(G215*F215,2)</f>
        <v>9.6199999999999992</v>
      </c>
    </row>
    <row r="216" spans="2:8" ht="15.75" thickBot="1">
      <c r="B216" s="211" t="s">
        <v>595</v>
      </c>
      <c r="C216" s="370"/>
      <c r="D216" s="370"/>
      <c r="E216" s="370"/>
      <c r="F216" s="370"/>
      <c r="G216" s="370"/>
      <c r="H216" s="370"/>
    </row>
    <row r="217" spans="2:8" ht="15.75" thickBot="1">
      <c r="B217" s="218" t="s">
        <v>1174</v>
      </c>
      <c r="C217" s="562"/>
      <c r="D217" s="562"/>
      <c r="E217" s="562"/>
      <c r="F217" s="562"/>
      <c r="G217" s="562"/>
      <c r="H217" s="390">
        <f>SUM(H214:H215)</f>
        <v>13.5</v>
      </c>
    </row>
    <row r="218" spans="2:8">
      <c r="B218" s="370"/>
      <c r="C218" s="370"/>
      <c r="D218" s="370"/>
      <c r="E218" s="370"/>
      <c r="F218" s="370"/>
      <c r="G218" s="370"/>
      <c r="H218" s="370"/>
    </row>
    <row r="219" spans="2:8">
      <c r="B219" s="372" t="s">
        <v>948</v>
      </c>
      <c r="C219" s="370"/>
      <c r="D219" s="370"/>
      <c r="E219" s="370"/>
      <c r="F219" s="370"/>
      <c r="G219" s="370"/>
      <c r="H219" s="370"/>
    </row>
    <row r="220" spans="2:8">
      <c r="B220" s="563" t="str">
        <f>B150</f>
        <v>Custo mensal com mão-de-obra (R$/mês)</v>
      </c>
      <c r="C220" s="564"/>
      <c r="D220" s="564"/>
      <c r="E220" s="564"/>
      <c r="F220" s="564"/>
      <c r="G220" s="564"/>
      <c r="H220" s="531">
        <f>H150</f>
        <v>33607.35</v>
      </c>
    </row>
    <row r="221" spans="2:8">
      <c r="B221" s="565" t="str">
        <f>B159</f>
        <v>Custo mensal com ferramentas (R$/mês)</v>
      </c>
      <c r="C221" s="370"/>
      <c r="D221" s="370"/>
      <c r="E221" s="370"/>
      <c r="F221" s="370"/>
      <c r="G221" s="370"/>
      <c r="H221" s="532">
        <f>H159</f>
        <v>15624.83</v>
      </c>
    </row>
    <row r="222" spans="2:8">
      <c r="B222" s="565" t="str">
        <f>B195</f>
        <v>Custo mensal com equipamentos (R$/mês)</v>
      </c>
      <c r="C222" s="370"/>
      <c r="D222" s="370"/>
      <c r="E222" s="370"/>
      <c r="F222" s="370"/>
      <c r="G222" s="370"/>
      <c r="H222" s="532">
        <f>H195</f>
        <v>1615.51</v>
      </c>
    </row>
    <row r="223" spans="2:8">
      <c r="B223" s="565" t="str">
        <f>B210</f>
        <v>Custo mensal com EPI's (R$/mês)</v>
      </c>
      <c r="C223" s="370"/>
      <c r="D223" s="370"/>
      <c r="E223" s="370"/>
      <c r="F223" s="370"/>
      <c r="G223" s="370"/>
      <c r="H223" s="532">
        <f>H210</f>
        <v>735.43</v>
      </c>
    </row>
    <row r="224" spans="2:8" ht="15.75" thickBot="1">
      <c r="B224" s="565" t="str">
        <f>B217</f>
        <v>Custo mensal com EPC's (R$/mês)</v>
      </c>
      <c r="C224" s="370"/>
      <c r="D224" s="370"/>
      <c r="E224" s="370"/>
      <c r="F224" s="370"/>
      <c r="G224" s="370"/>
      <c r="H224" s="532">
        <f>H217</f>
        <v>13.5</v>
      </c>
    </row>
    <row r="225" spans="2:8" ht="15.75" thickBot="1">
      <c r="B225" s="219" t="s">
        <v>873</v>
      </c>
      <c r="C225" s="568"/>
      <c r="D225" s="568"/>
      <c r="E225" s="568"/>
      <c r="F225" s="568"/>
      <c r="G225" s="568"/>
      <c r="H225" s="872">
        <f>SUM(H220:H224)</f>
        <v>51596.62</v>
      </c>
    </row>
    <row r="226" spans="2:8">
      <c r="B226" s="370"/>
      <c r="C226" s="370"/>
      <c r="D226" s="370"/>
      <c r="E226" s="370"/>
      <c r="F226" s="370"/>
      <c r="G226" s="370"/>
      <c r="H226" s="370"/>
    </row>
    <row r="227" spans="2:8">
      <c r="B227" s="215" t="s">
        <v>1215</v>
      </c>
      <c r="C227" s="213"/>
      <c r="D227" s="213"/>
      <c r="E227" s="213"/>
      <c r="F227" s="213"/>
      <c r="G227" s="213"/>
      <c r="H227" s="213"/>
    </row>
    <row r="228" spans="2:8">
      <c r="B228" s="557" t="s">
        <v>1212</v>
      </c>
      <c r="C228" s="558"/>
      <c r="D228" s="558"/>
      <c r="E228" s="558"/>
      <c r="F228" s="558"/>
      <c r="G228" s="558"/>
      <c r="H228" s="866">
        <f>H225</f>
        <v>51596.62</v>
      </c>
    </row>
    <row r="229" spans="2:8" ht="15.75" thickBot="1">
      <c r="B229" s="559" t="s">
        <v>1210</v>
      </c>
      <c r="C229" s="213"/>
      <c r="D229" s="213"/>
      <c r="E229" s="213"/>
      <c r="F229" s="213"/>
      <c r="G229" s="213"/>
      <c r="H229" s="867">
        <f>TRUNC(E23*'6.ADM'!F334,2)</f>
        <v>6620.8</v>
      </c>
    </row>
    <row r="230" spans="2:8" ht="15.75" thickBot="1">
      <c r="B230" s="570" t="s">
        <v>873</v>
      </c>
      <c r="C230" s="555"/>
      <c r="D230" s="555"/>
      <c r="E230" s="555"/>
      <c r="F230" s="555"/>
      <c r="G230" s="555"/>
      <c r="H230" s="870">
        <f>TRUNC(SUM(H228:H229),2)</f>
        <v>58217.42</v>
      </c>
    </row>
    <row r="231" spans="2:8">
      <c r="B231" s="370"/>
      <c r="C231" s="370"/>
      <c r="D231" s="370"/>
      <c r="E231" s="370"/>
      <c r="F231" s="370"/>
      <c r="G231" s="370"/>
      <c r="H231" s="370"/>
    </row>
    <row r="232" spans="2:8">
      <c r="B232" s="370"/>
      <c r="C232" s="370"/>
      <c r="D232" s="370"/>
      <c r="E232" s="370"/>
      <c r="F232" s="370"/>
      <c r="G232" s="370"/>
      <c r="H232" s="370"/>
    </row>
    <row r="233" spans="2:8">
      <c r="B233" s="372" t="s">
        <v>1216</v>
      </c>
      <c r="C233" s="370"/>
      <c r="D233" s="370"/>
      <c r="E233" s="370"/>
      <c r="F233" s="370"/>
      <c r="G233" s="370"/>
      <c r="H233" s="370"/>
    </row>
    <row r="234" spans="2:8">
      <c r="B234" s="563" t="s">
        <v>924</v>
      </c>
      <c r="C234" s="564"/>
      <c r="D234" s="564"/>
      <c r="E234" s="564"/>
      <c r="F234" s="403">
        <f>H230</f>
        <v>58217.42</v>
      </c>
      <c r="G234" s="370"/>
      <c r="H234" s="370"/>
    </row>
    <row r="235" spans="2:8">
      <c r="B235" s="567" t="s">
        <v>926</v>
      </c>
      <c r="C235" s="568"/>
      <c r="D235" s="568"/>
      <c r="E235" s="370"/>
      <c r="F235" s="404">
        <f>ANEXO_IIId_BDI!$D$16</f>
        <v>0.32340000000000002</v>
      </c>
      <c r="G235" s="370"/>
      <c r="H235" s="370"/>
    </row>
    <row r="236" spans="2:8">
      <c r="B236" s="219" t="s">
        <v>925</v>
      </c>
      <c r="C236" s="568"/>
      <c r="D236" s="568"/>
      <c r="E236" s="562"/>
      <c r="F236" s="405">
        <f>TRUNC(F234*(1+F235),2)</f>
        <v>77044.929999999993</v>
      </c>
      <c r="G236" s="370"/>
      <c r="H236" s="370"/>
    </row>
    <row r="237" spans="2:8">
      <c r="B237" s="370"/>
      <c r="C237" s="370"/>
      <c r="D237" s="370"/>
      <c r="E237" s="370"/>
      <c r="F237" s="370"/>
      <c r="G237" s="370"/>
      <c r="H237" s="370"/>
    </row>
    <row r="238" spans="2:8">
      <c r="B238" s="372" t="s">
        <v>1217</v>
      </c>
      <c r="C238" s="370"/>
      <c r="D238" s="370"/>
      <c r="E238" s="370"/>
      <c r="F238" s="370"/>
      <c r="G238" s="370"/>
      <c r="H238" s="370"/>
    </row>
    <row r="239" spans="2:8">
      <c r="B239" s="563" t="s">
        <v>925</v>
      </c>
      <c r="C239" s="564"/>
      <c r="D239" s="564"/>
      <c r="E239" s="564"/>
      <c r="F239" s="403">
        <f>F236</f>
        <v>77044.929999999993</v>
      </c>
      <c r="G239" s="370"/>
      <c r="H239" s="370"/>
    </row>
    <row r="240" spans="2:8">
      <c r="B240" s="567" t="s">
        <v>1022</v>
      </c>
      <c r="C240" s="568"/>
      <c r="D240" s="568"/>
      <c r="E240" s="568"/>
      <c r="F240" s="398">
        <f>E6</f>
        <v>59405</v>
      </c>
      <c r="G240" s="370"/>
      <c r="H240" s="370"/>
    </row>
    <row r="241" spans="2:8">
      <c r="B241" s="219" t="s">
        <v>927</v>
      </c>
      <c r="C241" s="568"/>
      <c r="D241" s="568"/>
      <c r="E241" s="562"/>
      <c r="F241" s="405">
        <f>TRUNC(F239/F240,2)</f>
        <v>1.29</v>
      </c>
      <c r="G241" s="375"/>
      <c r="H241" s="370"/>
    </row>
  </sheetData>
  <mergeCells count="20">
    <mergeCell ref="B65:D65"/>
    <mergeCell ref="B85:D85"/>
    <mergeCell ref="B52:D52"/>
    <mergeCell ref="B46:D46"/>
    <mergeCell ref="B47:D47"/>
    <mergeCell ref="B48:D48"/>
    <mergeCell ref="B49:D49"/>
    <mergeCell ref="B50:D50"/>
    <mergeCell ref="B38:D38"/>
    <mergeCell ref="B43:D43"/>
    <mergeCell ref="B44:D44"/>
    <mergeCell ref="B19:D19"/>
    <mergeCell ref="B57:D57"/>
    <mergeCell ref="B45:D45"/>
    <mergeCell ref="B29:D29"/>
    <mergeCell ref="B30:D30"/>
    <mergeCell ref="B31:D31"/>
    <mergeCell ref="B32:D32"/>
    <mergeCell ref="B37:D37"/>
    <mergeCell ref="B51:D51"/>
  </mergeCells>
  <pageMargins left="0.78740157480314965" right="0.78740157480314965" top="1.1811023622047245" bottom="0.78740157480314965" header="0.31496062992125984" footer="0.31496062992125984"/>
  <pageSetup paperSize="9" scale="80" fitToHeight="0" orientation="portrait" r:id="rId1"/>
  <rowBreaks count="7" manualBreakCount="7">
    <brk id="24" min="1" max="7" man="1"/>
    <brk id="60" min="1" max="7" man="1"/>
    <brk id="91" min="1" max="7" man="1"/>
    <brk id="120" min="1" max="7" man="1"/>
    <brk id="151" min="1" max="7" man="1"/>
    <brk id="178" min="1" max="7" man="1"/>
    <brk id="211" min="1" max="7" man="1"/>
  </rowBreaks>
  <legacy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1:H337"/>
  <sheetViews>
    <sheetView showGridLines="0" view="pageBreakPreview" zoomScale="60" zoomScaleNormal="100" workbookViewId="0">
      <selection activeCell="J320" sqref="J320"/>
    </sheetView>
  </sheetViews>
  <sheetFormatPr defaultColWidth="9.140625" defaultRowHeight="15"/>
  <cols>
    <col min="1" max="4" width="9.140625" style="307"/>
    <col min="5" max="5" width="15.42578125" style="307" customWidth="1"/>
    <col min="6" max="6" width="13.5703125" style="307" customWidth="1"/>
    <col min="7" max="7" width="11.5703125" style="307" customWidth="1"/>
    <col min="8" max="8" width="11.5703125" style="307" bestFit="1" customWidth="1"/>
    <col min="9" max="14" width="9.140625" style="307"/>
    <col min="15" max="15" width="12.28515625" style="307" bestFit="1" customWidth="1"/>
    <col min="16" max="16" width="10.5703125" style="307" bestFit="1" customWidth="1"/>
    <col min="17" max="16384" width="9.140625" style="307"/>
  </cols>
  <sheetData>
    <row r="1" spans="2:8" ht="18.75">
      <c r="B1" s="306" t="s">
        <v>957</v>
      </c>
    </row>
    <row r="3" spans="2:8">
      <c r="B3" s="309" t="s">
        <v>958</v>
      </c>
      <c r="G3" s="308" t="s">
        <v>891</v>
      </c>
      <c r="H3" s="307">
        <v>25.33</v>
      </c>
    </row>
    <row r="5" spans="2:8">
      <c r="B5" s="307" t="s">
        <v>653</v>
      </c>
      <c r="F5" s="310">
        <v>1310</v>
      </c>
    </row>
    <row r="6" spans="2:8">
      <c r="B6" s="307" t="s">
        <v>654</v>
      </c>
      <c r="F6" s="310">
        <v>2</v>
      </c>
      <c r="G6" s="307" t="s">
        <v>657</v>
      </c>
    </row>
    <row r="7" spans="2:8">
      <c r="B7" s="307" t="s">
        <v>655</v>
      </c>
      <c r="F7" s="310">
        <f>F5*F6</f>
        <v>2620</v>
      </c>
      <c r="G7" s="307" t="s">
        <v>707</v>
      </c>
    </row>
    <row r="8" spans="2:8">
      <c r="B8" s="307" t="s">
        <v>934</v>
      </c>
      <c r="F8" s="310">
        <f>ROUND(F7/12,2)</f>
        <v>218.33</v>
      </c>
      <c r="G8" s="307" t="s">
        <v>935</v>
      </c>
    </row>
    <row r="9" spans="2:8">
      <c r="B9" s="58" t="s">
        <v>573</v>
      </c>
      <c r="F9" s="71">
        <f>730*2</f>
        <v>1460</v>
      </c>
      <c r="G9" s="58" t="s">
        <v>928</v>
      </c>
    </row>
    <row r="10" spans="2:8" ht="15.75" thickBot="1"/>
    <row r="11" spans="2:8" ht="15.75" thickBot="1">
      <c r="B11" s="311" t="s">
        <v>929</v>
      </c>
      <c r="C11" s="312"/>
      <c r="D11" s="312"/>
      <c r="E11" s="312"/>
      <c r="F11" s="312"/>
      <c r="G11" s="323">
        <f>ROUND(F7/F9,0)</f>
        <v>2</v>
      </c>
    </row>
    <row r="13" spans="2:8">
      <c r="B13" s="309" t="s">
        <v>959</v>
      </c>
    </row>
    <row r="15" spans="2:8">
      <c r="B15" s="58" t="s">
        <v>697</v>
      </c>
      <c r="F15" s="58">
        <f>1/20</f>
        <v>0.05</v>
      </c>
      <c r="G15" s="58" t="s">
        <v>548</v>
      </c>
    </row>
    <row r="16" spans="2:8">
      <c r="B16" s="58" t="s">
        <v>576</v>
      </c>
      <c r="F16" s="314">
        <v>0</v>
      </c>
      <c r="G16" s="58"/>
    </row>
    <row r="17" spans="2:8" ht="15.75" thickBot="1"/>
    <row r="18" spans="2:8">
      <c r="B18" s="315" t="s">
        <v>658</v>
      </c>
      <c r="C18" s="316"/>
      <c r="D18" s="454">
        <f>G11</f>
        <v>2</v>
      </c>
    </row>
    <row r="19" spans="2:8">
      <c r="B19" s="318" t="s">
        <v>884</v>
      </c>
      <c r="D19" s="319">
        <f>G11</f>
        <v>2</v>
      </c>
    </row>
    <row r="20" spans="2:8">
      <c r="B20" s="318" t="s">
        <v>553</v>
      </c>
      <c r="D20" s="455">
        <f>ROUNDUP(D19*F15,0)</f>
        <v>1</v>
      </c>
    </row>
    <row r="21" spans="2:8" ht="15.75" thickBot="1">
      <c r="B21" s="318" t="s">
        <v>705</v>
      </c>
      <c r="D21" s="455">
        <f>ROUNDUP(D18/14,0)</f>
        <v>1</v>
      </c>
    </row>
    <row r="22" spans="2:8" ht="15.75" thickBot="1">
      <c r="B22" s="320" t="s">
        <v>555</v>
      </c>
      <c r="C22" s="321"/>
      <c r="D22" s="335">
        <f>F16</f>
        <v>0</v>
      </c>
      <c r="G22" s="322" t="s">
        <v>594</v>
      </c>
      <c r="H22" s="323">
        <f>SUM(D18:D22)</f>
        <v>6</v>
      </c>
    </row>
    <row r="24" spans="2:8">
      <c r="B24" s="309" t="s">
        <v>960</v>
      </c>
    </row>
    <row r="26" spans="2:8" ht="15.75" thickBot="1">
      <c r="B26" s="309" t="s">
        <v>565</v>
      </c>
    </row>
    <row r="27" spans="2:8">
      <c r="B27" s="311" t="s">
        <v>563</v>
      </c>
      <c r="C27" s="312"/>
      <c r="D27" s="312"/>
      <c r="E27" s="311" t="s">
        <v>583</v>
      </c>
      <c r="F27" s="312"/>
      <c r="G27" s="312"/>
      <c r="H27" s="325" t="s">
        <v>584</v>
      </c>
    </row>
    <row r="28" spans="2:8">
      <c r="B28" s="318" t="s">
        <v>549</v>
      </c>
      <c r="E28" s="327">
        <v>2</v>
      </c>
      <c r="F28" s="307" t="s">
        <v>656</v>
      </c>
      <c r="H28" s="319">
        <f>TRUNC(E28/12,2)</f>
        <v>0.16</v>
      </c>
    </row>
    <row r="29" spans="2:8">
      <c r="B29" s="318" t="s">
        <v>562</v>
      </c>
      <c r="E29" s="330">
        <v>6</v>
      </c>
      <c r="F29" s="307" t="s">
        <v>656</v>
      </c>
      <c r="H29" s="319">
        <f t="shared" ref="H29:H40" si="0">TRUNC(E29/12,2)</f>
        <v>0.5</v>
      </c>
    </row>
    <row r="30" spans="2:8">
      <c r="B30" s="318" t="s">
        <v>550</v>
      </c>
      <c r="E30" s="330">
        <v>12</v>
      </c>
      <c r="F30" s="307" t="s">
        <v>656</v>
      </c>
      <c r="H30" s="319">
        <f>TRUNC(E30/12,2)</f>
        <v>1</v>
      </c>
    </row>
    <row r="31" spans="2:8">
      <c r="B31" s="318" t="s">
        <v>687</v>
      </c>
      <c r="E31" s="330">
        <v>6</v>
      </c>
      <c r="F31" s="307" t="s">
        <v>656</v>
      </c>
      <c r="H31" s="319">
        <f t="shared" si="0"/>
        <v>0.5</v>
      </c>
    </row>
    <row r="32" spans="2:8">
      <c r="B32" s="318" t="s">
        <v>660</v>
      </c>
      <c r="E32" s="330">
        <v>6</v>
      </c>
      <c r="F32" s="307" t="s">
        <v>656</v>
      </c>
      <c r="H32" s="319">
        <f t="shared" si="0"/>
        <v>0.5</v>
      </c>
    </row>
    <row r="33" spans="2:8">
      <c r="B33" s="318" t="s">
        <v>241</v>
      </c>
      <c r="E33" s="330">
        <v>12</v>
      </c>
      <c r="F33" s="307" t="s">
        <v>656</v>
      </c>
      <c r="H33" s="319">
        <f t="shared" si="0"/>
        <v>1</v>
      </c>
    </row>
    <row r="34" spans="2:8">
      <c r="B34" s="318" t="s">
        <v>242</v>
      </c>
      <c r="E34" s="330">
        <v>6</v>
      </c>
      <c r="F34" s="307" t="s">
        <v>656</v>
      </c>
      <c r="H34" s="319">
        <f t="shared" si="0"/>
        <v>0.5</v>
      </c>
    </row>
    <row r="35" spans="2:8">
      <c r="B35" s="318" t="s">
        <v>661</v>
      </c>
      <c r="E35" s="330">
        <v>3</v>
      </c>
      <c r="F35" s="307" t="s">
        <v>656</v>
      </c>
      <c r="H35" s="319">
        <f t="shared" si="0"/>
        <v>0.25</v>
      </c>
    </row>
    <row r="36" spans="2:8">
      <c r="B36" s="318" t="s">
        <v>692</v>
      </c>
      <c r="E36" s="330">
        <v>20</v>
      </c>
      <c r="F36" s="307" t="s">
        <v>656</v>
      </c>
      <c r="H36" s="319">
        <f t="shared" si="0"/>
        <v>1.66</v>
      </c>
    </row>
    <row r="37" spans="2:8">
      <c r="B37" s="318" t="s">
        <v>688</v>
      </c>
      <c r="E37" s="330">
        <v>2</v>
      </c>
      <c r="F37" s="307" t="s">
        <v>656</v>
      </c>
      <c r="H37" s="319">
        <f t="shared" si="0"/>
        <v>0.16</v>
      </c>
    </row>
    <row r="38" spans="2:8">
      <c r="B38" s="318" t="s">
        <v>457</v>
      </c>
      <c r="E38" s="330">
        <v>2</v>
      </c>
      <c r="F38" s="307" t="s">
        <v>656</v>
      </c>
      <c r="H38" s="319">
        <f t="shared" si="0"/>
        <v>0.16</v>
      </c>
    </row>
    <row r="39" spans="2:8">
      <c r="B39" s="318" t="s">
        <v>662</v>
      </c>
      <c r="E39" s="330">
        <v>2400</v>
      </c>
      <c r="F39" s="307" t="s">
        <v>656</v>
      </c>
      <c r="H39" s="319">
        <f t="shared" si="0"/>
        <v>200</v>
      </c>
    </row>
    <row r="40" spans="2:8" ht="15.75" thickBot="1">
      <c r="B40" s="320" t="s">
        <v>693</v>
      </c>
      <c r="C40" s="321"/>
      <c r="D40" s="321"/>
      <c r="E40" s="333">
        <v>1</v>
      </c>
      <c r="F40" s="321" t="s">
        <v>656</v>
      </c>
      <c r="G40" s="321"/>
      <c r="H40" s="335">
        <f t="shared" si="0"/>
        <v>0.08</v>
      </c>
    </row>
    <row r="41" spans="2:8">
      <c r="B41" s="336" t="s">
        <v>595</v>
      </c>
    </row>
    <row r="43" spans="2:8" ht="15.75" thickBot="1">
      <c r="B43" s="309" t="s">
        <v>547</v>
      </c>
    </row>
    <row r="44" spans="2:8">
      <c r="B44" s="311" t="s">
        <v>563</v>
      </c>
      <c r="C44" s="312"/>
      <c r="D44" s="312"/>
      <c r="E44" s="311" t="s">
        <v>583</v>
      </c>
      <c r="F44" s="312"/>
      <c r="G44" s="338" t="s">
        <v>564</v>
      </c>
      <c r="H44" s="325" t="s">
        <v>384</v>
      </c>
    </row>
    <row r="45" spans="2:8">
      <c r="B45" s="315" t="s">
        <v>663</v>
      </c>
      <c r="C45" s="316"/>
      <c r="D45" s="316"/>
      <c r="E45" s="327">
        <v>1</v>
      </c>
      <c r="F45" s="350" t="s">
        <v>601</v>
      </c>
      <c r="G45" s="340">
        <v>60</v>
      </c>
      <c r="H45" s="342">
        <f>TRUNC(E45,2)</f>
        <v>1</v>
      </c>
    </row>
    <row r="46" spans="2:8" ht="15.75" thickBot="1">
      <c r="B46" s="320" t="s">
        <v>709</v>
      </c>
      <c r="C46" s="321"/>
      <c r="D46" s="321"/>
      <c r="E46" s="333">
        <v>1</v>
      </c>
      <c r="F46" s="355" t="s">
        <v>601</v>
      </c>
      <c r="G46" s="346">
        <v>36</v>
      </c>
      <c r="H46" s="335">
        <f>TRUNC(E46,2)</f>
        <v>1</v>
      </c>
    </row>
    <row r="47" spans="2:8">
      <c r="B47" s="336" t="s">
        <v>595</v>
      </c>
      <c r="E47" s="310"/>
    </row>
    <row r="49" spans="2:8" ht="15.75" thickBot="1">
      <c r="B49" s="309" t="s">
        <v>442</v>
      </c>
    </row>
    <row r="50" spans="2:8">
      <c r="B50" s="311" t="s">
        <v>563</v>
      </c>
      <c r="C50" s="312"/>
      <c r="D50" s="312"/>
      <c r="E50" s="311" t="s">
        <v>583</v>
      </c>
      <c r="F50" s="312"/>
      <c r="G50" s="312"/>
      <c r="H50" s="325" t="s">
        <v>584</v>
      </c>
    </row>
    <row r="51" spans="2:8">
      <c r="B51" s="315" t="s">
        <v>566</v>
      </c>
      <c r="E51" s="456">
        <v>1</v>
      </c>
      <c r="F51" s="340" t="s">
        <v>592</v>
      </c>
      <c r="H51" s="319">
        <f>TRUNC(E51*$H$22/12,2)</f>
        <v>0.5</v>
      </c>
    </row>
    <row r="52" spans="2:8">
      <c r="B52" s="318" t="s">
        <v>492</v>
      </c>
      <c r="E52" s="457">
        <v>3</v>
      </c>
      <c r="F52" s="343" t="s">
        <v>592</v>
      </c>
      <c r="H52" s="319">
        <f t="shared" ref="H52:H60" si="1">TRUNC(E52*$H$22/12,2)</f>
        <v>1.5</v>
      </c>
    </row>
    <row r="53" spans="2:8">
      <c r="B53" s="318" t="s">
        <v>493</v>
      </c>
      <c r="E53" s="457">
        <v>3</v>
      </c>
      <c r="F53" s="343" t="s">
        <v>592</v>
      </c>
      <c r="H53" s="319">
        <f t="shared" si="1"/>
        <v>1.5</v>
      </c>
    </row>
    <row r="54" spans="2:8">
      <c r="B54" s="318" t="s">
        <v>494</v>
      </c>
      <c r="E54" s="457">
        <v>2</v>
      </c>
      <c r="F54" s="343" t="s">
        <v>592</v>
      </c>
      <c r="H54" s="319">
        <f t="shared" si="1"/>
        <v>1</v>
      </c>
    </row>
    <row r="55" spans="2:8">
      <c r="B55" s="318" t="s">
        <v>502</v>
      </c>
      <c r="E55" s="457">
        <v>3</v>
      </c>
      <c r="F55" s="343" t="s">
        <v>593</v>
      </c>
      <c r="H55" s="319">
        <f t="shared" si="1"/>
        <v>1.5</v>
      </c>
    </row>
    <row r="56" spans="2:8">
      <c r="B56" s="318" t="s">
        <v>496</v>
      </c>
      <c r="E56" s="457">
        <v>2</v>
      </c>
      <c r="F56" s="343" t="s">
        <v>592</v>
      </c>
      <c r="H56" s="319">
        <f t="shared" si="1"/>
        <v>1</v>
      </c>
    </row>
    <row r="57" spans="2:8">
      <c r="B57" s="318" t="s">
        <v>497</v>
      </c>
      <c r="E57" s="457">
        <v>2</v>
      </c>
      <c r="F57" s="343" t="s">
        <v>592</v>
      </c>
      <c r="H57" s="319">
        <f t="shared" si="1"/>
        <v>1</v>
      </c>
    </row>
    <row r="58" spans="2:8">
      <c r="B58" s="318" t="s">
        <v>498</v>
      </c>
      <c r="E58" s="457">
        <v>8</v>
      </c>
      <c r="F58" s="343" t="s">
        <v>593</v>
      </c>
      <c r="H58" s="319">
        <f t="shared" si="1"/>
        <v>4</v>
      </c>
    </row>
    <row r="59" spans="2:8">
      <c r="B59" s="318" t="s">
        <v>604</v>
      </c>
      <c r="E59" s="457">
        <v>0.16700000000000001</v>
      </c>
      <c r="F59" s="343" t="s">
        <v>592</v>
      </c>
      <c r="H59" s="319">
        <f t="shared" si="1"/>
        <v>0.08</v>
      </c>
    </row>
    <row r="60" spans="2:8" ht="15.75" thickBot="1">
      <c r="B60" s="320" t="s">
        <v>499</v>
      </c>
      <c r="C60" s="321"/>
      <c r="D60" s="321"/>
      <c r="E60" s="458">
        <v>12</v>
      </c>
      <c r="F60" s="355" t="s">
        <v>592</v>
      </c>
      <c r="G60" s="334"/>
      <c r="H60" s="335">
        <f t="shared" si="1"/>
        <v>6</v>
      </c>
    </row>
    <row r="61" spans="2:8">
      <c r="B61" s="336" t="s">
        <v>595</v>
      </c>
    </row>
    <row r="63" spans="2:8" ht="15.75" thickBot="1">
      <c r="B63" s="309" t="s">
        <v>679</v>
      </c>
    </row>
    <row r="64" spans="2:8">
      <c r="B64" s="311" t="s">
        <v>567</v>
      </c>
      <c r="C64" s="324"/>
      <c r="D64" s="311" t="s">
        <v>583</v>
      </c>
      <c r="E64" s="312"/>
      <c r="F64" s="324"/>
      <c r="G64" s="338" t="s">
        <v>564</v>
      </c>
      <c r="H64" s="325" t="s">
        <v>561</v>
      </c>
    </row>
    <row r="65" spans="2:8" ht="15.75" thickBot="1">
      <c r="B65" s="315" t="s">
        <v>664</v>
      </c>
      <c r="C65" s="316"/>
      <c r="D65" s="459">
        <f>D21</f>
        <v>1</v>
      </c>
      <c r="E65" s="316" t="s">
        <v>864</v>
      </c>
      <c r="G65" s="460">
        <v>72</v>
      </c>
      <c r="H65" s="461">
        <f>TRUNC(D65*D21,2)</f>
        <v>1</v>
      </c>
    </row>
    <row r="66" spans="2:8">
      <c r="B66" s="311" t="s">
        <v>567</v>
      </c>
      <c r="C66" s="324"/>
      <c r="D66" s="311" t="s">
        <v>583</v>
      </c>
      <c r="E66" s="312"/>
      <c r="F66" s="324"/>
      <c r="G66" s="338" t="s">
        <v>564</v>
      </c>
      <c r="H66" s="325" t="s">
        <v>561</v>
      </c>
    </row>
    <row r="67" spans="2:8" ht="15.75" thickBot="1">
      <c r="B67" s="320" t="s">
        <v>666</v>
      </c>
      <c r="C67" s="321"/>
      <c r="D67" s="462">
        <f>D65</f>
        <v>1</v>
      </c>
      <c r="E67" s="321" t="s">
        <v>865</v>
      </c>
      <c r="F67" s="321"/>
      <c r="G67" s="463">
        <v>72</v>
      </c>
      <c r="H67" s="335">
        <f>TRUNC(H65,2)</f>
        <v>1</v>
      </c>
    </row>
    <row r="68" spans="2:8">
      <c r="B68" s="336"/>
    </row>
    <row r="70" spans="2:8" ht="15.75">
      <c r="B70" s="347" t="s">
        <v>961</v>
      </c>
    </row>
    <row r="72" spans="2:8">
      <c r="B72" s="309" t="s">
        <v>962</v>
      </c>
    </row>
    <row r="74" spans="2:8" ht="15.75" thickBot="1">
      <c r="B74" s="309" t="s">
        <v>963</v>
      </c>
    </row>
    <row r="75" spans="2:8">
      <c r="B75" s="277" t="s">
        <v>735</v>
      </c>
      <c r="C75" s="278"/>
      <c r="D75" s="278"/>
      <c r="E75" s="278"/>
      <c r="F75" s="278"/>
      <c r="G75" s="279"/>
      <c r="H75" s="280">
        <f>H91+H93+H97+H99</f>
        <v>2879.31</v>
      </c>
    </row>
    <row r="76" spans="2:8">
      <c r="B76" s="281" t="str">
        <f>CONCATENATE("Salário - ",B75)</f>
        <v>Salário - Buerista</v>
      </c>
      <c r="C76" s="168"/>
      <c r="D76" s="169"/>
      <c r="E76" s="112" t="s">
        <v>466</v>
      </c>
      <c r="F76" s="112">
        <v>1</v>
      </c>
      <c r="G76" s="38">
        <f>VLOOKUP(B76,Tabela3[[#All],[descrição]:[fonte]],4,FALSE)</f>
        <v>1084.6400000000001</v>
      </c>
      <c r="H76" s="282">
        <f>TRUNC(F76*G76,2)</f>
        <v>1084.6400000000001</v>
      </c>
    </row>
    <row r="77" spans="2:8">
      <c r="B77" s="170" t="s">
        <v>855</v>
      </c>
      <c r="C77" s="24"/>
      <c r="D77" s="24"/>
      <c r="E77" s="97" t="s">
        <v>466</v>
      </c>
      <c r="F77" s="97">
        <v>1</v>
      </c>
      <c r="G77" s="38">
        <f>VLOOKUP(B77,Tabela3[[#All],[descrição]:[fonte]],4,FALSE)</f>
        <v>1045</v>
      </c>
      <c r="H77" s="283"/>
    </row>
    <row r="78" spans="2:8">
      <c r="B78" s="170" t="s">
        <v>468</v>
      </c>
      <c r="C78" s="24"/>
      <c r="D78" s="24"/>
      <c r="E78" s="97" t="s">
        <v>469</v>
      </c>
      <c r="F78" s="152"/>
      <c r="G78" s="96"/>
      <c r="H78" s="151"/>
    </row>
    <row r="79" spans="2:8">
      <c r="B79" s="170"/>
      <c r="C79" s="24"/>
      <c r="D79" s="24"/>
      <c r="E79" s="97" t="s">
        <v>470</v>
      </c>
      <c r="F79" s="38">
        <f>F78*8/7</f>
        <v>0</v>
      </c>
      <c r="G79" s="284">
        <f>G76/220*0.2</f>
        <v>0.98603636363636371</v>
      </c>
      <c r="H79" s="283">
        <f>TRUNC(F79*G79,2)</f>
        <v>0</v>
      </c>
    </row>
    <row r="80" spans="2:8">
      <c r="B80" s="170" t="s">
        <v>471</v>
      </c>
      <c r="C80" s="24"/>
      <c r="D80" s="24"/>
      <c r="E80" s="97" t="s">
        <v>472</v>
      </c>
      <c r="F80" s="152"/>
      <c r="G80" s="38">
        <f>G76/220*2</f>
        <v>9.8603636363636369</v>
      </c>
      <c r="H80" s="283">
        <f>TRUNC(F80*G80,2)</f>
        <v>0</v>
      </c>
    </row>
    <row r="81" spans="2:8">
      <c r="B81" s="170" t="s">
        <v>473</v>
      </c>
      <c r="C81" s="24"/>
      <c r="D81" s="24"/>
      <c r="E81" s="97" t="s">
        <v>469</v>
      </c>
      <c r="F81" s="152"/>
      <c r="G81" s="38"/>
      <c r="H81" s="283"/>
    </row>
    <row r="82" spans="2:8">
      <c r="B82" s="170"/>
      <c r="C82" s="24"/>
      <c r="D82" s="24"/>
      <c r="E82" s="97" t="s">
        <v>470</v>
      </c>
      <c r="F82" s="38">
        <f>F81*8/7</f>
        <v>0</v>
      </c>
      <c r="G82" s="38">
        <f>G76/220*2*1.2</f>
        <v>11.832436363636363</v>
      </c>
      <c r="H82" s="283">
        <f>TRUNC(F82*G82,2)</f>
        <v>0</v>
      </c>
    </row>
    <row r="83" spans="2:8">
      <c r="B83" s="170" t="s">
        <v>474</v>
      </c>
      <c r="C83" s="24"/>
      <c r="D83" s="24"/>
      <c r="E83" s="97" t="s">
        <v>472</v>
      </c>
      <c r="F83" s="152"/>
      <c r="G83" s="38">
        <f>G76/220*1.5</f>
        <v>7.3952727272727277</v>
      </c>
      <c r="H83" s="283">
        <f>TRUNC(F83*G83,2)</f>
        <v>0</v>
      </c>
    </row>
    <row r="84" spans="2:8">
      <c r="B84" s="170" t="s">
        <v>475</v>
      </c>
      <c r="C84" s="24"/>
      <c r="D84" s="24"/>
      <c r="E84" s="97" t="s">
        <v>469</v>
      </c>
      <c r="F84" s="152"/>
      <c r="G84" s="38"/>
      <c r="H84" s="283"/>
    </row>
    <row r="85" spans="2:8">
      <c r="B85" s="170"/>
      <c r="C85" s="24"/>
      <c r="D85" s="24"/>
      <c r="E85" s="97" t="s">
        <v>470</v>
      </c>
      <c r="F85" s="38">
        <f>F84*8/7</f>
        <v>0</v>
      </c>
      <c r="G85" s="38">
        <f>G76/220*1.5*1.2</f>
        <v>8.8743272727272728</v>
      </c>
      <c r="H85" s="283">
        <f>TRUNC(F85*G85,2)</f>
        <v>0</v>
      </c>
    </row>
    <row r="86" spans="2:8">
      <c r="B86" s="170" t="s">
        <v>476</v>
      </c>
      <c r="C86" s="24"/>
      <c r="D86" s="24"/>
      <c r="E86" s="97" t="s">
        <v>477</v>
      </c>
      <c r="F86" s="96"/>
      <c r="G86" s="38">
        <f>TRUNC(((52+9)/304)*(SUM(H80:H85)),2)</f>
        <v>0</v>
      </c>
      <c r="H86" s="283">
        <f>G86</f>
        <v>0</v>
      </c>
    </row>
    <row r="87" spans="2:8">
      <c r="B87" s="170" t="s">
        <v>478</v>
      </c>
      <c r="C87" s="24"/>
      <c r="D87" s="24"/>
      <c r="E87" s="97"/>
      <c r="F87" s="285">
        <v>1</v>
      </c>
      <c r="G87" s="38"/>
      <c r="H87" s="283"/>
    </row>
    <row r="88" spans="2:8">
      <c r="B88" s="170" t="s">
        <v>479</v>
      </c>
      <c r="C88" s="24"/>
      <c r="D88" s="24"/>
      <c r="E88" s="97" t="s">
        <v>480</v>
      </c>
      <c r="F88" s="286">
        <f>VLOOKUP(B76,Tabela3[[#All],[descrição]:[fonte]],3,FALSE)</f>
        <v>20</v>
      </c>
      <c r="G88" s="38">
        <f>IF(F87=2,SUM(H76:H86),IF(F87=1,SUM(H76:H86)*G77/G76,0))</f>
        <v>1045</v>
      </c>
      <c r="H88" s="283">
        <f>TRUNC(F88*G88/100,2)</f>
        <v>209</v>
      </c>
    </row>
    <row r="89" spans="2:8">
      <c r="B89" s="171" t="s">
        <v>481</v>
      </c>
      <c r="C89" s="24"/>
      <c r="D89" s="24"/>
      <c r="E89" s="134"/>
      <c r="F89" s="134"/>
      <c r="G89" s="287"/>
      <c r="H89" s="288">
        <f>SUM(H76:H88)</f>
        <v>1293.6400000000001</v>
      </c>
    </row>
    <row r="90" spans="2:8">
      <c r="B90" s="172" t="s">
        <v>482</v>
      </c>
      <c r="C90" s="184"/>
      <c r="D90" s="185"/>
      <c r="E90" s="154" t="s">
        <v>480</v>
      </c>
      <c r="F90" s="41">
        <f>VLOOKUP(B90,Tabela3[[#All],[descrição]:[fonte]],4,FALSE)</f>
        <v>70.489999999999995</v>
      </c>
      <c r="G90" s="41">
        <f>H89</f>
        <v>1293.6400000000001</v>
      </c>
      <c r="H90" s="289">
        <f>TRUNC(G90*F90/100,2)</f>
        <v>911.88</v>
      </c>
    </row>
    <row r="91" spans="2:8">
      <c r="B91" s="173" t="s">
        <v>861</v>
      </c>
      <c r="C91" s="24"/>
      <c r="D91" s="24"/>
      <c r="E91" s="155"/>
      <c r="F91" s="155"/>
      <c r="G91" s="290"/>
      <c r="H91" s="291">
        <f>TRUNC(H89+H90,2)</f>
        <v>2205.52</v>
      </c>
    </row>
    <row r="92" spans="2:8" ht="15.75">
      <c r="B92" s="292" t="s">
        <v>483</v>
      </c>
      <c r="C92" s="293"/>
      <c r="D92" s="293"/>
      <c r="E92" s="293"/>
      <c r="F92" s="293"/>
      <c r="G92" s="293"/>
      <c r="H92" s="294"/>
    </row>
    <row r="93" spans="2:8">
      <c r="B93" s="174" t="s">
        <v>860</v>
      </c>
      <c r="C93" s="175"/>
      <c r="D93" s="176"/>
      <c r="E93" s="156" t="s">
        <v>484</v>
      </c>
      <c r="F93" s="295">
        <v>1</v>
      </c>
      <c r="G93" s="295">
        <f>H96</f>
        <v>140.83000000000001</v>
      </c>
      <c r="H93" s="296">
        <f>TRUNC(G93*F93,2)</f>
        <v>140.83000000000001</v>
      </c>
    </row>
    <row r="94" spans="2:8">
      <c r="B94" s="170" t="s">
        <v>485</v>
      </c>
      <c r="C94" s="24"/>
      <c r="D94" s="24"/>
      <c r="E94" s="97" t="s">
        <v>477</v>
      </c>
      <c r="F94" s="38">
        <v>1</v>
      </c>
      <c r="G94" s="38">
        <f>VLOOKUP(B94,Tabela3[[#All],[descrição]:[fonte]],4,FALSE)</f>
        <v>3.95</v>
      </c>
      <c r="H94" s="283"/>
    </row>
    <row r="95" spans="2:8">
      <c r="B95" s="170" t="s">
        <v>486</v>
      </c>
      <c r="C95" s="24"/>
      <c r="D95" s="24"/>
      <c r="E95" s="97" t="s">
        <v>487</v>
      </c>
      <c r="F95" s="38">
        <f>ROUND((9+304)/12,2)</f>
        <v>26.08</v>
      </c>
      <c r="G95" s="38"/>
      <c r="H95" s="283"/>
    </row>
    <row r="96" spans="2:8">
      <c r="B96" s="177" t="str">
        <f>CONCATENATE("Vale Transporte - ",B75)</f>
        <v>Vale Transporte - Buerista</v>
      </c>
      <c r="C96" s="24"/>
      <c r="D96" s="24"/>
      <c r="E96" s="102" t="s">
        <v>488</v>
      </c>
      <c r="F96" s="297">
        <f>F95*2*1</f>
        <v>52.16</v>
      </c>
      <c r="G96" s="297">
        <f>IF(TRUNC(IFERROR(((G94)-((G76*0.06)/(F95*2))),"-"),2)&lt;=0,0,TRUNC(IFERROR(((G94)-((G76*0.06)/(F95*2))),"-"),2))</f>
        <v>2.7</v>
      </c>
      <c r="H96" s="298">
        <f>TRUNC(IFERROR(F96*G96,"-"),2)</f>
        <v>140.83000000000001</v>
      </c>
    </row>
    <row r="97" spans="2:8">
      <c r="B97" s="174" t="s">
        <v>859</v>
      </c>
      <c r="C97" s="175"/>
      <c r="D97" s="176"/>
      <c r="E97" s="156" t="s">
        <v>484</v>
      </c>
      <c r="F97" s="295">
        <v>1</v>
      </c>
      <c r="G97" s="295">
        <f>H98</f>
        <v>312.95999999999998</v>
      </c>
      <c r="H97" s="296">
        <f>G97*F97</f>
        <v>312.95999999999998</v>
      </c>
    </row>
    <row r="98" spans="2:8">
      <c r="B98" s="178" t="s">
        <v>489</v>
      </c>
      <c r="C98" s="179"/>
      <c r="D98" s="180"/>
      <c r="E98" s="157" t="s">
        <v>490</v>
      </c>
      <c r="F98" s="295">
        <f>F95</f>
        <v>26.08</v>
      </c>
      <c r="G98" s="295">
        <f>VLOOKUP(B98,Tabela3[[#All],[descrição]:[fonte]],4,FALSE)</f>
        <v>12</v>
      </c>
      <c r="H98" s="299">
        <f>TRUNC(F98*G98,2)</f>
        <v>312.95999999999998</v>
      </c>
    </row>
    <row r="99" spans="2:8">
      <c r="B99" s="181" t="s">
        <v>491</v>
      </c>
      <c r="C99" s="182"/>
      <c r="D99" s="183"/>
      <c r="E99" s="134" t="s">
        <v>484</v>
      </c>
      <c r="F99" s="38">
        <v>1</v>
      </c>
      <c r="G99" s="38">
        <f>VLOOKUP(B99,Tabela3[[#All],[descrição]:[fonte]],4,FALSE)</f>
        <v>220</v>
      </c>
      <c r="H99" s="288">
        <f>G99*F99</f>
        <v>220</v>
      </c>
    </row>
    <row r="100" spans="2:8">
      <c r="B100" s="300" t="s">
        <v>384</v>
      </c>
      <c r="C100" s="301"/>
      <c r="D100" s="301"/>
      <c r="E100" s="301"/>
      <c r="F100" s="301"/>
      <c r="G100" s="301"/>
      <c r="H100" s="302">
        <f>D18</f>
        <v>2</v>
      </c>
    </row>
    <row r="101" spans="2:8" ht="15.75" thickBot="1">
      <c r="B101" s="303" t="s">
        <v>854</v>
      </c>
      <c r="C101" s="304"/>
      <c r="D101" s="304"/>
      <c r="E101" s="304"/>
      <c r="F101" s="304"/>
      <c r="G101" s="304"/>
      <c r="H101" s="305">
        <f>H100*H75</f>
        <v>5758.62</v>
      </c>
    </row>
    <row r="103" spans="2:8" ht="15.75" thickBot="1">
      <c r="B103" s="309" t="s">
        <v>964</v>
      </c>
    </row>
    <row r="104" spans="2:8">
      <c r="B104" s="277" t="s">
        <v>886</v>
      </c>
      <c r="C104" s="278"/>
      <c r="D104" s="278"/>
      <c r="E104" s="278"/>
      <c r="F104" s="278"/>
      <c r="G104" s="279"/>
      <c r="H104" s="280">
        <f>H120+H122+H126+H128</f>
        <v>2879.31</v>
      </c>
    </row>
    <row r="105" spans="2:8">
      <c r="B105" s="281" t="str">
        <f>CONCATENATE("Salário - ",B104)</f>
        <v>Salário - Ajudante de Buerista</v>
      </c>
      <c r="C105" s="168"/>
      <c r="D105" s="169"/>
      <c r="E105" s="112" t="s">
        <v>466</v>
      </c>
      <c r="F105" s="112">
        <v>1</v>
      </c>
      <c r="G105" s="38">
        <f>VLOOKUP(B105,Tabela3[[#All],[descrição]:[fonte]],4,FALSE)</f>
        <v>1084.6400000000001</v>
      </c>
      <c r="H105" s="282">
        <f>TRUNC(F105*G105,2)</f>
        <v>1084.6400000000001</v>
      </c>
    </row>
    <row r="106" spans="2:8">
      <c r="B106" s="170" t="s">
        <v>855</v>
      </c>
      <c r="C106" s="24"/>
      <c r="D106" s="24"/>
      <c r="E106" s="97" t="s">
        <v>466</v>
      </c>
      <c r="F106" s="97">
        <v>1</v>
      </c>
      <c r="G106" s="38">
        <f>VLOOKUP(B106,Tabela3[[#All],[descrição]:[fonte]],4,FALSE)</f>
        <v>1045</v>
      </c>
      <c r="H106" s="283"/>
    </row>
    <row r="107" spans="2:8">
      <c r="B107" s="170" t="s">
        <v>468</v>
      </c>
      <c r="C107" s="24"/>
      <c r="D107" s="24"/>
      <c r="E107" s="97" t="s">
        <v>469</v>
      </c>
      <c r="F107" s="152"/>
      <c r="G107" s="96"/>
      <c r="H107" s="151"/>
    </row>
    <row r="108" spans="2:8">
      <c r="B108" s="170"/>
      <c r="C108" s="24"/>
      <c r="D108" s="24"/>
      <c r="E108" s="97" t="s">
        <v>470</v>
      </c>
      <c r="F108" s="38">
        <f>F107*8/7</f>
        <v>0</v>
      </c>
      <c r="G108" s="284">
        <f>G105/220*0.2</f>
        <v>0.98603636363636371</v>
      </c>
      <c r="H108" s="283">
        <f>TRUNC(F108*G108,2)</f>
        <v>0</v>
      </c>
    </row>
    <row r="109" spans="2:8">
      <c r="B109" s="170" t="s">
        <v>471</v>
      </c>
      <c r="C109" s="24"/>
      <c r="D109" s="24"/>
      <c r="E109" s="97" t="s">
        <v>472</v>
      </c>
      <c r="F109" s="152"/>
      <c r="G109" s="38">
        <f>G105/220*2</f>
        <v>9.8603636363636369</v>
      </c>
      <c r="H109" s="283">
        <f>TRUNC(F109*G109,2)</f>
        <v>0</v>
      </c>
    </row>
    <row r="110" spans="2:8">
      <c r="B110" s="170" t="s">
        <v>473</v>
      </c>
      <c r="C110" s="24"/>
      <c r="D110" s="24"/>
      <c r="E110" s="97" t="s">
        <v>469</v>
      </c>
      <c r="F110" s="152"/>
      <c r="G110" s="38"/>
      <c r="H110" s="283"/>
    </row>
    <row r="111" spans="2:8">
      <c r="B111" s="170"/>
      <c r="C111" s="24"/>
      <c r="D111" s="24"/>
      <c r="E111" s="97" t="s">
        <v>470</v>
      </c>
      <c r="F111" s="38">
        <f>F110*8/7</f>
        <v>0</v>
      </c>
      <c r="G111" s="38">
        <f>G105/220*2*1.2</f>
        <v>11.832436363636363</v>
      </c>
      <c r="H111" s="283">
        <f>TRUNC(F111*G111,2)</f>
        <v>0</v>
      </c>
    </row>
    <row r="112" spans="2:8">
      <c r="B112" s="170" t="s">
        <v>474</v>
      </c>
      <c r="C112" s="24"/>
      <c r="D112" s="24"/>
      <c r="E112" s="97" t="s">
        <v>472</v>
      </c>
      <c r="F112" s="152"/>
      <c r="G112" s="38">
        <f>G105/220*1.5</f>
        <v>7.3952727272727277</v>
      </c>
      <c r="H112" s="283">
        <f>TRUNC(F112*G112,2)</f>
        <v>0</v>
      </c>
    </row>
    <row r="113" spans="2:8">
      <c r="B113" s="170" t="s">
        <v>475</v>
      </c>
      <c r="C113" s="24"/>
      <c r="D113" s="24"/>
      <c r="E113" s="97" t="s">
        <v>469</v>
      </c>
      <c r="F113" s="152"/>
      <c r="G113" s="38"/>
      <c r="H113" s="283"/>
    </row>
    <row r="114" spans="2:8">
      <c r="B114" s="170"/>
      <c r="C114" s="24"/>
      <c r="D114" s="24"/>
      <c r="E114" s="97" t="s">
        <v>470</v>
      </c>
      <c r="F114" s="38">
        <f>F113*8/7</f>
        <v>0</v>
      </c>
      <c r="G114" s="38">
        <f>G105/220*1.5*1.2</f>
        <v>8.8743272727272728</v>
      </c>
      <c r="H114" s="283">
        <f>TRUNC(F114*G114,2)</f>
        <v>0</v>
      </c>
    </row>
    <row r="115" spans="2:8">
      <c r="B115" s="170" t="s">
        <v>476</v>
      </c>
      <c r="C115" s="24"/>
      <c r="D115" s="24"/>
      <c r="E115" s="97" t="s">
        <v>477</v>
      </c>
      <c r="F115" s="96"/>
      <c r="G115" s="38">
        <f>TRUNC(((52+9)/304)*(SUM(H109:H114)),2)</f>
        <v>0</v>
      </c>
      <c r="H115" s="283">
        <f>G115</f>
        <v>0</v>
      </c>
    </row>
    <row r="116" spans="2:8">
      <c r="B116" s="170" t="s">
        <v>478</v>
      </c>
      <c r="C116" s="24"/>
      <c r="D116" s="24"/>
      <c r="E116" s="97"/>
      <c r="F116" s="285">
        <v>1</v>
      </c>
      <c r="G116" s="38"/>
      <c r="H116" s="283"/>
    </row>
    <row r="117" spans="2:8">
      <c r="B117" s="170" t="s">
        <v>479</v>
      </c>
      <c r="C117" s="24"/>
      <c r="D117" s="24"/>
      <c r="E117" s="97" t="s">
        <v>480</v>
      </c>
      <c r="F117" s="286">
        <f>VLOOKUP(B105,Tabela3[[#All],[descrição]:[fonte]],3,FALSE)</f>
        <v>20</v>
      </c>
      <c r="G117" s="38">
        <f>IF(F116=2,SUM(H105:H115),IF(F116=1,SUM(H105:H115)*G106/G105,0))</f>
        <v>1045</v>
      </c>
      <c r="H117" s="283">
        <f>TRUNC(F117*G117/100,2)</f>
        <v>209</v>
      </c>
    </row>
    <row r="118" spans="2:8">
      <c r="B118" s="171" t="s">
        <v>481</v>
      </c>
      <c r="C118" s="24"/>
      <c r="D118" s="24"/>
      <c r="E118" s="134"/>
      <c r="F118" s="134"/>
      <c r="G118" s="287"/>
      <c r="H118" s="288">
        <f>SUM(H105:H117)</f>
        <v>1293.6400000000001</v>
      </c>
    </row>
    <row r="119" spans="2:8">
      <c r="B119" s="172" t="s">
        <v>482</v>
      </c>
      <c r="C119" s="184"/>
      <c r="D119" s="185"/>
      <c r="E119" s="154" t="s">
        <v>480</v>
      </c>
      <c r="F119" s="41">
        <f>VLOOKUP(B119,Tabela3[[#All],[descrição]:[fonte]],4,FALSE)</f>
        <v>70.489999999999995</v>
      </c>
      <c r="G119" s="41">
        <f>H118</f>
        <v>1293.6400000000001</v>
      </c>
      <c r="H119" s="289">
        <f>TRUNC(G119*F119/100,2)</f>
        <v>911.88</v>
      </c>
    </row>
    <row r="120" spans="2:8">
      <c r="B120" s="173" t="s">
        <v>861</v>
      </c>
      <c r="C120" s="24"/>
      <c r="D120" s="24"/>
      <c r="E120" s="155"/>
      <c r="F120" s="155"/>
      <c r="G120" s="290"/>
      <c r="H120" s="291">
        <f>TRUNC(H118+H119,2)</f>
        <v>2205.52</v>
      </c>
    </row>
    <row r="121" spans="2:8" ht="15.75">
      <c r="B121" s="292" t="s">
        <v>483</v>
      </c>
      <c r="C121" s="293"/>
      <c r="D121" s="293"/>
      <c r="E121" s="293"/>
      <c r="F121" s="293"/>
      <c r="G121" s="293"/>
      <c r="H121" s="294"/>
    </row>
    <row r="122" spans="2:8">
      <c r="B122" s="174" t="s">
        <v>860</v>
      </c>
      <c r="C122" s="175"/>
      <c r="D122" s="176"/>
      <c r="E122" s="156" t="s">
        <v>484</v>
      </c>
      <c r="F122" s="295">
        <v>1</v>
      </c>
      <c r="G122" s="295">
        <f>H125</f>
        <v>140.83000000000001</v>
      </c>
      <c r="H122" s="296">
        <f>TRUNC(G122*F122,2)</f>
        <v>140.83000000000001</v>
      </c>
    </row>
    <row r="123" spans="2:8">
      <c r="B123" s="170" t="s">
        <v>485</v>
      </c>
      <c r="C123" s="24"/>
      <c r="D123" s="24"/>
      <c r="E123" s="97" t="s">
        <v>477</v>
      </c>
      <c r="F123" s="38">
        <v>1</v>
      </c>
      <c r="G123" s="38">
        <f>VLOOKUP(B123,Tabela3[[#All],[descrição]:[fonte]],4,FALSE)</f>
        <v>3.95</v>
      </c>
      <c r="H123" s="283"/>
    </row>
    <row r="124" spans="2:8">
      <c r="B124" s="170" t="s">
        <v>486</v>
      </c>
      <c r="C124" s="24"/>
      <c r="D124" s="24"/>
      <c r="E124" s="97" t="s">
        <v>487</v>
      </c>
      <c r="F124" s="38">
        <f>ROUND((9+304)/12,2)</f>
        <v>26.08</v>
      </c>
      <c r="G124" s="38"/>
      <c r="H124" s="283"/>
    </row>
    <row r="125" spans="2:8">
      <c r="B125" s="177" t="str">
        <f>CONCATENATE("Vale Transporte - ",B104)</f>
        <v>Vale Transporte - Ajudante de Buerista</v>
      </c>
      <c r="C125" s="24"/>
      <c r="D125" s="24"/>
      <c r="E125" s="102" t="s">
        <v>488</v>
      </c>
      <c r="F125" s="297">
        <f>F124*2*1</f>
        <v>52.16</v>
      </c>
      <c r="G125" s="297">
        <f>IF(TRUNC(IFERROR(((G123)-((G105*0.06)/(F124*2))),"-"),2)&lt;=0,0,TRUNC(IFERROR(((G123)-((G105*0.06)/(F124*2))),"-"),2))</f>
        <v>2.7</v>
      </c>
      <c r="H125" s="298">
        <f>TRUNC(IFERROR(F125*G125,"-"),2)</f>
        <v>140.83000000000001</v>
      </c>
    </row>
    <row r="126" spans="2:8">
      <c r="B126" s="174" t="s">
        <v>859</v>
      </c>
      <c r="C126" s="175"/>
      <c r="D126" s="176"/>
      <c r="E126" s="156" t="s">
        <v>484</v>
      </c>
      <c r="F126" s="295">
        <v>1</v>
      </c>
      <c r="G126" s="295">
        <f>H127</f>
        <v>312.95999999999998</v>
      </c>
      <c r="H126" s="296">
        <f>G126*F126</f>
        <v>312.95999999999998</v>
      </c>
    </row>
    <row r="127" spans="2:8">
      <c r="B127" s="178" t="s">
        <v>489</v>
      </c>
      <c r="C127" s="179"/>
      <c r="D127" s="180"/>
      <c r="E127" s="157" t="s">
        <v>490</v>
      </c>
      <c r="F127" s="295">
        <f>F124</f>
        <v>26.08</v>
      </c>
      <c r="G127" s="295">
        <f>VLOOKUP(B127,Tabela3[[#All],[descrição]:[fonte]],4,FALSE)</f>
        <v>12</v>
      </c>
      <c r="H127" s="299">
        <f>TRUNC(F127*G127,2)</f>
        <v>312.95999999999998</v>
      </c>
    </row>
    <row r="128" spans="2:8">
      <c r="B128" s="181" t="s">
        <v>491</v>
      </c>
      <c r="C128" s="182"/>
      <c r="D128" s="183"/>
      <c r="E128" s="134" t="s">
        <v>484</v>
      </c>
      <c r="F128" s="38">
        <v>1</v>
      </c>
      <c r="G128" s="38">
        <f>VLOOKUP(B128,Tabela3[[#All],[descrição]:[fonte]],4,FALSE)</f>
        <v>220</v>
      </c>
      <c r="H128" s="288">
        <f>G128*F128</f>
        <v>220</v>
      </c>
    </row>
    <row r="129" spans="2:8">
      <c r="B129" s="300" t="s">
        <v>384</v>
      </c>
      <c r="C129" s="301"/>
      <c r="D129" s="301"/>
      <c r="E129" s="301"/>
      <c r="F129" s="301"/>
      <c r="G129" s="301"/>
      <c r="H129" s="302">
        <f>D19</f>
        <v>2</v>
      </c>
    </row>
    <row r="130" spans="2:8" ht="15.75" thickBot="1">
      <c r="B130" s="303" t="s">
        <v>854</v>
      </c>
      <c r="C130" s="304"/>
      <c r="D130" s="304"/>
      <c r="E130" s="304"/>
      <c r="F130" s="304"/>
      <c r="G130" s="304"/>
      <c r="H130" s="305">
        <f>H129*H104</f>
        <v>5758.62</v>
      </c>
    </row>
    <row r="132" spans="2:8" ht="15.75" thickBot="1">
      <c r="B132" s="309" t="s">
        <v>965</v>
      </c>
    </row>
    <row r="133" spans="2:8">
      <c r="B133" s="277" t="s">
        <v>866</v>
      </c>
      <c r="C133" s="278"/>
      <c r="D133" s="278"/>
      <c r="E133" s="278"/>
      <c r="F133" s="278"/>
      <c r="G133" s="279"/>
      <c r="H133" s="280">
        <f>H149+H151+H155+H157</f>
        <v>3442.54</v>
      </c>
    </row>
    <row r="134" spans="2:8">
      <c r="B134" s="281" t="str">
        <f>CONCATENATE("Salário - ",B133)</f>
        <v>Salário - Fiscal</v>
      </c>
      <c r="C134" s="168"/>
      <c r="D134" s="169"/>
      <c r="E134" s="112" t="s">
        <v>466</v>
      </c>
      <c r="F134" s="112">
        <v>1</v>
      </c>
      <c r="G134" s="38">
        <f>VLOOKUP(B134,Tabela3[[#All],[descrição]:[fonte]],4,FALSE)</f>
        <v>1427.24</v>
      </c>
      <c r="H134" s="282">
        <f>TRUNC(F134*G134,2)</f>
        <v>1427.24</v>
      </c>
    </row>
    <row r="135" spans="2:8">
      <c r="B135" s="170" t="s">
        <v>855</v>
      </c>
      <c r="C135" s="24"/>
      <c r="D135" s="24"/>
      <c r="E135" s="97" t="s">
        <v>466</v>
      </c>
      <c r="F135" s="97">
        <v>1</v>
      </c>
      <c r="G135" s="38">
        <f>VLOOKUP(B135,Tabela3[[#All],[descrição]:[fonte]],4,FALSE)</f>
        <v>1045</v>
      </c>
      <c r="H135" s="283"/>
    </row>
    <row r="136" spans="2:8">
      <c r="B136" s="170" t="s">
        <v>468</v>
      </c>
      <c r="C136" s="24"/>
      <c r="D136" s="24"/>
      <c r="E136" s="97" t="s">
        <v>469</v>
      </c>
      <c r="F136" s="152"/>
      <c r="G136" s="96"/>
      <c r="H136" s="151"/>
    </row>
    <row r="137" spans="2:8">
      <c r="B137" s="170"/>
      <c r="C137" s="24"/>
      <c r="D137" s="24"/>
      <c r="E137" s="97" t="s">
        <v>470</v>
      </c>
      <c r="F137" s="38">
        <f>F136*8/7</f>
        <v>0</v>
      </c>
      <c r="G137" s="284">
        <f>G134/220*0.2</f>
        <v>1.297490909090909</v>
      </c>
      <c r="H137" s="283">
        <f>TRUNC(F137*G137,2)</f>
        <v>0</v>
      </c>
    </row>
    <row r="138" spans="2:8">
      <c r="B138" s="170" t="s">
        <v>471</v>
      </c>
      <c r="C138" s="24"/>
      <c r="D138" s="24"/>
      <c r="E138" s="97" t="s">
        <v>472</v>
      </c>
      <c r="F138" s="152"/>
      <c r="G138" s="38">
        <f>G134/220*2</f>
        <v>12.97490909090909</v>
      </c>
      <c r="H138" s="283">
        <f>TRUNC(F138*G138,2)</f>
        <v>0</v>
      </c>
    </row>
    <row r="139" spans="2:8">
      <c r="B139" s="170" t="s">
        <v>473</v>
      </c>
      <c r="C139" s="24"/>
      <c r="D139" s="24"/>
      <c r="E139" s="97" t="s">
        <v>469</v>
      </c>
      <c r="F139" s="152"/>
      <c r="G139" s="38"/>
      <c r="H139" s="283"/>
    </row>
    <row r="140" spans="2:8">
      <c r="B140" s="170"/>
      <c r="C140" s="24"/>
      <c r="D140" s="24"/>
      <c r="E140" s="97" t="s">
        <v>470</v>
      </c>
      <c r="F140" s="38">
        <f>F139*8/7</f>
        <v>0</v>
      </c>
      <c r="G140" s="38">
        <f>G134/220*2*1.2</f>
        <v>15.569890909090908</v>
      </c>
      <c r="H140" s="283">
        <f>TRUNC(F140*G140,2)</f>
        <v>0</v>
      </c>
    </row>
    <row r="141" spans="2:8">
      <c r="B141" s="170" t="s">
        <v>474</v>
      </c>
      <c r="C141" s="24"/>
      <c r="D141" s="24"/>
      <c r="E141" s="97" t="s">
        <v>472</v>
      </c>
      <c r="F141" s="152"/>
      <c r="G141" s="38">
        <f>G134/220*1.5</f>
        <v>9.7311818181818168</v>
      </c>
      <c r="H141" s="283">
        <f>TRUNC(F141*G141,2)</f>
        <v>0</v>
      </c>
    </row>
    <row r="142" spans="2:8">
      <c r="B142" s="170" t="s">
        <v>475</v>
      </c>
      <c r="C142" s="24"/>
      <c r="D142" s="24"/>
      <c r="E142" s="97" t="s">
        <v>469</v>
      </c>
      <c r="F142" s="152"/>
      <c r="G142" s="38"/>
      <c r="H142" s="283"/>
    </row>
    <row r="143" spans="2:8">
      <c r="B143" s="170"/>
      <c r="C143" s="24"/>
      <c r="D143" s="24"/>
      <c r="E143" s="97" t="s">
        <v>470</v>
      </c>
      <c r="F143" s="38">
        <f>F142*8/7</f>
        <v>0</v>
      </c>
      <c r="G143" s="38">
        <f>G134/220*1.5*1.2</f>
        <v>11.677418181818179</v>
      </c>
      <c r="H143" s="283">
        <f>TRUNC(F143*G143,2)</f>
        <v>0</v>
      </c>
    </row>
    <row r="144" spans="2:8">
      <c r="B144" s="170" t="s">
        <v>476</v>
      </c>
      <c r="C144" s="24"/>
      <c r="D144" s="24"/>
      <c r="E144" s="97" t="s">
        <v>477</v>
      </c>
      <c r="F144" s="96"/>
      <c r="G144" s="38">
        <f>TRUNC(((52+9)/304)*(SUM(H138:H143)),2)</f>
        <v>0</v>
      </c>
      <c r="H144" s="283">
        <f>G144</f>
        <v>0</v>
      </c>
    </row>
    <row r="145" spans="2:8">
      <c r="B145" s="170" t="s">
        <v>478</v>
      </c>
      <c r="C145" s="24"/>
      <c r="D145" s="24"/>
      <c r="E145" s="97"/>
      <c r="F145" s="285">
        <v>1</v>
      </c>
      <c r="G145" s="38"/>
      <c r="H145" s="283"/>
    </row>
    <row r="146" spans="2:8">
      <c r="B146" s="170" t="s">
        <v>479</v>
      </c>
      <c r="C146" s="24"/>
      <c r="D146" s="24"/>
      <c r="E146" s="97" t="s">
        <v>480</v>
      </c>
      <c r="F146" s="286">
        <f>VLOOKUP(B134,Tabela3[[#All],[descrição]:[fonte]],3,FALSE)</f>
        <v>20</v>
      </c>
      <c r="G146" s="38">
        <f>IF(F145=2,SUM(H134:H144),IF(F145=1,SUM(H134:H144)*G135/G134,0))</f>
        <v>1045</v>
      </c>
      <c r="H146" s="283">
        <f>TRUNC(F146*G146/100,2)</f>
        <v>209</v>
      </c>
    </row>
    <row r="147" spans="2:8">
      <c r="B147" s="171" t="s">
        <v>481</v>
      </c>
      <c r="C147" s="24"/>
      <c r="D147" s="24"/>
      <c r="E147" s="134"/>
      <c r="F147" s="134"/>
      <c r="G147" s="287"/>
      <c r="H147" s="288">
        <f>SUM(H134:H146)</f>
        <v>1636.24</v>
      </c>
    </row>
    <row r="148" spans="2:8">
      <c r="B148" s="172" t="s">
        <v>482</v>
      </c>
      <c r="C148" s="184"/>
      <c r="D148" s="185"/>
      <c r="E148" s="154" t="s">
        <v>480</v>
      </c>
      <c r="F148" s="41">
        <f>VLOOKUP(B148,Tabela3[[#All],[descrição]:[fonte]],4,FALSE)</f>
        <v>70.489999999999995</v>
      </c>
      <c r="G148" s="41">
        <f>H147</f>
        <v>1636.24</v>
      </c>
      <c r="H148" s="289">
        <f>TRUNC(G148*F148/100,2)</f>
        <v>1153.3800000000001</v>
      </c>
    </row>
    <row r="149" spans="2:8">
      <c r="B149" s="173" t="s">
        <v>861</v>
      </c>
      <c r="C149" s="24"/>
      <c r="D149" s="24"/>
      <c r="E149" s="155"/>
      <c r="F149" s="155"/>
      <c r="G149" s="290"/>
      <c r="H149" s="291">
        <f>TRUNC(H147+H148,2)</f>
        <v>2789.62</v>
      </c>
    </row>
    <row r="150" spans="2:8" ht="15.75">
      <c r="B150" s="292" t="s">
        <v>483</v>
      </c>
      <c r="C150" s="293"/>
      <c r="D150" s="293"/>
      <c r="E150" s="293"/>
      <c r="F150" s="293"/>
      <c r="G150" s="293"/>
      <c r="H150" s="294"/>
    </row>
    <row r="151" spans="2:8">
      <c r="B151" s="174" t="s">
        <v>860</v>
      </c>
      <c r="C151" s="175"/>
      <c r="D151" s="176"/>
      <c r="E151" s="156" t="s">
        <v>484</v>
      </c>
      <c r="F151" s="295">
        <v>1</v>
      </c>
      <c r="G151" s="295">
        <f>H154</f>
        <v>119.96</v>
      </c>
      <c r="H151" s="296">
        <f>TRUNC(G151*F151,2)</f>
        <v>119.96</v>
      </c>
    </row>
    <row r="152" spans="2:8">
      <c r="B152" s="170" t="s">
        <v>485</v>
      </c>
      <c r="C152" s="24"/>
      <c r="D152" s="24"/>
      <c r="E152" s="97" t="s">
        <v>477</v>
      </c>
      <c r="F152" s="38">
        <v>1</v>
      </c>
      <c r="G152" s="38">
        <f>VLOOKUP(B152,Tabela3[[#All],[descrição]:[fonte]],4,FALSE)</f>
        <v>3.95</v>
      </c>
      <c r="H152" s="283"/>
    </row>
    <row r="153" spans="2:8">
      <c r="B153" s="170" t="s">
        <v>486</v>
      </c>
      <c r="C153" s="24"/>
      <c r="D153" s="24"/>
      <c r="E153" s="97" t="s">
        <v>487</v>
      </c>
      <c r="F153" s="38">
        <f>ROUND((9+304)/12,2)</f>
        <v>26.08</v>
      </c>
      <c r="G153" s="38"/>
      <c r="H153" s="283"/>
    </row>
    <row r="154" spans="2:8">
      <c r="B154" s="177" t="str">
        <f>CONCATENATE("Vale Transporte - ",B133)</f>
        <v>Vale Transporte - Fiscal</v>
      </c>
      <c r="C154" s="24"/>
      <c r="D154" s="24"/>
      <c r="E154" s="102" t="s">
        <v>488</v>
      </c>
      <c r="F154" s="297">
        <f>F153*2*1</f>
        <v>52.16</v>
      </c>
      <c r="G154" s="297">
        <f>IF(TRUNC(IFERROR(((G152)-((G134*0.06)/(F153*2))),"-"),2)&lt;=0,0,TRUNC(IFERROR(((G152)-((G134*0.06)/(F153*2))),"-"),2))</f>
        <v>2.2999999999999998</v>
      </c>
      <c r="H154" s="298">
        <f>TRUNC(IFERROR(F154*G154,"-"),2)</f>
        <v>119.96</v>
      </c>
    </row>
    <row r="155" spans="2:8">
      <c r="B155" s="174" t="s">
        <v>859</v>
      </c>
      <c r="C155" s="175"/>
      <c r="D155" s="176"/>
      <c r="E155" s="156" t="s">
        <v>484</v>
      </c>
      <c r="F155" s="295">
        <v>1</v>
      </c>
      <c r="G155" s="295">
        <f>H156</f>
        <v>312.95999999999998</v>
      </c>
      <c r="H155" s="296">
        <f>G155*F155</f>
        <v>312.95999999999998</v>
      </c>
    </row>
    <row r="156" spans="2:8">
      <c r="B156" s="178" t="s">
        <v>489</v>
      </c>
      <c r="C156" s="179"/>
      <c r="D156" s="180"/>
      <c r="E156" s="157" t="s">
        <v>490</v>
      </c>
      <c r="F156" s="295">
        <f>F153</f>
        <v>26.08</v>
      </c>
      <c r="G156" s="295">
        <f>VLOOKUP(B156,Tabela3[[#All],[descrição]:[fonte]],4,FALSE)</f>
        <v>12</v>
      </c>
      <c r="H156" s="299">
        <f>TRUNC(F156*G156,2)</f>
        <v>312.95999999999998</v>
      </c>
    </row>
    <row r="157" spans="2:8">
      <c r="B157" s="181" t="s">
        <v>491</v>
      </c>
      <c r="C157" s="182"/>
      <c r="D157" s="183"/>
      <c r="E157" s="134" t="s">
        <v>484</v>
      </c>
      <c r="F157" s="38">
        <v>1</v>
      </c>
      <c r="G157" s="38">
        <f>VLOOKUP(B157,Tabela3[[#All],[descrição]:[fonte]],4,FALSE)</f>
        <v>220</v>
      </c>
      <c r="H157" s="288">
        <f>G157*F157</f>
        <v>220</v>
      </c>
    </row>
    <row r="158" spans="2:8">
      <c r="B158" s="300" t="s">
        <v>384</v>
      </c>
      <c r="C158" s="301"/>
      <c r="D158" s="301"/>
      <c r="E158" s="301"/>
      <c r="F158" s="301"/>
      <c r="G158" s="301"/>
      <c r="H158" s="302">
        <f>D20</f>
        <v>1</v>
      </c>
    </row>
    <row r="159" spans="2:8" ht="15.75" thickBot="1">
      <c r="B159" s="303" t="s">
        <v>854</v>
      </c>
      <c r="C159" s="304"/>
      <c r="D159" s="304"/>
      <c r="E159" s="304"/>
      <c r="F159" s="304"/>
      <c r="G159" s="304"/>
      <c r="H159" s="305">
        <f>H158*H133</f>
        <v>3442.54</v>
      </c>
    </row>
    <row r="161" spans="2:8" ht="15.75" thickBot="1">
      <c r="B161" s="309" t="s">
        <v>966</v>
      </c>
    </row>
    <row r="162" spans="2:8">
      <c r="B162" s="277" t="s">
        <v>729</v>
      </c>
      <c r="C162" s="278"/>
      <c r="D162" s="278"/>
      <c r="E162" s="278"/>
      <c r="F162" s="278"/>
      <c r="G162" s="279"/>
      <c r="H162" s="280">
        <f>H178+H180+H184+H186</f>
        <v>3960.4700000000003</v>
      </c>
    </row>
    <row r="163" spans="2:8">
      <c r="B163" s="281" t="str">
        <f>CONCATENATE("Salário - ",B162)</f>
        <v>Salário - Motorista</v>
      </c>
      <c r="C163" s="168"/>
      <c r="D163" s="169"/>
      <c r="E163" s="112" t="s">
        <v>466</v>
      </c>
      <c r="F163" s="112">
        <v>1</v>
      </c>
      <c r="G163" s="38">
        <f>VLOOKUP(B163,Tabela3[[#All],[descrição]:[fonte]],4,FALSE)</f>
        <v>1742.04</v>
      </c>
      <c r="H163" s="282">
        <f>TRUNC(F163*G163,2)</f>
        <v>1742.04</v>
      </c>
    </row>
    <row r="164" spans="2:8">
      <c r="B164" s="170" t="s">
        <v>855</v>
      </c>
      <c r="C164" s="24"/>
      <c r="D164" s="24"/>
      <c r="E164" s="97" t="s">
        <v>466</v>
      </c>
      <c r="F164" s="97">
        <v>1</v>
      </c>
      <c r="G164" s="38">
        <f>VLOOKUP(B164,Tabela3[[#All],[descrição]:[fonte]],4,FALSE)</f>
        <v>1045</v>
      </c>
      <c r="H164" s="283"/>
    </row>
    <row r="165" spans="2:8">
      <c r="B165" s="170" t="s">
        <v>468</v>
      </c>
      <c r="C165" s="24"/>
      <c r="D165" s="24"/>
      <c r="E165" s="97" t="s">
        <v>469</v>
      </c>
      <c r="F165" s="152"/>
      <c r="G165" s="96"/>
      <c r="H165" s="151"/>
    </row>
    <row r="166" spans="2:8">
      <c r="B166" s="170"/>
      <c r="C166" s="24"/>
      <c r="D166" s="24"/>
      <c r="E166" s="97" t="s">
        <v>470</v>
      </c>
      <c r="F166" s="38">
        <f>F165*8/7</f>
        <v>0</v>
      </c>
      <c r="G166" s="284">
        <f>G163/220*0.2</f>
        <v>1.5836727272727273</v>
      </c>
      <c r="H166" s="283">
        <f>TRUNC(F166*G166,2)</f>
        <v>0</v>
      </c>
    </row>
    <row r="167" spans="2:8">
      <c r="B167" s="170" t="s">
        <v>471</v>
      </c>
      <c r="C167" s="24"/>
      <c r="D167" s="24"/>
      <c r="E167" s="97" t="s">
        <v>472</v>
      </c>
      <c r="F167" s="152"/>
      <c r="G167" s="38">
        <f>G163/220*2</f>
        <v>15.836727272727272</v>
      </c>
      <c r="H167" s="283">
        <f>TRUNC(F167*G167,2)</f>
        <v>0</v>
      </c>
    </row>
    <row r="168" spans="2:8">
      <c r="B168" s="170" t="s">
        <v>473</v>
      </c>
      <c r="C168" s="24"/>
      <c r="D168" s="24"/>
      <c r="E168" s="97" t="s">
        <v>469</v>
      </c>
      <c r="F168" s="152"/>
      <c r="G168" s="38"/>
      <c r="H168" s="283"/>
    </row>
    <row r="169" spans="2:8">
      <c r="B169" s="170"/>
      <c r="C169" s="24"/>
      <c r="D169" s="24"/>
      <c r="E169" s="97" t="s">
        <v>470</v>
      </c>
      <c r="F169" s="38">
        <f>F168*8/7</f>
        <v>0</v>
      </c>
      <c r="G169" s="38">
        <f>G163/220*2*1.2</f>
        <v>19.004072727272725</v>
      </c>
      <c r="H169" s="283">
        <f>TRUNC(F169*G169,2)</f>
        <v>0</v>
      </c>
    </row>
    <row r="170" spans="2:8">
      <c r="B170" s="170" t="s">
        <v>474</v>
      </c>
      <c r="C170" s="24"/>
      <c r="D170" s="24"/>
      <c r="E170" s="97" t="s">
        <v>472</v>
      </c>
      <c r="F170" s="152"/>
      <c r="G170" s="38">
        <f>G163/220*1.5</f>
        <v>11.877545454545453</v>
      </c>
      <c r="H170" s="283">
        <f>TRUNC(F170*G170,2)</f>
        <v>0</v>
      </c>
    </row>
    <row r="171" spans="2:8">
      <c r="B171" s="170" t="s">
        <v>475</v>
      </c>
      <c r="C171" s="24"/>
      <c r="D171" s="24"/>
      <c r="E171" s="97" t="s">
        <v>469</v>
      </c>
      <c r="F171" s="152"/>
      <c r="G171" s="38"/>
      <c r="H171" s="283"/>
    </row>
    <row r="172" spans="2:8">
      <c r="B172" s="170"/>
      <c r="C172" s="24"/>
      <c r="D172" s="24"/>
      <c r="E172" s="97" t="s">
        <v>470</v>
      </c>
      <c r="F172" s="38">
        <f>F171*8/7</f>
        <v>0</v>
      </c>
      <c r="G172" s="38">
        <f>G163/220*1.5*1.2</f>
        <v>14.253054545454544</v>
      </c>
      <c r="H172" s="283">
        <f>TRUNC(F172*G172,2)</f>
        <v>0</v>
      </c>
    </row>
    <row r="173" spans="2:8">
      <c r="B173" s="170" t="s">
        <v>476</v>
      </c>
      <c r="C173" s="24"/>
      <c r="D173" s="24"/>
      <c r="E173" s="97" t="s">
        <v>477</v>
      </c>
      <c r="F173" s="96"/>
      <c r="G173" s="38">
        <f>TRUNC(((52+9)/304)*(SUM(H167:H172)),2)</f>
        <v>0</v>
      </c>
      <c r="H173" s="283">
        <f>G173</f>
        <v>0</v>
      </c>
    </row>
    <row r="174" spans="2:8">
      <c r="B174" s="170" t="s">
        <v>478</v>
      </c>
      <c r="C174" s="24"/>
      <c r="D174" s="24"/>
      <c r="E174" s="97"/>
      <c r="F174" s="285">
        <v>1</v>
      </c>
      <c r="G174" s="38"/>
      <c r="H174" s="283"/>
    </row>
    <row r="175" spans="2:8">
      <c r="B175" s="170" t="s">
        <v>479</v>
      </c>
      <c r="C175" s="24"/>
      <c r="D175" s="24"/>
      <c r="E175" s="97" t="s">
        <v>480</v>
      </c>
      <c r="F175" s="286">
        <f>VLOOKUP(B163,Tabela3[[#All],[descrição]:[fonte]],3,FALSE)</f>
        <v>20</v>
      </c>
      <c r="G175" s="38">
        <f>IF(F174=2,SUM(H163:H173),IF(F174=1,SUM(H163:H173)*G164/G163,0))</f>
        <v>1045</v>
      </c>
      <c r="H175" s="283">
        <f>TRUNC(F175*G175/100,2)</f>
        <v>209</v>
      </c>
    </row>
    <row r="176" spans="2:8">
      <c r="B176" s="171" t="s">
        <v>481</v>
      </c>
      <c r="C176" s="24"/>
      <c r="D176" s="24"/>
      <c r="E176" s="134"/>
      <c r="F176" s="134"/>
      <c r="G176" s="287"/>
      <c r="H176" s="288">
        <f>SUM(H163:H175)</f>
        <v>1951.04</v>
      </c>
    </row>
    <row r="177" spans="2:8">
      <c r="B177" s="172" t="s">
        <v>482</v>
      </c>
      <c r="C177" s="184"/>
      <c r="D177" s="185"/>
      <c r="E177" s="154" t="s">
        <v>480</v>
      </c>
      <c r="F177" s="41">
        <f>VLOOKUP(B177,Tabela3[[#All],[descrição]:[fonte]],4,FALSE)</f>
        <v>70.489999999999995</v>
      </c>
      <c r="G177" s="41">
        <f>H176</f>
        <v>1951.04</v>
      </c>
      <c r="H177" s="289">
        <f>TRUNC(G177*F177/100,2)</f>
        <v>1375.28</v>
      </c>
    </row>
    <row r="178" spans="2:8">
      <c r="B178" s="173" t="s">
        <v>861</v>
      </c>
      <c r="C178" s="24"/>
      <c r="D178" s="24"/>
      <c r="E178" s="155"/>
      <c r="F178" s="155"/>
      <c r="G178" s="290"/>
      <c r="H178" s="291">
        <f>TRUNC(H176+H177,2)</f>
        <v>3326.32</v>
      </c>
    </row>
    <row r="179" spans="2:8" ht="15.75">
      <c r="B179" s="292" t="s">
        <v>483</v>
      </c>
      <c r="C179" s="293"/>
      <c r="D179" s="293"/>
      <c r="E179" s="293"/>
      <c r="F179" s="293"/>
      <c r="G179" s="293"/>
      <c r="H179" s="294"/>
    </row>
    <row r="180" spans="2:8">
      <c r="B180" s="174" t="s">
        <v>860</v>
      </c>
      <c r="C180" s="175"/>
      <c r="D180" s="176"/>
      <c r="E180" s="156" t="s">
        <v>484</v>
      </c>
      <c r="F180" s="295">
        <v>1</v>
      </c>
      <c r="G180" s="295">
        <f>H183</f>
        <v>101.19</v>
      </c>
      <c r="H180" s="296">
        <f>TRUNC(G180*F180,2)</f>
        <v>101.19</v>
      </c>
    </row>
    <row r="181" spans="2:8">
      <c r="B181" s="170" t="s">
        <v>485</v>
      </c>
      <c r="C181" s="24"/>
      <c r="D181" s="24"/>
      <c r="E181" s="97" t="s">
        <v>477</v>
      </c>
      <c r="F181" s="38">
        <v>1</v>
      </c>
      <c r="G181" s="38">
        <f>VLOOKUP(B181,Tabela3[[#All],[descrição]:[fonte]],4,FALSE)</f>
        <v>3.95</v>
      </c>
      <c r="H181" s="283"/>
    </row>
    <row r="182" spans="2:8">
      <c r="B182" s="170" t="s">
        <v>486</v>
      </c>
      <c r="C182" s="24"/>
      <c r="D182" s="24"/>
      <c r="E182" s="97" t="s">
        <v>487</v>
      </c>
      <c r="F182" s="38">
        <f>ROUND((9+304)/12,2)</f>
        <v>26.08</v>
      </c>
      <c r="G182" s="38"/>
      <c r="H182" s="283"/>
    </row>
    <row r="183" spans="2:8">
      <c r="B183" s="177" t="str">
        <f>CONCATENATE("Vale Transporte - ",B162)</f>
        <v>Vale Transporte - Motorista</v>
      </c>
      <c r="C183" s="24"/>
      <c r="D183" s="24"/>
      <c r="E183" s="102" t="s">
        <v>488</v>
      </c>
      <c r="F183" s="297">
        <f>F182*2*1</f>
        <v>52.16</v>
      </c>
      <c r="G183" s="297">
        <f>IF(TRUNC(IFERROR(((G181)-((G163*0.06)/(F182*2))),"-"),2)&lt;=0,0,TRUNC(IFERROR(((G181)-((G163*0.06)/(F182*2))),"-"),2))</f>
        <v>1.94</v>
      </c>
      <c r="H183" s="298">
        <f>TRUNC(IFERROR(F183*G183,"-"),2)</f>
        <v>101.19</v>
      </c>
    </row>
    <row r="184" spans="2:8">
      <c r="B184" s="174" t="s">
        <v>859</v>
      </c>
      <c r="C184" s="175"/>
      <c r="D184" s="176"/>
      <c r="E184" s="156" t="s">
        <v>484</v>
      </c>
      <c r="F184" s="295">
        <v>1</v>
      </c>
      <c r="G184" s="295">
        <f>H185</f>
        <v>312.95999999999998</v>
      </c>
      <c r="H184" s="296">
        <f>G184*F184</f>
        <v>312.95999999999998</v>
      </c>
    </row>
    <row r="185" spans="2:8">
      <c r="B185" s="178" t="s">
        <v>489</v>
      </c>
      <c r="C185" s="179"/>
      <c r="D185" s="180"/>
      <c r="E185" s="157" t="s">
        <v>490</v>
      </c>
      <c r="F185" s="295">
        <f>F182</f>
        <v>26.08</v>
      </c>
      <c r="G185" s="295">
        <f>VLOOKUP(B185,Tabela3[[#All],[descrição]:[fonte]],4,FALSE)</f>
        <v>12</v>
      </c>
      <c r="H185" s="299">
        <f>TRUNC(F185*G185,2)</f>
        <v>312.95999999999998</v>
      </c>
    </row>
    <row r="186" spans="2:8">
      <c r="B186" s="181" t="s">
        <v>491</v>
      </c>
      <c r="C186" s="182"/>
      <c r="D186" s="183"/>
      <c r="E186" s="134" t="s">
        <v>484</v>
      </c>
      <c r="F186" s="38">
        <v>1</v>
      </c>
      <c r="G186" s="38">
        <f>VLOOKUP(B186,Tabela3[[#All],[descrição]:[fonte]],4,FALSE)</f>
        <v>220</v>
      </c>
      <c r="H186" s="288">
        <f>G186*F186</f>
        <v>220</v>
      </c>
    </row>
    <row r="187" spans="2:8">
      <c r="B187" s="300" t="s">
        <v>384</v>
      </c>
      <c r="C187" s="301"/>
      <c r="D187" s="301"/>
      <c r="E187" s="301"/>
      <c r="F187" s="301"/>
      <c r="G187" s="301"/>
      <c r="H187" s="302">
        <f>D21</f>
        <v>1</v>
      </c>
    </row>
    <row r="188" spans="2:8" ht="15.75" thickBot="1">
      <c r="B188" s="303" t="s">
        <v>854</v>
      </c>
      <c r="C188" s="304"/>
      <c r="D188" s="304"/>
      <c r="E188" s="304"/>
      <c r="F188" s="304"/>
      <c r="G188" s="304"/>
      <c r="H188" s="305">
        <f>H187*H162</f>
        <v>3960.4700000000003</v>
      </c>
    </row>
    <row r="189" spans="2:8" ht="15.75" thickBot="1"/>
    <row r="190" spans="2:8" ht="15.75" thickBot="1">
      <c r="B190" s="348" t="s">
        <v>598</v>
      </c>
      <c r="C190" s="312"/>
      <c r="D190" s="312"/>
      <c r="E190" s="312"/>
      <c r="F190" s="312"/>
      <c r="G190" s="312"/>
      <c r="H190" s="349">
        <f>H188+H159+H130+H101</f>
        <v>18920.25</v>
      </c>
    </row>
    <row r="192" spans="2:8">
      <c r="B192" s="309" t="s">
        <v>967</v>
      </c>
    </row>
    <row r="193" spans="2:8">
      <c r="B193" s="311" t="s">
        <v>563</v>
      </c>
      <c r="C193" s="312"/>
      <c r="D193" s="312"/>
      <c r="E193" s="312" t="s">
        <v>490</v>
      </c>
      <c r="F193" s="312" t="s">
        <v>561</v>
      </c>
      <c r="G193" s="312" t="s">
        <v>599</v>
      </c>
      <c r="H193" s="324" t="s">
        <v>600</v>
      </c>
    </row>
    <row r="194" spans="2:8">
      <c r="B194" s="315" t="str">
        <f t="shared" ref="B194:B206" si="2">B28</f>
        <v>Carrinho de Mão</v>
      </c>
      <c r="C194" s="316"/>
      <c r="D194" s="316"/>
      <c r="E194" s="350" t="s">
        <v>601</v>
      </c>
      <c r="F194" s="327">
        <f t="shared" ref="F194:F206" si="3">H28</f>
        <v>0.16</v>
      </c>
      <c r="G194" s="330">
        <f>VLOOKUP(B194,Tabela1[[#All],[ITENS PARA ORÇAMENTO]:[MEDIANA]],11,FALSE)</f>
        <v>136.5</v>
      </c>
      <c r="H194" s="351">
        <f>TRUNC(G194*F194,2)</f>
        <v>21.84</v>
      </c>
    </row>
    <row r="195" spans="2:8">
      <c r="B195" s="318" t="str">
        <f t="shared" si="2"/>
        <v>Pá</v>
      </c>
      <c r="E195" s="353" t="s">
        <v>601</v>
      </c>
      <c r="F195" s="330">
        <f t="shared" si="3"/>
        <v>0.5</v>
      </c>
      <c r="G195" s="330">
        <f>VLOOKUP(B195,Tabela1[[#All],[ITENS PARA ORÇAMENTO]:[MEDIANA]],11,FALSE)</f>
        <v>42.5</v>
      </c>
      <c r="H195" s="464">
        <f t="shared" ref="H195:H206" si="4">TRUNC(G195*F195,2)</f>
        <v>21.25</v>
      </c>
    </row>
    <row r="196" spans="2:8">
      <c r="B196" s="318" t="str">
        <f t="shared" si="2"/>
        <v>Enxada</v>
      </c>
      <c r="E196" s="353" t="s">
        <v>601</v>
      </c>
      <c r="F196" s="330">
        <f t="shared" si="3"/>
        <v>1</v>
      </c>
      <c r="G196" s="330">
        <f>VLOOKUP(B196,Tabela1[[#All],[ITENS PARA ORÇAMENTO]:[MEDIANA]],11,FALSE)</f>
        <v>40.53</v>
      </c>
      <c r="H196" s="464">
        <f t="shared" si="4"/>
        <v>40.53</v>
      </c>
    </row>
    <row r="197" spans="2:8">
      <c r="B197" s="318" t="str">
        <f t="shared" si="2"/>
        <v>Picareta</v>
      </c>
      <c r="E197" s="353" t="s">
        <v>601</v>
      </c>
      <c r="F197" s="330">
        <f t="shared" si="3"/>
        <v>0.5</v>
      </c>
      <c r="G197" s="330">
        <f>VLOOKUP(B197,Tabela1[[#All],[ITENS PARA ORÇAMENTO]:[MEDIANA]],11,FALSE)</f>
        <v>61.4</v>
      </c>
      <c r="H197" s="464">
        <f t="shared" si="4"/>
        <v>30.7</v>
      </c>
    </row>
    <row r="198" spans="2:8">
      <c r="B198" s="318" t="str">
        <f t="shared" si="2"/>
        <v>Cavadeira</v>
      </c>
      <c r="E198" s="353" t="s">
        <v>601</v>
      </c>
      <c r="F198" s="330">
        <f t="shared" si="3"/>
        <v>0.5</v>
      </c>
      <c r="G198" s="330">
        <f>VLOOKUP(B198,Tabela1[[#All],[ITENS PARA ORÇAMENTO]:[MEDIANA]],11,FALSE)</f>
        <v>73</v>
      </c>
      <c r="H198" s="464">
        <f t="shared" si="4"/>
        <v>36.5</v>
      </c>
    </row>
    <row r="199" spans="2:8">
      <c r="B199" s="318" t="str">
        <f t="shared" si="2"/>
        <v>Vassourão</v>
      </c>
      <c r="E199" s="353" t="s">
        <v>601</v>
      </c>
      <c r="F199" s="330">
        <f t="shared" si="3"/>
        <v>1</v>
      </c>
      <c r="G199" s="330">
        <f>VLOOKUP(B199,Tabela1[[#All],[ITENS PARA ORÇAMENTO]:[MEDIANA]],11,FALSE)</f>
        <v>28.49</v>
      </c>
      <c r="H199" s="464">
        <f t="shared" si="4"/>
        <v>28.49</v>
      </c>
    </row>
    <row r="200" spans="2:8">
      <c r="B200" s="318" t="str">
        <f t="shared" si="2"/>
        <v>Vassoura de aço</v>
      </c>
      <c r="E200" s="353" t="s">
        <v>601</v>
      </c>
      <c r="F200" s="330">
        <f t="shared" si="3"/>
        <v>0.5</v>
      </c>
      <c r="G200" s="330">
        <f>VLOOKUP(B200,Tabela1[[#All],[ITENS PARA ORÇAMENTO]:[MEDIANA]],11,FALSE)</f>
        <v>28.44</v>
      </c>
      <c r="H200" s="464">
        <f t="shared" si="4"/>
        <v>14.22</v>
      </c>
    </row>
    <row r="201" spans="2:8">
      <c r="B201" s="318" t="str">
        <f t="shared" si="2"/>
        <v>Alavancas</v>
      </c>
      <c r="E201" s="353" t="s">
        <v>601</v>
      </c>
      <c r="F201" s="330">
        <f t="shared" si="3"/>
        <v>0.25</v>
      </c>
      <c r="G201" s="330">
        <f>VLOOKUP(B201,Tabela1[[#All],[ITENS PARA ORÇAMENTO]:[MEDIANA]],11,FALSE)</f>
        <v>52.29</v>
      </c>
      <c r="H201" s="464">
        <f t="shared" si="4"/>
        <v>13.07</v>
      </c>
    </row>
    <row r="202" spans="2:8">
      <c r="B202" s="318" t="str">
        <f t="shared" si="2"/>
        <v>Cone reflexivo</v>
      </c>
      <c r="E202" s="353" t="s">
        <v>601</v>
      </c>
      <c r="F202" s="330">
        <f t="shared" si="3"/>
        <v>1.66</v>
      </c>
      <c r="G202" s="330" t="e">
        <f>VLOOKUP(B202,Tabela1[[#All],[ITENS PARA ORÇAMENTO]:[MEDIANA]],11,FALSE)</f>
        <v>#N/A</v>
      </c>
      <c r="H202" s="464" t="e">
        <f t="shared" si="4"/>
        <v>#N/A</v>
      </c>
    </row>
    <row r="203" spans="2:8">
      <c r="B203" s="318" t="str">
        <f t="shared" si="2"/>
        <v>Cavalete tipo CET</v>
      </c>
      <c r="E203" s="353" t="s">
        <v>601</v>
      </c>
      <c r="F203" s="330">
        <f t="shared" si="3"/>
        <v>0.16</v>
      </c>
      <c r="G203" s="330" t="e">
        <f>VLOOKUP(B203,Tabela1[[#All],[ITENS PARA ORÇAMENTO]:[MEDIANA]],11,FALSE)</f>
        <v>#N/A</v>
      </c>
      <c r="H203" s="464" t="e">
        <f t="shared" si="4"/>
        <v>#N/A</v>
      </c>
    </row>
    <row r="204" spans="2:8">
      <c r="B204" s="318" t="str">
        <f t="shared" si="2"/>
        <v>Bandeirola</v>
      </c>
      <c r="E204" s="353" t="s">
        <v>601</v>
      </c>
      <c r="F204" s="330">
        <f t="shared" si="3"/>
        <v>0.16</v>
      </c>
      <c r="G204" s="330">
        <f>VLOOKUP(B204,Tabela1[[#All],[ITENS PARA ORÇAMENTO]:[MEDIANA]],11,FALSE)</f>
        <v>10.5</v>
      </c>
      <c r="H204" s="464">
        <f t="shared" si="4"/>
        <v>1.68</v>
      </c>
    </row>
    <row r="205" spans="2:8">
      <c r="B205" s="318" t="str">
        <f t="shared" si="2"/>
        <v>Faixa zebrada</v>
      </c>
      <c r="E205" s="353" t="s">
        <v>601</v>
      </c>
      <c r="F205" s="330">
        <f t="shared" si="3"/>
        <v>200</v>
      </c>
      <c r="G205" s="330">
        <f>VLOOKUP(B205,Tabela1[[#All],[ITENS PARA ORÇAMENTO]:[MEDIANA]],11,FALSE)</f>
        <v>18.899999999999999</v>
      </c>
      <c r="H205" s="464">
        <f t="shared" si="4"/>
        <v>3780</v>
      </c>
    </row>
    <row r="206" spans="2:8">
      <c r="B206" s="320" t="str">
        <f t="shared" si="2"/>
        <v>Sinalizador visual</v>
      </c>
      <c r="C206" s="321"/>
      <c r="D206" s="321"/>
      <c r="E206" s="355" t="s">
        <v>601</v>
      </c>
      <c r="F206" s="333">
        <f t="shared" si="3"/>
        <v>0.08</v>
      </c>
      <c r="G206" s="333">
        <f>VLOOKUP(B206,Tabela1[[#All],[ITENS PARA ORÇAMENTO]:[MEDIANA]],11,FALSE)</f>
        <v>52.33</v>
      </c>
      <c r="H206" s="368">
        <f t="shared" si="4"/>
        <v>4.18</v>
      </c>
    </row>
    <row r="207" spans="2:8" ht="15.75" thickBot="1">
      <c r="B207" s="337" t="s">
        <v>595</v>
      </c>
    </row>
    <row r="208" spans="2:8" ht="15.75" thickBot="1">
      <c r="B208" s="348" t="s">
        <v>602</v>
      </c>
      <c r="C208" s="312"/>
      <c r="D208" s="312"/>
      <c r="E208" s="312"/>
      <c r="F208" s="312"/>
      <c r="G208" s="312"/>
      <c r="H208" s="349" t="e">
        <f>SUM(H194:H206)</f>
        <v>#N/A</v>
      </c>
    </row>
    <row r="210" spans="2:8">
      <c r="B210" s="309" t="s">
        <v>968</v>
      </c>
    </row>
    <row r="211" spans="2:8">
      <c r="B211" s="309" t="s">
        <v>969</v>
      </c>
    </row>
    <row r="212" spans="2:8">
      <c r="B212" s="311" t="s">
        <v>563</v>
      </c>
      <c r="C212" s="312"/>
      <c r="D212" s="312"/>
      <c r="E212" s="312" t="s">
        <v>490</v>
      </c>
      <c r="F212" s="312"/>
      <c r="G212" s="312"/>
      <c r="H212" s="324" t="s">
        <v>600</v>
      </c>
    </row>
    <row r="213" spans="2:8">
      <c r="B213" s="357" t="s">
        <v>663</v>
      </c>
      <c r="C213" s="312"/>
      <c r="D213" s="312"/>
      <c r="E213" s="358" t="s">
        <v>616</v>
      </c>
      <c r="F213" s="312"/>
      <c r="G213" s="312"/>
      <c r="H213" s="465">
        <f>TRUNC(H217+H220+H223,2)</f>
        <v>2012.95</v>
      </c>
    </row>
    <row r="214" spans="2:8">
      <c r="B214" s="315" t="s">
        <v>882</v>
      </c>
      <c r="C214" s="316"/>
      <c r="E214" s="350" t="s">
        <v>601</v>
      </c>
      <c r="F214" s="316"/>
      <c r="G214" s="316"/>
      <c r="H214" s="328">
        <f>VLOOKUP(B213,Tabela1[[#All],[ITENS PARA ORÇAMENTO]:[MEDIANA]],11,FALSE)</f>
        <v>95000</v>
      </c>
    </row>
    <row r="215" spans="2:8">
      <c r="B215" s="318" t="s">
        <v>605</v>
      </c>
      <c r="E215" s="353" t="s">
        <v>615</v>
      </c>
      <c r="H215" s="331">
        <f>G45/12</f>
        <v>5</v>
      </c>
    </row>
    <row r="216" spans="2:8">
      <c r="B216" s="318" t="s">
        <v>606</v>
      </c>
      <c r="E216" s="353" t="s">
        <v>615</v>
      </c>
      <c r="H216" s="331">
        <v>0</v>
      </c>
    </row>
    <row r="217" spans="2:8">
      <c r="B217" s="348" t="s">
        <v>607</v>
      </c>
      <c r="C217" s="312"/>
      <c r="D217" s="312"/>
      <c r="E217" s="358" t="s">
        <v>616</v>
      </c>
      <c r="F217" s="312"/>
      <c r="G217" s="312"/>
      <c r="H217" s="359">
        <f>TRUNC((H214-H219)/H215/12,2)</f>
        <v>1108.33</v>
      </c>
    </row>
    <row r="218" spans="2:8">
      <c r="B218" s="318" t="s">
        <v>608</v>
      </c>
      <c r="E218" s="353" t="s">
        <v>480</v>
      </c>
      <c r="H218" s="360">
        <v>0.3</v>
      </c>
    </row>
    <row r="219" spans="2:8">
      <c r="B219" s="318" t="s">
        <v>609</v>
      </c>
      <c r="E219" s="353" t="s">
        <v>477</v>
      </c>
      <c r="H219" s="331">
        <f>H218*H214</f>
        <v>28500</v>
      </c>
    </row>
    <row r="220" spans="2:8">
      <c r="B220" s="348" t="s">
        <v>610</v>
      </c>
      <c r="C220" s="312"/>
      <c r="D220" s="312"/>
      <c r="E220" s="358" t="s">
        <v>616</v>
      </c>
      <c r="F220" s="312"/>
      <c r="G220" s="312"/>
      <c r="H220" s="359">
        <f>TRUNC(((1+H221)^(1/12)-1)*H222,2)</f>
        <v>112.96</v>
      </c>
    </row>
    <row r="221" spans="2:8">
      <c r="B221" s="318" t="s">
        <v>612</v>
      </c>
      <c r="E221" s="353" t="s">
        <v>480</v>
      </c>
      <c r="H221" s="328">
        <f>VLOOKUP(B221,Tabela1[[#All],[ITENS PARA ORÇAMENTO]:[MEDIANA]],11,FALSE)</f>
        <v>0.02</v>
      </c>
    </row>
    <row r="222" spans="2:8">
      <c r="B222" s="318" t="s">
        <v>611</v>
      </c>
      <c r="E222" s="353" t="s">
        <v>477</v>
      </c>
      <c r="H222" s="361">
        <f>H219+((((H215-H216)+1)*(H214-H219))/(2*(H215-H216)))</f>
        <v>68400</v>
      </c>
    </row>
    <row r="223" spans="2:8">
      <c r="B223" s="348" t="s">
        <v>613</v>
      </c>
      <c r="C223" s="312"/>
      <c r="D223" s="312"/>
      <c r="E223" s="358" t="s">
        <v>616</v>
      </c>
      <c r="F223" s="362" t="s">
        <v>874</v>
      </c>
      <c r="G223" s="363">
        <v>0.5</v>
      </c>
      <c r="H223" s="359">
        <f>TRUNC(H214*G223/(H215*12),2)</f>
        <v>791.66</v>
      </c>
    </row>
    <row r="224" spans="2:8">
      <c r="B224" s="348" t="s">
        <v>384</v>
      </c>
      <c r="C224" s="312"/>
      <c r="E224" s="358"/>
      <c r="F224" s="312"/>
      <c r="G224" s="312"/>
      <c r="H224" s="359">
        <f>H45</f>
        <v>1</v>
      </c>
    </row>
    <row r="225" spans="2:8">
      <c r="B225" s="348" t="s">
        <v>244</v>
      </c>
      <c r="C225" s="312"/>
      <c r="D225" s="312"/>
      <c r="E225" s="358" t="s">
        <v>616</v>
      </c>
      <c r="F225" s="312"/>
      <c r="G225" s="312"/>
      <c r="H225" s="359">
        <f>TRUNC(H224*H213,2)</f>
        <v>2012.95</v>
      </c>
    </row>
    <row r="227" spans="2:8">
      <c r="B227" s="309" t="s">
        <v>970</v>
      </c>
    </row>
    <row r="228" spans="2:8">
      <c r="B228" s="311" t="s">
        <v>563</v>
      </c>
      <c r="C228" s="312"/>
      <c r="D228" s="312"/>
      <c r="E228" s="312" t="s">
        <v>490</v>
      </c>
      <c r="F228" s="312"/>
      <c r="G228" s="312"/>
      <c r="H228" s="324" t="s">
        <v>600</v>
      </c>
    </row>
    <row r="229" spans="2:8">
      <c r="B229" s="357" t="s">
        <v>709</v>
      </c>
      <c r="C229" s="312"/>
      <c r="D229" s="312"/>
      <c r="E229" s="358" t="s">
        <v>616</v>
      </c>
      <c r="F229" s="312"/>
      <c r="G229" s="312"/>
      <c r="H229" s="465">
        <f>TRUNC(H233+H236+H239,2)</f>
        <v>24.44</v>
      </c>
    </row>
    <row r="230" spans="2:8">
      <c r="B230" s="315" t="s">
        <v>882</v>
      </c>
      <c r="C230" s="316"/>
      <c r="E230" s="350" t="s">
        <v>601</v>
      </c>
      <c r="F230" s="316"/>
      <c r="G230" s="316"/>
      <c r="H230" s="328">
        <f>VLOOKUP(B229,Tabela1[[#All],[ITENS PARA ORÇAMENTO]:[MEDIANA]],11,FALSE)</f>
        <v>706.94</v>
      </c>
    </row>
    <row r="231" spans="2:8">
      <c r="B231" s="318" t="s">
        <v>605</v>
      </c>
      <c r="E231" s="353" t="s">
        <v>615</v>
      </c>
      <c r="H231" s="331">
        <f>G46/12</f>
        <v>3</v>
      </c>
    </row>
    <row r="232" spans="2:8">
      <c r="B232" s="318" t="s">
        <v>606</v>
      </c>
      <c r="E232" s="353" t="s">
        <v>615</v>
      </c>
      <c r="H232" s="331">
        <v>0</v>
      </c>
    </row>
    <row r="233" spans="2:8">
      <c r="B233" s="348" t="s">
        <v>607</v>
      </c>
      <c r="C233" s="312"/>
      <c r="D233" s="312"/>
      <c r="E233" s="358" t="s">
        <v>616</v>
      </c>
      <c r="F233" s="312"/>
      <c r="G233" s="312"/>
      <c r="H233" s="359">
        <f>TRUNC((H230-H235)/H231/12,2)</f>
        <v>13.74</v>
      </c>
    </row>
    <row r="234" spans="2:8">
      <c r="B234" s="318" t="s">
        <v>608</v>
      </c>
      <c r="E234" s="353" t="s">
        <v>480</v>
      </c>
      <c r="H234" s="360">
        <v>0.3</v>
      </c>
    </row>
    <row r="235" spans="2:8">
      <c r="B235" s="318" t="s">
        <v>609</v>
      </c>
      <c r="E235" s="353" t="s">
        <v>477</v>
      </c>
      <c r="H235" s="331">
        <f>H234*H230</f>
        <v>212.08200000000002</v>
      </c>
    </row>
    <row r="236" spans="2:8">
      <c r="B236" s="348" t="s">
        <v>610</v>
      </c>
      <c r="C236" s="312"/>
      <c r="D236" s="312"/>
      <c r="E236" s="358" t="s">
        <v>616</v>
      </c>
      <c r="F236" s="312"/>
      <c r="G236" s="312"/>
      <c r="H236" s="359">
        <f>TRUNC(((1+H237)^(1/12)-1)*H238,2)</f>
        <v>0.89</v>
      </c>
    </row>
    <row r="237" spans="2:8">
      <c r="B237" s="318" t="s">
        <v>612</v>
      </c>
      <c r="E237" s="353" t="s">
        <v>480</v>
      </c>
      <c r="H237" s="328">
        <f>VLOOKUP(B237,Tabela1[[#All],[ITENS PARA ORÇAMENTO]:[MEDIANA]],11,FALSE)</f>
        <v>0.02</v>
      </c>
    </row>
    <row r="238" spans="2:8">
      <c r="B238" s="318" t="s">
        <v>611</v>
      </c>
      <c r="E238" s="353" t="s">
        <v>477</v>
      </c>
      <c r="H238" s="361">
        <f>H235+((((H231-H232)+1)*(H230-H235))/(2*(H231-H232)))</f>
        <v>541.98733333333337</v>
      </c>
    </row>
    <row r="239" spans="2:8">
      <c r="B239" s="348" t="s">
        <v>613</v>
      </c>
      <c r="C239" s="312"/>
      <c r="D239" s="312"/>
      <c r="E239" s="358" t="s">
        <v>616</v>
      </c>
      <c r="F239" s="362" t="s">
        <v>874</v>
      </c>
      <c r="G239" s="363">
        <v>0.5</v>
      </c>
      <c r="H239" s="359">
        <f>TRUNC(H230*G239/(H231*12),2)</f>
        <v>9.81</v>
      </c>
    </row>
    <row r="240" spans="2:8">
      <c r="B240" s="348" t="s">
        <v>384</v>
      </c>
      <c r="C240" s="312"/>
      <c r="E240" s="358"/>
      <c r="F240" s="312"/>
      <c r="G240" s="312"/>
      <c r="H240" s="359">
        <f>H46</f>
        <v>1</v>
      </c>
    </row>
    <row r="241" spans="2:8">
      <c r="B241" s="348" t="s">
        <v>244</v>
      </c>
      <c r="C241" s="312"/>
      <c r="D241" s="312"/>
      <c r="E241" s="358" t="s">
        <v>616</v>
      </c>
      <c r="F241" s="312"/>
      <c r="G241" s="312"/>
      <c r="H241" s="359">
        <f>TRUNC(H240*H229,2)</f>
        <v>24.44</v>
      </c>
    </row>
    <row r="242" spans="2:8" ht="15.75" thickBot="1"/>
    <row r="243" spans="2:8" ht="15.75" thickBot="1">
      <c r="B243" s="348" t="s">
        <v>636</v>
      </c>
      <c r="C243" s="312"/>
      <c r="D243" s="312"/>
      <c r="E243" s="312"/>
      <c r="F243" s="312"/>
      <c r="G243" s="312"/>
      <c r="H243" s="349">
        <f>H241+H225</f>
        <v>2037.39</v>
      </c>
    </row>
    <row r="245" spans="2:8">
      <c r="B245" s="309" t="s">
        <v>971</v>
      </c>
    </row>
    <row r="246" spans="2:8">
      <c r="B246" s="311" t="s">
        <v>563</v>
      </c>
      <c r="C246" s="312"/>
      <c r="D246" s="312"/>
      <c r="E246" s="312" t="s">
        <v>490</v>
      </c>
      <c r="F246" s="312" t="s">
        <v>561</v>
      </c>
      <c r="G246" s="312" t="s">
        <v>599</v>
      </c>
      <c r="H246" s="324" t="s">
        <v>600</v>
      </c>
    </row>
    <row r="247" spans="2:8">
      <c r="B247" s="315" t="str">
        <f t="shared" ref="B247:B256" si="5">B51</f>
        <v>Jaqueta com reflexivo</v>
      </c>
      <c r="C247" s="316"/>
      <c r="D247" s="316"/>
      <c r="E247" s="316"/>
      <c r="F247" s="466">
        <f t="shared" ref="F247:F256" si="6">H51</f>
        <v>0.5</v>
      </c>
      <c r="G247" s="327">
        <f>VLOOKUP(B247,Tabela1[[#All],[ITENS PARA ORÇAMENTO]:[MEDIANA]],11,FALSE)</f>
        <v>132.91</v>
      </c>
      <c r="H247" s="351">
        <f>TRUNC(G247*F247,2)</f>
        <v>66.45</v>
      </c>
    </row>
    <row r="248" spans="2:8">
      <c r="B248" s="318" t="str">
        <f t="shared" si="5"/>
        <v>Calça de Brim</v>
      </c>
      <c r="F248" s="467">
        <f t="shared" si="6"/>
        <v>1.5</v>
      </c>
      <c r="G248" s="467">
        <f>VLOOKUP(B248,Tabela1[[#All],[ITENS PARA ORÇAMENTO]:[MEDIANA]],11,FALSE)</f>
        <v>43.86</v>
      </c>
      <c r="H248" s="464">
        <f t="shared" ref="H248:H256" si="7">TRUNC(G248*F248,2)</f>
        <v>65.790000000000006</v>
      </c>
    </row>
    <row r="249" spans="2:8">
      <c r="B249" s="318" t="str">
        <f t="shared" si="5"/>
        <v>Camiseta manga longa com faixa reflexiva</v>
      </c>
      <c r="F249" s="467">
        <f t="shared" si="6"/>
        <v>1.5</v>
      </c>
      <c r="G249" s="467">
        <f>VLOOKUP(B249,Tabela1[[#All],[ITENS PARA ORÇAMENTO]:[MEDIANA]],11,FALSE)</f>
        <v>43.02</v>
      </c>
      <c r="H249" s="464">
        <f t="shared" si="7"/>
        <v>64.53</v>
      </c>
    </row>
    <row r="250" spans="2:8">
      <c r="B250" s="318" t="str">
        <f t="shared" si="5"/>
        <v>Boné de Brim</v>
      </c>
      <c r="F250" s="467">
        <f t="shared" si="6"/>
        <v>1</v>
      </c>
      <c r="G250" s="467">
        <f>VLOOKUP(B250,Tabela1[[#All],[ITENS PARA ORÇAMENTO]:[MEDIANA]],11,FALSE)</f>
        <v>17.59</v>
      </c>
      <c r="H250" s="464">
        <f t="shared" si="7"/>
        <v>17.59</v>
      </c>
    </row>
    <row r="251" spans="2:8">
      <c r="B251" s="318" t="str">
        <f t="shared" si="5"/>
        <v>Botina De Segurança C/ Ponta E Biqueira Com Sola Antiderrapante</v>
      </c>
      <c r="F251" s="467">
        <f t="shared" si="6"/>
        <v>1.5</v>
      </c>
      <c r="G251" s="467">
        <f>VLOOKUP(B251,Tabela1[[#All],[ITENS PARA ORÇAMENTO]:[MEDIANA]],11,FALSE)</f>
        <v>57.7</v>
      </c>
      <c r="H251" s="464">
        <f t="shared" si="7"/>
        <v>86.55</v>
      </c>
    </row>
    <row r="252" spans="2:8">
      <c r="B252" s="318" t="str">
        <f t="shared" si="5"/>
        <v>Capa de chuva amarela com reflexivo</v>
      </c>
      <c r="F252" s="467">
        <f t="shared" si="6"/>
        <v>1</v>
      </c>
      <c r="G252" s="467">
        <f>VLOOKUP(B252,Tabela1[[#All],[ITENS PARA ORÇAMENTO]:[MEDIANA]],11,FALSE)</f>
        <v>23</v>
      </c>
      <c r="H252" s="464">
        <f t="shared" si="7"/>
        <v>23</v>
      </c>
    </row>
    <row r="253" spans="2:8">
      <c r="B253" s="318" t="str">
        <f t="shared" si="5"/>
        <v>Colete reflexivo</v>
      </c>
      <c r="F253" s="467">
        <f t="shared" si="6"/>
        <v>1</v>
      </c>
      <c r="G253" s="467">
        <f>VLOOKUP(B253,Tabela1[[#All],[ITENS PARA ORÇAMENTO]:[MEDIANA]],11,FALSE)</f>
        <v>19.989999999999998</v>
      </c>
      <c r="H253" s="464">
        <f t="shared" si="7"/>
        <v>19.989999999999998</v>
      </c>
    </row>
    <row r="254" spans="2:8">
      <c r="B254" s="318" t="str">
        <f t="shared" si="5"/>
        <v>Luva Tricotada com revestimento Nitrílico</v>
      </c>
      <c r="F254" s="467">
        <f t="shared" si="6"/>
        <v>4</v>
      </c>
      <c r="G254" s="467">
        <f>VLOOKUP(B254,Tabela1[[#All],[ITENS PARA ORÇAMENTO]:[MEDIANA]],11,FALSE)</f>
        <v>9.99</v>
      </c>
      <c r="H254" s="464">
        <f t="shared" si="7"/>
        <v>39.96</v>
      </c>
    </row>
    <row r="255" spans="2:8">
      <c r="B255" s="318" t="str">
        <f t="shared" si="5"/>
        <v>Recipiente térmico para água (5L)</v>
      </c>
      <c r="F255" s="467">
        <f t="shared" si="6"/>
        <v>0.08</v>
      </c>
      <c r="G255" s="467">
        <f>VLOOKUP(B255,Tabela1[[#All],[ITENS PARA ORÇAMENTO]:[MEDIANA]],11,FALSE)</f>
        <v>29.86</v>
      </c>
      <c r="H255" s="464">
        <f t="shared" si="7"/>
        <v>2.38</v>
      </c>
    </row>
    <row r="256" spans="2:8">
      <c r="B256" s="320" t="str">
        <f t="shared" si="5"/>
        <v>Protetor solar FPS 30</v>
      </c>
      <c r="C256" s="321"/>
      <c r="D256" s="321"/>
      <c r="E256" s="321"/>
      <c r="F256" s="468">
        <f t="shared" si="6"/>
        <v>6</v>
      </c>
      <c r="G256" s="468">
        <f>VLOOKUP(B256,Tabela1[[#All],[ITENS PARA ORÇAMENTO]:[MEDIANA]],11,FALSE)</f>
        <v>9.65</v>
      </c>
      <c r="H256" s="368">
        <f t="shared" si="7"/>
        <v>57.9</v>
      </c>
    </row>
    <row r="257" spans="2:8" ht="15.75" thickBot="1">
      <c r="B257" s="337" t="s">
        <v>595</v>
      </c>
      <c r="F257" s="310"/>
      <c r="G257" s="310"/>
      <c r="H257" s="310"/>
    </row>
    <row r="258" spans="2:8" ht="15.75" thickBot="1">
      <c r="B258" s="348" t="s">
        <v>614</v>
      </c>
      <c r="C258" s="312"/>
      <c r="D258" s="312"/>
      <c r="E258" s="312"/>
      <c r="F258" s="312"/>
      <c r="G258" s="312"/>
      <c r="H258" s="349">
        <f>SUM(H247:H256)</f>
        <v>444.14</v>
      </c>
    </row>
    <row r="260" spans="2:8">
      <c r="B260" s="309" t="s">
        <v>972</v>
      </c>
    </row>
    <row r="261" spans="2:8" ht="15.75" thickBot="1">
      <c r="B261" s="309" t="s">
        <v>973</v>
      </c>
    </row>
    <row r="262" spans="2:8" ht="21" customHeight="1">
      <c r="B262" s="1499" t="s">
        <v>667</v>
      </c>
      <c r="C262" s="1500"/>
      <c r="D262" s="1500"/>
      <c r="E262" s="1500"/>
      <c r="F262" s="433">
        <f>VLOOKUP(B262,Tabela13[[#All],[Descrição]:[FONTE]],2,FALSE)</f>
        <v>0</v>
      </c>
      <c r="G262" s="434" t="s">
        <v>814</v>
      </c>
      <c r="H262" s="435">
        <f>TRUNC(H270+H281+H285+H289+H296+H301+H313,2)</f>
        <v>14548.01</v>
      </c>
    </row>
    <row r="263" spans="2:8">
      <c r="B263" s="1493" t="s">
        <v>799</v>
      </c>
      <c r="C263" s="1494"/>
      <c r="D263" s="1494"/>
      <c r="E263" s="1495"/>
      <c r="F263" s="97" t="s">
        <v>477</v>
      </c>
      <c r="G263" s="353"/>
      <c r="H263" s="100">
        <f>VLOOKUP(B262,Tabela13[[#All],[Descrição]:[FONTE]],3,FALSE)</f>
        <v>226487</v>
      </c>
    </row>
    <row r="264" spans="2:8">
      <c r="B264" s="1493" t="s">
        <v>800</v>
      </c>
      <c r="C264" s="1494"/>
      <c r="D264" s="1494"/>
      <c r="E264" s="1495"/>
      <c r="F264" s="97" t="s">
        <v>615</v>
      </c>
      <c r="G264" s="353"/>
      <c r="H264" s="100">
        <f>VLOOKUP(B262,Tabela13[[#All],[Descrição]:[FONTE]],4,FALSE)</f>
        <v>6</v>
      </c>
    </row>
    <row r="265" spans="2:8">
      <c r="B265" s="1493" t="s">
        <v>801</v>
      </c>
      <c r="C265" s="1494"/>
      <c r="D265" s="1494"/>
      <c r="E265" s="1495"/>
      <c r="F265" s="97" t="s">
        <v>615</v>
      </c>
      <c r="G265" s="353"/>
      <c r="H265" s="100">
        <f>VLOOKUP(B262,Tabela13[[#All],[Descrição]:[FONTE]],5,FALSE)</f>
        <v>0</v>
      </c>
    </row>
    <row r="266" spans="2:8">
      <c r="B266" s="1493" t="s">
        <v>802</v>
      </c>
      <c r="C266" s="1494"/>
      <c r="D266" s="1494"/>
      <c r="E266" s="1495"/>
      <c r="F266" s="97" t="s">
        <v>803</v>
      </c>
      <c r="G266" s="353"/>
      <c r="H266" s="100">
        <f>VLOOKUP(B262,Tabela13[[#All],[Descrição]:[FONTE]],8,FALSE)</f>
        <v>2000</v>
      </c>
    </row>
    <row r="267" spans="2:8">
      <c r="B267" s="1493" t="s">
        <v>804</v>
      </c>
      <c r="C267" s="1494"/>
      <c r="D267" s="1494"/>
      <c r="E267" s="1495"/>
      <c r="F267" s="97" t="s">
        <v>703</v>
      </c>
      <c r="G267" s="353"/>
      <c r="H267" s="100">
        <f>VLOOKUP(B262,Tabela13[[#All],[Descrição]:[FONTE]],9,FALSE)</f>
        <v>3000</v>
      </c>
    </row>
    <row r="268" spans="2:8">
      <c r="B268" s="1493" t="s">
        <v>805</v>
      </c>
      <c r="C268" s="1494"/>
      <c r="D268" s="1494"/>
      <c r="E268" s="1495"/>
      <c r="F268" s="97" t="s">
        <v>806</v>
      </c>
      <c r="G268" s="353"/>
      <c r="H268" s="100">
        <f>VLOOKUP(B262,Tabela13[[#All],[Descrição]:[FONTE]],11,FALSE)</f>
        <v>0.6</v>
      </c>
    </row>
    <row r="269" spans="2:8">
      <c r="B269" s="1493" t="s">
        <v>807</v>
      </c>
      <c r="C269" s="1494"/>
      <c r="D269" s="1494"/>
      <c r="E269" s="1495"/>
      <c r="F269" s="102" t="s">
        <v>808</v>
      </c>
      <c r="G269" s="355"/>
      <c r="H269" s="103">
        <f>VLOOKUP(B262,Tabela13[[#All],[Descrição]:[FONTE]],7,FALSE)</f>
        <v>190</v>
      </c>
    </row>
    <row r="270" spans="2:8" ht="15.75">
      <c r="B270" s="1496" t="s">
        <v>757</v>
      </c>
      <c r="C270" s="1497"/>
      <c r="D270" s="1497"/>
      <c r="E270" s="1498"/>
      <c r="F270" s="1488" t="s">
        <v>814</v>
      </c>
      <c r="G270" s="293"/>
      <c r="H270" s="436">
        <f>TRUNC(H278+H280,2)</f>
        <v>259.08999999999997</v>
      </c>
    </row>
    <row r="271" spans="2:8" ht="15" customHeight="1">
      <c r="B271" s="1490" t="s">
        <v>668</v>
      </c>
      <c r="C271" s="1491"/>
      <c r="D271" s="1491"/>
      <c r="E271" s="1492"/>
      <c r="F271" s="1489"/>
      <c r="G271" s="321"/>
      <c r="H271" s="469"/>
    </row>
    <row r="272" spans="2:8">
      <c r="B272" s="1493" t="s">
        <v>809</v>
      </c>
      <c r="C272" s="1494"/>
      <c r="D272" s="1494"/>
      <c r="E272" s="1495"/>
      <c r="F272" s="97" t="s">
        <v>477</v>
      </c>
      <c r="G272" s="353"/>
      <c r="H272" s="100">
        <f>VLOOKUP(B271,Tabela13[[#All],[Descrição]:[FONTE]],3,FALSE)</f>
        <v>24000</v>
      </c>
    </row>
    <row r="273" spans="2:8">
      <c r="B273" s="1493" t="s">
        <v>800</v>
      </c>
      <c r="C273" s="1494"/>
      <c r="D273" s="1494"/>
      <c r="E273" s="1495"/>
      <c r="F273" s="97" t="s">
        <v>615</v>
      </c>
      <c r="G273" s="353"/>
      <c r="H273" s="100">
        <f>VLOOKUP(B271,Tabela13[[#All],[Descrição]:[FONTE]],4,FALSE)</f>
        <v>6</v>
      </c>
    </row>
    <row r="274" spans="2:8">
      <c r="B274" s="1493" t="s">
        <v>801</v>
      </c>
      <c r="C274" s="1494"/>
      <c r="D274" s="1494"/>
      <c r="E274" s="1495"/>
      <c r="F274" s="97" t="s">
        <v>615</v>
      </c>
      <c r="G274" s="353"/>
      <c r="H274" s="100">
        <f>VLOOKUP(B271,Tabela13[[#All],[Descrição]:[FONTE]],5,FALSE)</f>
        <v>0</v>
      </c>
    </row>
    <row r="275" spans="2:8">
      <c r="B275" s="1493" t="s">
        <v>810</v>
      </c>
      <c r="C275" s="1494"/>
      <c r="D275" s="1494"/>
      <c r="E275" s="1495"/>
      <c r="F275" s="97" t="s">
        <v>480</v>
      </c>
      <c r="G275" s="353"/>
      <c r="H275" s="437">
        <f>VLOOKUP(B271,Tabela13[[#All],[Descrição]:[FONTE]],6,FALSE)</f>
        <v>0.3</v>
      </c>
    </row>
    <row r="276" spans="2:8">
      <c r="B276" s="1493" t="s">
        <v>811</v>
      </c>
      <c r="C276" s="1494"/>
      <c r="D276" s="1494"/>
      <c r="E276" s="1495"/>
      <c r="F276" s="97" t="s">
        <v>477</v>
      </c>
      <c r="G276" s="353"/>
      <c r="H276" s="100">
        <f>H275*H272</f>
        <v>7200</v>
      </c>
    </row>
    <row r="277" spans="2:8">
      <c r="B277" s="1493" t="s">
        <v>812</v>
      </c>
      <c r="C277" s="1494"/>
      <c r="D277" s="1494"/>
      <c r="E277" s="1495"/>
      <c r="F277" s="97" t="s">
        <v>477</v>
      </c>
      <c r="G277" s="353"/>
      <c r="H277" s="100">
        <f>(H272-H276)/H273</f>
        <v>2800</v>
      </c>
    </row>
    <row r="278" spans="2:8">
      <c r="B278" s="1493" t="s">
        <v>813</v>
      </c>
      <c r="C278" s="1494"/>
      <c r="D278" s="1494"/>
      <c r="E278" s="1495"/>
      <c r="F278" s="97" t="s">
        <v>814</v>
      </c>
      <c r="G278" s="353"/>
      <c r="H278" s="100">
        <f>H277/12</f>
        <v>233.33333333333334</v>
      </c>
    </row>
    <row r="279" spans="2:8">
      <c r="B279" s="1493" t="s">
        <v>815</v>
      </c>
      <c r="C279" s="1494"/>
      <c r="D279" s="1494"/>
      <c r="E279" s="1495"/>
      <c r="F279" s="97" t="s">
        <v>477</v>
      </c>
      <c r="G279" s="353"/>
      <c r="H279" s="100">
        <f>(((H272-H276)*(H273-H274))/(2*(H273-H274)))+H276</f>
        <v>15600</v>
      </c>
    </row>
    <row r="280" spans="2:8">
      <c r="B280" s="1493" t="s">
        <v>816</v>
      </c>
      <c r="C280" s="1494"/>
      <c r="D280" s="1494"/>
      <c r="E280" s="1495"/>
      <c r="F280" s="102" t="s">
        <v>814</v>
      </c>
      <c r="G280" s="355"/>
      <c r="H280" s="103">
        <f>H279*(((1+H286)^(1/12))-1)</f>
        <v>25.764668309955496</v>
      </c>
    </row>
    <row r="281" spans="2:8" ht="15" customHeight="1">
      <c r="B281" s="1501" t="s">
        <v>817</v>
      </c>
      <c r="C281" s="1502"/>
      <c r="D281" s="1502"/>
      <c r="E281" s="1502"/>
      <c r="F281" s="175" t="s">
        <v>814</v>
      </c>
      <c r="G281" s="438"/>
      <c r="H281" s="439">
        <f>TRUNC(H284,2)</f>
        <v>2201.9499999999998</v>
      </c>
    </row>
    <row r="282" spans="2:8">
      <c r="B282" s="1493" t="s">
        <v>810</v>
      </c>
      <c r="C282" s="1494"/>
      <c r="D282" s="1494"/>
      <c r="E282" s="1495"/>
      <c r="F282" s="112" t="s">
        <v>480</v>
      </c>
      <c r="G282" s="350"/>
      <c r="H282" s="440">
        <f>VLOOKUP(B262,Tabela13[[#All],[Descrição]:[FONTE]],6,FALSE)</f>
        <v>0.3</v>
      </c>
    </row>
    <row r="283" spans="2:8">
      <c r="B283" s="1493" t="s">
        <v>811</v>
      </c>
      <c r="C283" s="1494"/>
      <c r="D283" s="1494"/>
      <c r="E283" s="1495"/>
      <c r="F283" s="97" t="s">
        <v>477</v>
      </c>
      <c r="G283" s="353"/>
      <c r="H283" s="100">
        <f>H282*H263</f>
        <v>67946.099999999991</v>
      </c>
    </row>
    <row r="284" spans="2:8">
      <c r="B284" s="1493" t="s">
        <v>817</v>
      </c>
      <c r="C284" s="1494"/>
      <c r="D284" s="1494"/>
      <c r="E284" s="1495"/>
      <c r="F284" s="102" t="s">
        <v>616</v>
      </c>
      <c r="G284" s="355"/>
      <c r="H284" s="441">
        <f>((H263-H283)/((H264*12)))</f>
        <v>2201.9569444444446</v>
      </c>
    </row>
    <row r="285" spans="2:8" ht="15" customHeight="1">
      <c r="B285" s="1501" t="s">
        <v>839</v>
      </c>
      <c r="C285" s="1502"/>
      <c r="D285" s="1502"/>
      <c r="E285" s="1503"/>
      <c r="F285" s="156" t="s">
        <v>814</v>
      </c>
      <c r="G285" s="438"/>
      <c r="H285" s="439">
        <f>TRUNC(H288,2)</f>
        <v>264.95999999999998</v>
      </c>
    </row>
    <row r="286" spans="2:8">
      <c r="B286" s="1493" t="s">
        <v>778</v>
      </c>
      <c r="C286" s="1494"/>
      <c r="D286" s="1494"/>
      <c r="E286" s="1495"/>
      <c r="F286" s="112" t="s">
        <v>480</v>
      </c>
      <c r="G286" s="350"/>
      <c r="H286" s="353">
        <f>VLOOKUP(B286,Tabela1[[#All],[ITENS PARA ORÇAMENTO]:[MEDIANA]],11,FALSE)</f>
        <v>0.02</v>
      </c>
    </row>
    <row r="287" spans="2:8">
      <c r="B287" s="1493" t="s">
        <v>815</v>
      </c>
      <c r="C287" s="1494"/>
      <c r="D287" s="1494"/>
      <c r="E287" s="1495"/>
      <c r="F287" s="97" t="s">
        <v>477</v>
      </c>
      <c r="G287" s="99"/>
      <c r="H287" s="100">
        <f>((((H264-H265)+1)*(H263-H283))/(2*(H264-H265)))+H283</f>
        <v>160428.29166666669</v>
      </c>
    </row>
    <row r="288" spans="2:8">
      <c r="B288" s="1493" t="s">
        <v>818</v>
      </c>
      <c r="C288" s="1494"/>
      <c r="D288" s="1494"/>
      <c r="E288" s="1495"/>
      <c r="F288" s="102" t="s">
        <v>616</v>
      </c>
      <c r="G288" s="101"/>
      <c r="H288" s="103">
        <f>((1+H286)^(1/12)-1)*(H287)</f>
        <v>264.9603668156708</v>
      </c>
    </row>
    <row r="289" spans="2:8" ht="15" customHeight="1">
      <c r="B289" s="1501" t="s">
        <v>840</v>
      </c>
      <c r="C289" s="1502"/>
      <c r="D289" s="1502"/>
      <c r="E289" s="1503"/>
      <c r="F289" s="156" t="s">
        <v>814</v>
      </c>
      <c r="G289" s="442"/>
      <c r="H289" s="436">
        <f>TRUNC(H295,2)</f>
        <v>803.38</v>
      </c>
    </row>
    <row r="290" spans="2:8">
      <c r="B290" s="1493" t="s">
        <v>819</v>
      </c>
      <c r="C290" s="1494"/>
      <c r="D290" s="1494"/>
      <c r="E290" s="1495"/>
      <c r="F290" s="112" t="s">
        <v>814</v>
      </c>
      <c r="G290" s="443">
        <f>IFERROR((H279+H287),IFERROR(H287,H279))</f>
        <v>176028.29166666669</v>
      </c>
      <c r="H290" s="198">
        <f>(H291*G290)</f>
        <v>3520.565833333334</v>
      </c>
    </row>
    <row r="291" spans="2:8">
      <c r="B291" s="1493" t="s">
        <v>766</v>
      </c>
      <c r="C291" s="1494"/>
      <c r="D291" s="1494"/>
      <c r="E291" s="1495"/>
      <c r="F291" s="97" t="s">
        <v>480</v>
      </c>
      <c r="G291" s="444"/>
      <c r="H291" s="437">
        <f>VLOOKUP(B291,Tabela13[[#All],[Descrição]:[FONTE]],17,FALSE)</f>
        <v>0.02</v>
      </c>
    </row>
    <row r="292" spans="2:8">
      <c r="B292" s="1493" t="s">
        <v>820</v>
      </c>
      <c r="C292" s="1494"/>
      <c r="D292" s="1494"/>
      <c r="E292" s="1495"/>
      <c r="F292" s="97" t="s">
        <v>477</v>
      </c>
      <c r="G292" s="444"/>
      <c r="H292" s="100">
        <f>VLOOKUP(B262,Tabela13[[#All],[Descrição]:[FONTE]],14,FALSE)</f>
        <v>100</v>
      </c>
    </row>
    <row r="293" spans="2:8">
      <c r="B293" s="1493" t="s">
        <v>821</v>
      </c>
      <c r="C293" s="1494"/>
      <c r="D293" s="1494"/>
      <c r="E293" s="1495"/>
      <c r="F293" s="97" t="s">
        <v>477</v>
      </c>
      <c r="G293" s="444"/>
      <c r="H293" s="100">
        <f>VLOOKUP(B262,Tabela13[[#All],[Descrição]:[FONTE]],15,FALSE)</f>
        <v>20</v>
      </c>
    </row>
    <row r="294" spans="2:8">
      <c r="B294" s="1493" t="s">
        <v>822</v>
      </c>
      <c r="C294" s="1494"/>
      <c r="D294" s="1494"/>
      <c r="E294" s="1495"/>
      <c r="F294" s="97" t="s">
        <v>477</v>
      </c>
      <c r="G294" s="445"/>
      <c r="H294" s="100">
        <f>VLOOKUP(B262,Tabela13[[#All],[Descrição]:[FONTE]],16,FALSE)</f>
        <v>6000</v>
      </c>
    </row>
    <row r="295" spans="2:8">
      <c r="B295" s="1493" t="s">
        <v>823</v>
      </c>
      <c r="C295" s="1494"/>
      <c r="D295" s="1494"/>
      <c r="E295" s="1495"/>
      <c r="F295" s="102" t="s">
        <v>616</v>
      </c>
      <c r="G295" s="446"/>
      <c r="H295" s="103">
        <f>(H290+H292+H293+H294)/12</f>
        <v>803.38048611111117</v>
      </c>
    </row>
    <row r="296" spans="2:8" ht="15" customHeight="1">
      <c r="B296" s="1501" t="s">
        <v>841</v>
      </c>
      <c r="C296" s="1502"/>
      <c r="D296" s="1502"/>
      <c r="E296" s="1503"/>
      <c r="F296" s="156" t="s">
        <v>814</v>
      </c>
      <c r="G296" s="175"/>
      <c r="H296" s="439">
        <f>TRUNC(H299+H300,2)</f>
        <v>7595.28</v>
      </c>
    </row>
    <row r="297" spans="2:8">
      <c r="B297" s="1504" t="s">
        <v>772</v>
      </c>
      <c r="C297" s="1505"/>
      <c r="D297" s="1505"/>
      <c r="E297" s="1506"/>
      <c r="F297" s="112" t="s">
        <v>477</v>
      </c>
      <c r="G297" s="125"/>
      <c r="H297" s="198">
        <f>VLOOKUP(B297,Tabela13[[#All],[Descrição]:[FONTE]],17,FALSE)</f>
        <v>3.8359999999999999</v>
      </c>
    </row>
    <row r="298" spans="2:8">
      <c r="B298" s="1493" t="s">
        <v>824</v>
      </c>
      <c r="C298" s="1494"/>
      <c r="D298" s="1494"/>
      <c r="E298" s="1495"/>
      <c r="F298" s="97" t="s">
        <v>825</v>
      </c>
      <c r="G298" s="447">
        <f>H268</f>
        <v>0.6</v>
      </c>
      <c r="H298" s="100">
        <f>G298*H297</f>
        <v>2.3015999999999996</v>
      </c>
    </row>
    <row r="299" spans="2:8">
      <c r="B299" s="1493" t="s">
        <v>826</v>
      </c>
      <c r="C299" s="1494"/>
      <c r="D299" s="1494"/>
      <c r="E299" s="1495"/>
      <c r="F299" s="97" t="s">
        <v>814</v>
      </c>
      <c r="G299" s="447">
        <f>H267</f>
        <v>3000</v>
      </c>
      <c r="H299" s="100">
        <f>H298*G299</f>
        <v>6904.7999999999993</v>
      </c>
    </row>
    <row r="300" spans="2:8">
      <c r="B300" s="1493" t="s">
        <v>827</v>
      </c>
      <c r="C300" s="1494"/>
      <c r="D300" s="1494"/>
      <c r="E300" s="1495"/>
      <c r="F300" s="102" t="s">
        <v>814</v>
      </c>
      <c r="G300" s="470">
        <v>0.1</v>
      </c>
      <c r="H300" s="103">
        <f>H299*G300</f>
        <v>690.48</v>
      </c>
    </row>
    <row r="301" spans="2:8" ht="15" customHeight="1">
      <c r="B301" s="1501" t="s">
        <v>842</v>
      </c>
      <c r="C301" s="1502"/>
      <c r="D301" s="1502"/>
      <c r="E301" s="1503"/>
      <c r="F301" s="156" t="s">
        <v>814</v>
      </c>
      <c r="G301" s="471"/>
      <c r="H301" s="439">
        <f>TRUNC(H311*H312,2)</f>
        <v>592.27</v>
      </c>
    </row>
    <row r="302" spans="2:8">
      <c r="B302" s="1493" t="s">
        <v>779</v>
      </c>
      <c r="C302" s="1494"/>
      <c r="D302" s="1494"/>
      <c r="E302" s="1495"/>
      <c r="F302" s="112" t="s">
        <v>477</v>
      </c>
      <c r="G302" s="350"/>
      <c r="H302" s="198">
        <f>VLOOKUP(B302,Tabela13[[#All],[Descrição]:[FONTE]],17,FALSE)</f>
        <v>1557</v>
      </c>
    </row>
    <row r="303" spans="2:8">
      <c r="B303" s="1493" t="s">
        <v>783</v>
      </c>
      <c r="C303" s="1494"/>
      <c r="D303" s="1494"/>
      <c r="E303" s="1495"/>
      <c r="F303" s="97" t="s">
        <v>477</v>
      </c>
      <c r="G303" s="353"/>
      <c r="H303" s="100">
        <f>VLOOKUP(B303,Tabela13[[#All],[Descrição]:[FONTE]],17,FALSE)</f>
        <v>101.64</v>
      </c>
    </row>
    <row r="304" spans="2:8">
      <c r="B304" s="1493" t="s">
        <v>781</v>
      </c>
      <c r="C304" s="1494"/>
      <c r="D304" s="1494"/>
      <c r="E304" s="1495"/>
      <c r="F304" s="97" t="s">
        <v>477</v>
      </c>
      <c r="G304" s="353"/>
      <c r="H304" s="100">
        <f>VLOOKUP(B304,Tabela13[[#All],[Descrição]:[FONTE]],17,FALSE)</f>
        <v>101.64</v>
      </c>
    </row>
    <row r="305" spans="2:8">
      <c r="B305" s="1493" t="s">
        <v>828</v>
      </c>
      <c r="C305" s="1494"/>
      <c r="D305" s="1494"/>
      <c r="E305" s="1495"/>
      <c r="F305" s="97" t="s">
        <v>829</v>
      </c>
      <c r="G305" s="353"/>
      <c r="H305" s="199">
        <f>VLOOKUP(B262,Tabela13[[#All],[Descrição]:[FONTE]],13,FALSE)</f>
        <v>6</v>
      </c>
    </row>
    <row r="306" spans="2:8">
      <c r="B306" s="1493" t="s">
        <v>830</v>
      </c>
      <c r="C306" s="1494"/>
      <c r="D306" s="1494"/>
      <c r="E306" s="1495"/>
      <c r="F306" s="97" t="s">
        <v>829</v>
      </c>
      <c r="G306" s="353"/>
      <c r="H306" s="200">
        <f>VLOOKUP(B271,Tabela13[[#All],[Descrição]:[FONTE]],13,FALSE)</f>
        <v>0</v>
      </c>
    </row>
    <row r="307" spans="2:8">
      <c r="B307" s="1493" t="s">
        <v>782</v>
      </c>
      <c r="C307" s="1494"/>
      <c r="D307" s="1494"/>
      <c r="E307" s="1495"/>
      <c r="F307" s="97" t="s">
        <v>477</v>
      </c>
      <c r="G307" s="353"/>
      <c r="H307" s="100">
        <f>VLOOKUP(B307,Tabela13[[#All],[Descrição]:[FONTE]],17,FALSE)</f>
        <v>520</v>
      </c>
    </row>
    <row r="308" spans="2:8">
      <c r="B308" s="1493" t="s">
        <v>831</v>
      </c>
      <c r="C308" s="1494"/>
      <c r="D308" s="1494"/>
      <c r="E308" s="1495"/>
      <c r="F308" s="97" t="s">
        <v>832</v>
      </c>
      <c r="G308" s="353"/>
      <c r="H308" s="100">
        <f>VLOOKUP(B302,Tabela13[[#All],[Descrição]:[FONTE]],4,FALSE)</f>
        <v>30000</v>
      </c>
    </row>
    <row r="309" spans="2:8">
      <c r="B309" s="1493" t="s">
        <v>833</v>
      </c>
      <c r="C309" s="1494"/>
      <c r="D309" s="1494"/>
      <c r="E309" s="1495"/>
      <c r="F309" s="97" t="s">
        <v>832</v>
      </c>
      <c r="G309" s="353"/>
      <c r="H309" s="100">
        <f>VLOOKUP(B307,Tabela13[[#All],[Descrição]:[FONTE]],4,FALSE)</f>
        <v>50000</v>
      </c>
    </row>
    <row r="310" spans="2:8">
      <c r="B310" s="1493" t="s">
        <v>834</v>
      </c>
      <c r="C310" s="1494"/>
      <c r="D310" s="1494"/>
      <c r="E310" s="1495"/>
      <c r="F310" s="97" t="s">
        <v>480</v>
      </c>
      <c r="G310" s="353"/>
      <c r="H310" s="437">
        <v>0.2</v>
      </c>
    </row>
    <row r="311" spans="2:8">
      <c r="B311" s="1493" t="s">
        <v>835</v>
      </c>
      <c r="C311" s="1494"/>
      <c r="D311" s="1494"/>
      <c r="E311" s="1495"/>
      <c r="F311" s="97" t="s">
        <v>825</v>
      </c>
      <c r="G311" s="353"/>
      <c r="H311" s="100">
        <f>(((1+H310)*(H302+H303+H304)*(H305+H306))+(H307*(H305+H306)))/(H308+H309)</f>
        <v>0.19742520000000002</v>
      </c>
    </row>
    <row r="312" spans="2:8">
      <c r="B312" s="1493" t="s">
        <v>836</v>
      </c>
      <c r="C312" s="1494"/>
      <c r="D312" s="1494"/>
      <c r="E312" s="1495"/>
      <c r="F312" s="102" t="s">
        <v>704</v>
      </c>
      <c r="G312" s="355"/>
      <c r="H312" s="448">
        <f>G299</f>
        <v>3000</v>
      </c>
    </row>
    <row r="313" spans="2:8" ht="15" customHeight="1">
      <c r="B313" s="1501" t="s">
        <v>843</v>
      </c>
      <c r="C313" s="1502"/>
      <c r="D313" s="1502"/>
      <c r="E313" s="1503"/>
      <c r="F313" s="449" t="s">
        <v>814</v>
      </c>
      <c r="G313" s="450"/>
      <c r="H313" s="439">
        <f>TRUNC(H315,2)</f>
        <v>2831.08</v>
      </c>
    </row>
    <row r="314" spans="2:8">
      <c r="B314" s="1493" t="s">
        <v>837</v>
      </c>
      <c r="C314" s="1494"/>
      <c r="D314" s="1494"/>
      <c r="E314" s="1495"/>
      <c r="F314" s="112"/>
      <c r="G314" s="350"/>
      <c r="H314" s="198">
        <f>VLOOKUP(B262,Tabela13[[#All],[Descrição]:[FONTE]],12,FALSE)</f>
        <v>0.9</v>
      </c>
    </row>
    <row r="315" spans="2:8">
      <c r="B315" s="1493" t="s">
        <v>838</v>
      </c>
      <c r="C315" s="1494"/>
      <c r="D315" s="1494"/>
      <c r="E315" s="1495"/>
      <c r="F315" s="97" t="s">
        <v>616</v>
      </c>
      <c r="G315" s="353"/>
      <c r="H315" s="100">
        <f>(H263*H314)/(H264*12)</f>
        <v>2831.0875000000001</v>
      </c>
    </row>
    <row r="316" spans="2:8">
      <c r="B316" s="1501" t="s">
        <v>845</v>
      </c>
      <c r="C316" s="1502"/>
      <c r="D316" s="1502"/>
      <c r="E316" s="1502"/>
      <c r="F316" s="450"/>
      <c r="G316" s="450"/>
      <c r="H316" s="451">
        <f>H65</f>
        <v>1</v>
      </c>
    </row>
    <row r="317" spans="2:8" ht="15.75" thickBot="1">
      <c r="B317" s="1507" t="s">
        <v>844</v>
      </c>
      <c r="C317" s="1508"/>
      <c r="D317" s="1508"/>
      <c r="E317" s="1508"/>
      <c r="F317" s="452"/>
      <c r="G317" s="452"/>
      <c r="H317" s="453">
        <f>H316*H262</f>
        <v>14548.01</v>
      </c>
    </row>
    <row r="318" spans="2:8" ht="15.75" thickBot="1">
      <c r="B318" s="337" t="s">
        <v>595</v>
      </c>
    </row>
    <row r="319" spans="2:8" ht="15.75" thickBot="1">
      <c r="B319" s="348" t="s">
        <v>731</v>
      </c>
      <c r="C319" s="312"/>
      <c r="D319" s="312"/>
      <c r="E319" s="312"/>
      <c r="F319" s="312"/>
      <c r="G319" s="312"/>
      <c r="H319" s="349">
        <f>H317</f>
        <v>14548.01</v>
      </c>
    </row>
    <row r="321" spans="2:8">
      <c r="B321" s="309" t="s">
        <v>974</v>
      </c>
    </row>
    <row r="322" spans="2:8">
      <c r="B322" s="315" t="str">
        <f>B190</f>
        <v>Custo mensal com mão-de-obra (R$/mês)</v>
      </c>
      <c r="C322" s="316"/>
      <c r="D322" s="316"/>
      <c r="E322" s="316"/>
      <c r="F322" s="316"/>
      <c r="G322" s="316"/>
      <c r="H322" s="351">
        <f>H190</f>
        <v>18920.25</v>
      </c>
    </row>
    <row r="323" spans="2:8">
      <c r="B323" s="318" t="str">
        <f>B208</f>
        <v>Custo mensal com ferramentas (R$/mês)</v>
      </c>
      <c r="H323" s="464" t="e">
        <f>H208</f>
        <v>#N/A</v>
      </c>
    </row>
    <row r="324" spans="2:8">
      <c r="B324" s="318" t="str">
        <f>B243</f>
        <v>Custo mensal com equipamentos (R$/mês)</v>
      </c>
      <c r="H324" s="464">
        <f>H243</f>
        <v>2037.39</v>
      </c>
    </row>
    <row r="325" spans="2:8">
      <c r="B325" s="318" t="str">
        <f>B258</f>
        <v>Custo mensal com EPI's (R$/mês)</v>
      </c>
      <c r="H325" s="464">
        <f>H258</f>
        <v>444.14</v>
      </c>
    </row>
    <row r="326" spans="2:8" ht="15.75" thickBot="1">
      <c r="B326" s="320" t="str">
        <f>B319</f>
        <v>Custo mensal com veículos (R$/mês)</v>
      </c>
      <c r="C326" s="321"/>
      <c r="D326" s="321"/>
      <c r="E326" s="321"/>
      <c r="F326" s="321"/>
      <c r="G326" s="321"/>
      <c r="H326" s="472">
        <f>H319</f>
        <v>14548.01</v>
      </c>
    </row>
    <row r="327" spans="2:8" ht="15.75" thickBot="1">
      <c r="B327" s="364" t="s">
        <v>873</v>
      </c>
      <c r="C327" s="321"/>
      <c r="D327" s="321"/>
      <c r="E327" s="321"/>
      <c r="F327" s="321"/>
      <c r="G327" s="321"/>
      <c r="H327" s="349" t="e">
        <f>SUM(H322:H326)</f>
        <v>#N/A</v>
      </c>
    </row>
    <row r="329" spans="2:8">
      <c r="B329" s="309" t="s">
        <v>975</v>
      </c>
    </row>
    <row r="330" spans="2:8">
      <c r="B330" s="315" t="s">
        <v>924</v>
      </c>
      <c r="C330" s="316"/>
      <c r="D330" s="316"/>
      <c r="E330" s="316"/>
      <c r="F330" s="365" t="e">
        <f>H327</f>
        <v>#N/A</v>
      </c>
    </row>
    <row r="331" spans="2:8">
      <c r="B331" s="320" t="s">
        <v>926</v>
      </c>
      <c r="C331" s="321"/>
      <c r="D331" s="321"/>
      <c r="F331" s="366">
        <f>ANEXO_IIId_BDI!$D$16</f>
        <v>0.32340000000000002</v>
      </c>
    </row>
    <row r="332" spans="2:8">
      <c r="B332" s="364" t="s">
        <v>925</v>
      </c>
      <c r="C332" s="321"/>
      <c r="D332" s="321"/>
      <c r="E332" s="312"/>
      <c r="F332" s="367" t="e">
        <f>TRUNC(F330*(1+F331),2)</f>
        <v>#N/A</v>
      </c>
    </row>
    <row r="334" spans="2:8">
      <c r="B334" s="309" t="s">
        <v>976</v>
      </c>
    </row>
    <row r="335" spans="2:8">
      <c r="B335" s="315" t="s">
        <v>925</v>
      </c>
      <c r="C335" s="316"/>
      <c r="D335" s="316"/>
      <c r="E335" s="316"/>
      <c r="F335" s="365" t="e">
        <f>F332</f>
        <v>#N/A</v>
      </c>
      <c r="G335" s="313"/>
    </row>
    <row r="336" spans="2:8">
      <c r="B336" s="320" t="s">
        <v>1024</v>
      </c>
      <c r="C336" s="321"/>
      <c r="D336" s="321"/>
      <c r="E336" s="321"/>
      <c r="F336" s="368">
        <f>F7/12</f>
        <v>218.33333333333334</v>
      </c>
      <c r="G336" s="313"/>
    </row>
    <row r="337" spans="2:7">
      <c r="B337" s="364" t="s">
        <v>936</v>
      </c>
      <c r="C337" s="321"/>
      <c r="D337" s="321"/>
      <c r="E337" s="312"/>
      <c r="F337" s="367" t="e">
        <f>TRUNC(F335/F336,2)</f>
        <v>#N/A</v>
      </c>
      <c r="G337" s="313"/>
    </row>
  </sheetData>
  <mergeCells count="57">
    <mergeCell ref="B317:E317"/>
    <mergeCell ref="B308:E308"/>
    <mergeCell ref="B309:E309"/>
    <mergeCell ref="B310:E310"/>
    <mergeCell ref="B311:E311"/>
    <mergeCell ref="B312:E312"/>
    <mergeCell ref="B286:E286"/>
    <mergeCell ref="B313:E313"/>
    <mergeCell ref="B314:E314"/>
    <mergeCell ref="B315:E315"/>
    <mergeCell ref="B316:E316"/>
    <mergeCell ref="B303:E303"/>
    <mergeCell ref="B304:E304"/>
    <mergeCell ref="B305:E305"/>
    <mergeCell ref="B306:E306"/>
    <mergeCell ref="B307:E307"/>
    <mergeCell ref="B298:E298"/>
    <mergeCell ref="B301:E301"/>
    <mergeCell ref="B299:E299"/>
    <mergeCell ref="B300:E300"/>
    <mergeCell ref="B302:E302"/>
    <mergeCell ref="B293:E293"/>
    <mergeCell ref="B281:E281"/>
    <mergeCell ref="B282:E282"/>
    <mergeCell ref="B283:E283"/>
    <mergeCell ref="B284:E284"/>
    <mergeCell ref="B285:E285"/>
    <mergeCell ref="B295:E295"/>
    <mergeCell ref="B296:E296"/>
    <mergeCell ref="B297:E297"/>
    <mergeCell ref="B287:E287"/>
    <mergeCell ref="B288:E288"/>
    <mergeCell ref="B290:E290"/>
    <mergeCell ref="B291:E291"/>
    <mergeCell ref="B292:E292"/>
    <mergeCell ref="B289:E289"/>
    <mergeCell ref="B294:E294"/>
    <mergeCell ref="B262:E262"/>
    <mergeCell ref="B280:E280"/>
    <mergeCell ref="B273:E273"/>
    <mergeCell ref="B274:E274"/>
    <mergeCell ref="B275:E275"/>
    <mergeCell ref="B276:E276"/>
    <mergeCell ref="B277:E277"/>
    <mergeCell ref="B278:E278"/>
    <mergeCell ref="B279:E279"/>
    <mergeCell ref="B265:E265"/>
    <mergeCell ref="B268:E268"/>
    <mergeCell ref="B267:E267"/>
    <mergeCell ref="B266:E266"/>
    <mergeCell ref="B264:E264"/>
    <mergeCell ref="B263:E263"/>
    <mergeCell ref="F270:F271"/>
    <mergeCell ref="B271:E271"/>
    <mergeCell ref="B272:E272"/>
    <mergeCell ref="B270:E270"/>
    <mergeCell ref="B269:E269"/>
  </mergeCells>
  <pageMargins left="0.511811024" right="0.511811024" top="0.78740157499999996" bottom="0.78740157499999996" header="0.31496062000000002" footer="0.31496062000000002"/>
  <pageSetup paperSize="9" fitToHeight="0" orientation="portrait" r:id="rId1"/>
  <headerFooter>
    <oddHeader>&amp;CProduto 3.4 – Estudos e Projetos para a solução definida – Versão Parcial</oddHead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B1:H315"/>
  <sheetViews>
    <sheetView showGridLines="0" view="pageBreakPreview" topLeftCell="A205" zoomScale="60" zoomScaleNormal="100" workbookViewId="0">
      <selection activeCell="J320" sqref="J320"/>
    </sheetView>
  </sheetViews>
  <sheetFormatPr defaultColWidth="9.140625" defaultRowHeight="15"/>
  <cols>
    <col min="1" max="4" width="9.140625" style="307"/>
    <col min="5" max="5" width="16" style="307" customWidth="1"/>
    <col min="6" max="6" width="13.28515625" style="307" customWidth="1"/>
    <col min="7" max="7" width="11.42578125" style="307" customWidth="1"/>
    <col min="8" max="8" width="11.7109375" style="307" bestFit="1" customWidth="1"/>
    <col min="9" max="15" width="9.140625" style="307"/>
    <col min="16" max="17" width="10.5703125" style="307" bestFit="1" customWidth="1"/>
    <col min="18" max="16384" width="9.140625" style="307"/>
  </cols>
  <sheetData>
    <row r="1" spans="2:8" ht="18.75">
      <c r="B1" s="306" t="s">
        <v>977</v>
      </c>
    </row>
    <row r="3" spans="2:8">
      <c r="B3" s="309" t="s">
        <v>978</v>
      </c>
      <c r="G3" s="308" t="s">
        <v>891</v>
      </c>
      <c r="H3" s="307">
        <v>25.33</v>
      </c>
    </row>
    <row r="5" spans="2:8">
      <c r="B5" s="307" t="s">
        <v>670</v>
      </c>
      <c r="F5" s="307">
        <v>2256.3029999999999</v>
      </c>
      <c r="G5" s="307" t="s">
        <v>671</v>
      </c>
    </row>
    <row r="6" spans="2:8">
      <c r="B6" s="307" t="s">
        <v>673</v>
      </c>
      <c r="F6" s="478">
        <f>F5/12</f>
        <v>188.02525</v>
      </c>
      <c r="G6" s="307" t="s">
        <v>674</v>
      </c>
    </row>
    <row r="8" spans="2:8">
      <c r="B8" s="58" t="s">
        <v>573</v>
      </c>
      <c r="F8" s="58">
        <v>14.85</v>
      </c>
      <c r="G8" s="58" t="s">
        <v>672</v>
      </c>
    </row>
    <row r="9" spans="2:8" ht="15.75" thickBot="1"/>
    <row r="10" spans="2:8" ht="15.75" thickBot="1">
      <c r="B10" s="311" t="s">
        <v>675</v>
      </c>
      <c r="C10" s="312"/>
      <c r="D10" s="312"/>
      <c r="E10" s="312"/>
      <c r="F10" s="312"/>
      <c r="G10" s="323">
        <f>ROUNDUP(F6/(F8*H3),0)</f>
        <v>1</v>
      </c>
    </row>
    <row r="12" spans="2:8">
      <c r="B12" s="309" t="s">
        <v>980</v>
      </c>
    </row>
    <row r="14" spans="2:8">
      <c r="B14" s="58" t="s">
        <v>697</v>
      </c>
      <c r="F14" s="58">
        <f>1/20</f>
        <v>0.05</v>
      </c>
      <c r="G14" s="58" t="s">
        <v>548</v>
      </c>
    </row>
    <row r="15" spans="2:8">
      <c r="B15" s="58" t="s">
        <v>576</v>
      </c>
      <c r="F15" s="314">
        <v>0</v>
      </c>
      <c r="G15" s="58"/>
    </row>
    <row r="16" spans="2:8" ht="15.75" thickBot="1"/>
    <row r="17" spans="2:8">
      <c r="B17" s="315" t="s">
        <v>676</v>
      </c>
      <c r="C17" s="316"/>
      <c r="D17" s="317">
        <f>G10</f>
        <v>1</v>
      </c>
    </row>
    <row r="18" spans="2:8">
      <c r="B18" s="318" t="s">
        <v>575</v>
      </c>
      <c r="D18" s="319">
        <f>G10</f>
        <v>1</v>
      </c>
    </row>
    <row r="19" spans="2:8">
      <c r="B19" s="318" t="s">
        <v>553</v>
      </c>
      <c r="D19" s="319">
        <f>ROUNDUP(D18*F14,0)</f>
        <v>1</v>
      </c>
    </row>
    <row r="20" spans="2:8" ht="15.75" thickBot="1">
      <c r="B20" s="318" t="s">
        <v>705</v>
      </c>
      <c r="D20" s="319">
        <f>ROUNDUP(D17/14,0)</f>
        <v>1</v>
      </c>
    </row>
    <row r="21" spans="2:8" ht="15.75" thickBot="1">
      <c r="B21" s="320" t="s">
        <v>555</v>
      </c>
      <c r="C21" s="321"/>
      <c r="D21" s="335">
        <f>F15</f>
        <v>0</v>
      </c>
      <c r="G21" s="322" t="s">
        <v>594</v>
      </c>
      <c r="H21" s="323">
        <f>SUM(D17:D21)</f>
        <v>4</v>
      </c>
    </row>
    <row r="23" spans="2:8">
      <c r="B23" s="309" t="s">
        <v>981</v>
      </c>
    </row>
    <row r="25" spans="2:8" ht="15.75" thickBot="1">
      <c r="B25" s="309" t="s">
        <v>565</v>
      </c>
    </row>
    <row r="26" spans="2:8">
      <c r="B26" s="311" t="s">
        <v>563</v>
      </c>
      <c r="C26" s="312"/>
      <c r="D26" s="312"/>
      <c r="E26" s="311" t="s">
        <v>583</v>
      </c>
      <c r="F26" s="312"/>
      <c r="G26" s="312"/>
      <c r="H26" s="325" t="s">
        <v>584</v>
      </c>
    </row>
    <row r="27" spans="2:8" ht="15.75" thickBot="1">
      <c r="B27" s="311"/>
      <c r="C27" s="312"/>
      <c r="D27" s="312"/>
      <c r="E27" s="358"/>
      <c r="F27" s="312"/>
      <c r="G27" s="407"/>
      <c r="H27" s="408"/>
    </row>
    <row r="28" spans="2:8">
      <c r="B28" s="336" t="s">
        <v>595</v>
      </c>
    </row>
    <row r="30" spans="2:8" ht="15.75" thickBot="1">
      <c r="B30" s="309" t="s">
        <v>547</v>
      </c>
    </row>
    <row r="31" spans="2:8">
      <c r="B31" s="311" t="s">
        <v>563</v>
      </c>
      <c r="C31" s="312"/>
      <c r="D31" s="312"/>
      <c r="E31" s="311" t="s">
        <v>583</v>
      </c>
      <c r="F31" s="312"/>
      <c r="G31" s="311" t="s">
        <v>564</v>
      </c>
      <c r="H31" s="325" t="s">
        <v>384</v>
      </c>
    </row>
    <row r="32" spans="2:8">
      <c r="B32" s="315" t="s">
        <v>681</v>
      </c>
      <c r="C32" s="316"/>
      <c r="D32" s="316"/>
      <c r="E32" s="327">
        <f>D17</f>
        <v>1</v>
      </c>
      <c r="F32" s="316" t="s">
        <v>678</v>
      </c>
      <c r="G32" s="479">
        <v>36</v>
      </c>
      <c r="H32" s="461">
        <f>TRUNC(E32*D17,2)</f>
        <v>1</v>
      </c>
    </row>
    <row r="33" spans="2:8">
      <c r="B33" s="320" t="s">
        <v>677</v>
      </c>
      <c r="C33" s="321"/>
      <c r="D33" s="321"/>
      <c r="E33" s="333">
        <f>D17</f>
        <v>1</v>
      </c>
      <c r="F33" s="321" t="s">
        <v>678</v>
      </c>
      <c r="G33" s="463">
        <v>36</v>
      </c>
      <c r="H33" s="480">
        <f>TRUNC(E33*D18,2)</f>
        <v>1</v>
      </c>
    </row>
    <row r="34" spans="2:8">
      <c r="B34" s="336" t="s">
        <v>595</v>
      </c>
    </row>
    <row r="36" spans="2:8" ht="15.75" thickBot="1">
      <c r="B36" s="309" t="s">
        <v>442</v>
      </c>
    </row>
    <row r="37" spans="2:8">
      <c r="B37" s="311" t="s">
        <v>563</v>
      </c>
      <c r="C37" s="312"/>
      <c r="D37" s="312"/>
      <c r="E37" s="311" t="s">
        <v>583</v>
      </c>
      <c r="F37" s="312"/>
      <c r="G37" s="312"/>
      <c r="H37" s="325" t="s">
        <v>584</v>
      </c>
    </row>
    <row r="38" spans="2:8">
      <c r="B38" s="315" t="s">
        <v>566</v>
      </c>
      <c r="E38" s="456">
        <v>1</v>
      </c>
      <c r="F38" s="340" t="s">
        <v>701</v>
      </c>
      <c r="H38" s="319">
        <f>TRUNC(E38*$H$21/12,2)</f>
        <v>0.33</v>
      </c>
    </row>
    <row r="39" spans="2:8">
      <c r="B39" s="318" t="s">
        <v>492</v>
      </c>
      <c r="E39" s="457">
        <v>3</v>
      </c>
      <c r="F39" s="343" t="s">
        <v>701</v>
      </c>
      <c r="H39" s="319">
        <f>TRUNC(E39*$H$21/12,2)</f>
        <v>1</v>
      </c>
    </row>
    <row r="40" spans="2:8">
      <c r="B40" s="318" t="s">
        <v>493</v>
      </c>
      <c r="E40" s="457">
        <v>3</v>
      </c>
      <c r="F40" s="343" t="s">
        <v>701</v>
      </c>
      <c r="H40" s="319">
        <f t="shared" ref="H40:H50" si="0">TRUNC(E40*$H$21/12,2)</f>
        <v>1</v>
      </c>
    </row>
    <row r="41" spans="2:8">
      <c r="B41" s="318" t="s">
        <v>494</v>
      </c>
      <c r="E41" s="457">
        <v>2</v>
      </c>
      <c r="F41" s="343" t="s">
        <v>701</v>
      </c>
      <c r="H41" s="319">
        <f t="shared" si="0"/>
        <v>0.66</v>
      </c>
    </row>
    <row r="42" spans="2:8">
      <c r="B42" s="318" t="s">
        <v>502</v>
      </c>
      <c r="E42" s="457">
        <v>3</v>
      </c>
      <c r="F42" s="343" t="s">
        <v>702</v>
      </c>
      <c r="H42" s="319">
        <f t="shared" si="0"/>
        <v>1</v>
      </c>
    </row>
    <row r="43" spans="2:8">
      <c r="B43" s="318" t="s">
        <v>496</v>
      </c>
      <c r="E43" s="457">
        <v>2</v>
      </c>
      <c r="F43" s="343" t="s">
        <v>701</v>
      </c>
      <c r="H43" s="319">
        <f t="shared" si="0"/>
        <v>0.66</v>
      </c>
    </row>
    <row r="44" spans="2:8">
      <c r="B44" s="318" t="s">
        <v>497</v>
      </c>
      <c r="E44" s="457">
        <v>2</v>
      </c>
      <c r="F44" s="343" t="s">
        <v>701</v>
      </c>
      <c r="H44" s="319">
        <f t="shared" si="0"/>
        <v>0.66</v>
      </c>
    </row>
    <row r="45" spans="2:8">
      <c r="B45" s="318" t="s">
        <v>498</v>
      </c>
      <c r="E45" s="457">
        <v>8</v>
      </c>
      <c r="F45" s="343" t="s">
        <v>702</v>
      </c>
      <c r="H45" s="319">
        <f t="shared" si="0"/>
        <v>2.66</v>
      </c>
    </row>
    <row r="46" spans="2:8">
      <c r="B46" s="318" t="s">
        <v>604</v>
      </c>
      <c r="E46" s="457">
        <v>0.16700000000000001</v>
      </c>
      <c r="F46" s="343" t="s">
        <v>701</v>
      </c>
      <c r="H46" s="319">
        <f t="shared" si="0"/>
        <v>0.05</v>
      </c>
    </row>
    <row r="47" spans="2:8">
      <c r="B47" s="318" t="s">
        <v>499</v>
      </c>
      <c r="E47" s="457">
        <v>12</v>
      </c>
      <c r="F47" s="343" t="s">
        <v>701</v>
      </c>
      <c r="H47" s="319">
        <f t="shared" si="0"/>
        <v>4</v>
      </c>
    </row>
    <row r="48" spans="2:8">
      <c r="B48" s="318" t="s">
        <v>503</v>
      </c>
      <c r="E48" s="457">
        <v>1</v>
      </c>
      <c r="F48" s="329" t="s">
        <v>678</v>
      </c>
      <c r="G48" s="460"/>
      <c r="H48" s="319">
        <f t="shared" si="0"/>
        <v>0.33</v>
      </c>
    </row>
    <row r="49" spans="2:8">
      <c r="B49" s="318" t="s">
        <v>590</v>
      </c>
      <c r="E49" s="457">
        <v>1</v>
      </c>
      <c r="F49" s="329" t="s">
        <v>678</v>
      </c>
      <c r="G49" s="460"/>
      <c r="H49" s="319">
        <f t="shared" si="0"/>
        <v>0.33</v>
      </c>
    </row>
    <row r="50" spans="2:8" ht="15.75" thickBot="1">
      <c r="B50" s="320" t="s">
        <v>591</v>
      </c>
      <c r="C50" s="321"/>
      <c r="D50" s="321"/>
      <c r="E50" s="458">
        <v>1</v>
      </c>
      <c r="F50" s="332" t="s">
        <v>678</v>
      </c>
      <c r="G50" s="463"/>
      <c r="H50" s="335">
        <f t="shared" si="0"/>
        <v>0.33</v>
      </c>
    </row>
    <row r="51" spans="2:8">
      <c r="B51" s="336" t="s">
        <v>595</v>
      </c>
    </row>
    <row r="53" spans="2:8" ht="15.75" thickBot="1">
      <c r="B53" s="309" t="s">
        <v>679</v>
      </c>
    </row>
    <row r="54" spans="2:8">
      <c r="B54" s="311" t="s">
        <v>567</v>
      </c>
      <c r="C54" s="324"/>
      <c r="D54" s="311" t="s">
        <v>665</v>
      </c>
      <c r="E54" s="312"/>
      <c r="F54" s="324"/>
      <c r="G54" s="324" t="s">
        <v>564</v>
      </c>
      <c r="H54" s="325" t="s">
        <v>561</v>
      </c>
    </row>
    <row r="55" spans="2:8">
      <c r="B55" s="311" t="s">
        <v>680</v>
      </c>
      <c r="C55" s="312"/>
      <c r="D55" s="481">
        <f>D20</f>
        <v>1</v>
      </c>
      <c r="E55" s="312" t="s">
        <v>864</v>
      </c>
      <c r="F55" s="312"/>
      <c r="G55" s="407">
        <v>84</v>
      </c>
      <c r="H55" s="482">
        <f>TRUNC(D55*D20,2)</f>
        <v>1</v>
      </c>
    </row>
    <row r="57" spans="2:8" ht="15.75">
      <c r="B57" s="347" t="s">
        <v>979</v>
      </c>
    </row>
    <row r="59" spans="2:8">
      <c r="B59" s="309" t="s">
        <v>982</v>
      </c>
    </row>
    <row r="61" spans="2:8" ht="15.75" thickBot="1">
      <c r="B61" s="309" t="s">
        <v>983</v>
      </c>
    </row>
    <row r="62" spans="2:8">
      <c r="B62" s="277" t="s">
        <v>736</v>
      </c>
      <c r="C62" s="278"/>
      <c r="D62" s="278"/>
      <c r="E62" s="278"/>
      <c r="F62" s="278"/>
      <c r="G62" s="279"/>
      <c r="H62" s="280">
        <f>H78+H80+H84+H86</f>
        <v>2879.31</v>
      </c>
    </row>
    <row r="63" spans="2:8">
      <c r="B63" s="281" t="str">
        <f>CONCATENATE("Salário - ",B62)</f>
        <v>Salário - Jardineiro</v>
      </c>
      <c r="C63" s="168"/>
      <c r="D63" s="169"/>
      <c r="E63" s="112" t="s">
        <v>466</v>
      </c>
      <c r="F63" s="112">
        <v>1</v>
      </c>
      <c r="G63" s="38">
        <f>VLOOKUP(B63,Tabela3[[#All],[descrição]:[fonte]],4,FALSE)</f>
        <v>1084.6400000000001</v>
      </c>
      <c r="H63" s="282">
        <f>TRUNC(F63*G63,2)</f>
        <v>1084.6400000000001</v>
      </c>
    </row>
    <row r="64" spans="2:8">
      <c r="B64" s="170" t="s">
        <v>855</v>
      </c>
      <c r="C64" s="24"/>
      <c r="D64" s="24"/>
      <c r="E64" s="97" t="s">
        <v>466</v>
      </c>
      <c r="F64" s="97">
        <v>1</v>
      </c>
      <c r="G64" s="38">
        <f>VLOOKUP(B64,Tabela3[[#All],[descrição]:[fonte]],4,FALSE)</f>
        <v>1045</v>
      </c>
      <c r="H64" s="283"/>
    </row>
    <row r="65" spans="2:8">
      <c r="B65" s="170" t="s">
        <v>468</v>
      </c>
      <c r="C65" s="24"/>
      <c r="D65" s="24"/>
      <c r="E65" s="97" t="s">
        <v>469</v>
      </c>
      <c r="F65" s="152"/>
      <c r="G65" s="96"/>
      <c r="H65" s="151"/>
    </row>
    <row r="66" spans="2:8">
      <c r="B66" s="170"/>
      <c r="C66" s="24"/>
      <c r="D66" s="24"/>
      <c r="E66" s="97" t="s">
        <v>470</v>
      </c>
      <c r="F66" s="38">
        <f>F65*8/7</f>
        <v>0</v>
      </c>
      <c r="G66" s="284">
        <f>G63/220*0.2</f>
        <v>0.98603636363636371</v>
      </c>
      <c r="H66" s="283">
        <f>TRUNC(F66*G66,2)</f>
        <v>0</v>
      </c>
    </row>
    <row r="67" spans="2:8">
      <c r="B67" s="170" t="s">
        <v>471</v>
      </c>
      <c r="C67" s="24"/>
      <c r="D67" s="24"/>
      <c r="E67" s="97" t="s">
        <v>472</v>
      </c>
      <c r="F67" s="152"/>
      <c r="G67" s="38">
        <f>G63/220*2</f>
        <v>9.8603636363636369</v>
      </c>
      <c r="H67" s="283">
        <f>TRUNC(F67*G67,2)</f>
        <v>0</v>
      </c>
    </row>
    <row r="68" spans="2:8">
      <c r="B68" s="170" t="s">
        <v>473</v>
      </c>
      <c r="C68" s="24"/>
      <c r="D68" s="24"/>
      <c r="E68" s="97" t="s">
        <v>469</v>
      </c>
      <c r="F68" s="152"/>
      <c r="G68" s="38"/>
      <c r="H68" s="283"/>
    </row>
    <row r="69" spans="2:8">
      <c r="B69" s="170"/>
      <c r="C69" s="24"/>
      <c r="D69" s="24"/>
      <c r="E69" s="97" t="s">
        <v>470</v>
      </c>
      <c r="F69" s="38">
        <f>F68*8/7</f>
        <v>0</v>
      </c>
      <c r="G69" s="38">
        <f>G63/220*2*1.2</f>
        <v>11.832436363636363</v>
      </c>
      <c r="H69" s="283">
        <f>TRUNC(F69*G69,2)</f>
        <v>0</v>
      </c>
    </row>
    <row r="70" spans="2:8">
      <c r="B70" s="170" t="s">
        <v>474</v>
      </c>
      <c r="C70" s="24"/>
      <c r="D70" s="24"/>
      <c r="E70" s="97" t="s">
        <v>472</v>
      </c>
      <c r="F70" s="152"/>
      <c r="G70" s="38">
        <f>G63/220*1.5</f>
        <v>7.3952727272727277</v>
      </c>
      <c r="H70" s="283">
        <f>TRUNC(F70*G70,2)</f>
        <v>0</v>
      </c>
    </row>
    <row r="71" spans="2:8">
      <c r="B71" s="170" t="s">
        <v>475</v>
      </c>
      <c r="C71" s="24"/>
      <c r="D71" s="24"/>
      <c r="E71" s="97" t="s">
        <v>469</v>
      </c>
      <c r="F71" s="152"/>
      <c r="G71" s="38"/>
      <c r="H71" s="283"/>
    </row>
    <row r="72" spans="2:8">
      <c r="B72" s="170"/>
      <c r="C72" s="24"/>
      <c r="D72" s="24"/>
      <c r="E72" s="97" t="s">
        <v>470</v>
      </c>
      <c r="F72" s="38">
        <f>F71*8/7</f>
        <v>0</v>
      </c>
      <c r="G72" s="38">
        <f>G63/220*1.5*1.2</f>
        <v>8.8743272727272728</v>
      </c>
      <c r="H72" s="283">
        <f>TRUNC(F72*G72,2)</f>
        <v>0</v>
      </c>
    </row>
    <row r="73" spans="2:8">
      <c r="B73" s="170" t="s">
        <v>476</v>
      </c>
      <c r="C73" s="24"/>
      <c r="D73" s="24"/>
      <c r="E73" s="97" t="s">
        <v>477</v>
      </c>
      <c r="F73" s="96"/>
      <c r="G73" s="38">
        <f>TRUNC(((52+9)/304)*(SUM(H67:H72)),2)</f>
        <v>0</v>
      </c>
      <c r="H73" s="283">
        <f>G73</f>
        <v>0</v>
      </c>
    </row>
    <row r="74" spans="2:8">
      <c r="B74" s="170" t="s">
        <v>478</v>
      </c>
      <c r="C74" s="24"/>
      <c r="D74" s="24"/>
      <c r="E74" s="97"/>
      <c r="F74" s="285">
        <v>1</v>
      </c>
      <c r="G74" s="38"/>
      <c r="H74" s="283"/>
    </row>
    <row r="75" spans="2:8">
      <c r="B75" s="170" t="s">
        <v>479</v>
      </c>
      <c r="C75" s="24"/>
      <c r="D75" s="24"/>
      <c r="E75" s="97" t="s">
        <v>480</v>
      </c>
      <c r="F75" s="286">
        <f>VLOOKUP(B63,Tabela3[[#All],[descrição]:[fonte]],3,FALSE)</f>
        <v>20</v>
      </c>
      <c r="G75" s="38">
        <f>IF(F74=2,SUM(H63:H73),IF(F74=1,SUM(H63:H73)*G64/G63,0))</f>
        <v>1045</v>
      </c>
      <c r="H75" s="283">
        <f>TRUNC(F75*G75/100,2)</f>
        <v>209</v>
      </c>
    </row>
    <row r="76" spans="2:8">
      <c r="B76" s="171" t="s">
        <v>481</v>
      </c>
      <c r="C76" s="24"/>
      <c r="D76" s="24"/>
      <c r="E76" s="134"/>
      <c r="F76" s="134"/>
      <c r="G76" s="287"/>
      <c r="H76" s="288">
        <f>SUM(H63:H75)</f>
        <v>1293.6400000000001</v>
      </c>
    </row>
    <row r="77" spans="2:8">
      <c r="B77" s="172" t="s">
        <v>482</v>
      </c>
      <c r="C77" s="184"/>
      <c r="D77" s="185"/>
      <c r="E77" s="154" t="s">
        <v>480</v>
      </c>
      <c r="F77" s="41">
        <f>VLOOKUP(B77,Tabela3[[#All],[descrição]:[fonte]],4,FALSE)</f>
        <v>70.489999999999995</v>
      </c>
      <c r="G77" s="41">
        <f>H76</f>
        <v>1293.6400000000001</v>
      </c>
      <c r="H77" s="289">
        <f>TRUNC(G77*F77/100,2)</f>
        <v>911.88</v>
      </c>
    </row>
    <row r="78" spans="2:8">
      <c r="B78" s="173" t="s">
        <v>861</v>
      </c>
      <c r="C78" s="24"/>
      <c r="D78" s="24"/>
      <c r="E78" s="155"/>
      <c r="F78" s="155"/>
      <c r="G78" s="290"/>
      <c r="H78" s="291">
        <f>TRUNC(H76+H77,2)</f>
        <v>2205.52</v>
      </c>
    </row>
    <row r="79" spans="2:8" ht="15.75">
      <c r="B79" s="292" t="s">
        <v>483</v>
      </c>
      <c r="C79" s="293"/>
      <c r="D79" s="293"/>
      <c r="E79" s="293"/>
      <c r="F79" s="293"/>
      <c r="G79" s="293"/>
      <c r="H79" s="294"/>
    </row>
    <row r="80" spans="2:8">
      <c r="B80" s="174" t="s">
        <v>860</v>
      </c>
      <c r="C80" s="175"/>
      <c r="D80" s="176"/>
      <c r="E80" s="156" t="s">
        <v>484</v>
      </c>
      <c r="F80" s="295">
        <v>1</v>
      </c>
      <c r="G80" s="295">
        <f>H83</f>
        <v>140.83000000000001</v>
      </c>
      <c r="H80" s="296">
        <f>TRUNC(G80*F80,2)</f>
        <v>140.83000000000001</v>
      </c>
    </row>
    <row r="81" spans="2:8">
      <c r="B81" s="170" t="s">
        <v>485</v>
      </c>
      <c r="C81" s="24"/>
      <c r="D81" s="24"/>
      <c r="E81" s="97" t="s">
        <v>477</v>
      </c>
      <c r="F81" s="38">
        <v>1</v>
      </c>
      <c r="G81" s="38">
        <f>VLOOKUP(B81,Tabela3[[#All],[descrição]:[fonte]],4,FALSE)</f>
        <v>3.95</v>
      </c>
      <c r="H81" s="283"/>
    </row>
    <row r="82" spans="2:8">
      <c r="B82" s="170" t="s">
        <v>486</v>
      </c>
      <c r="C82" s="24"/>
      <c r="D82" s="24"/>
      <c r="E82" s="97" t="s">
        <v>487</v>
      </c>
      <c r="F82" s="38">
        <f>ROUND((9+304)/12,2)</f>
        <v>26.08</v>
      </c>
      <c r="G82" s="38"/>
      <c r="H82" s="283"/>
    </row>
    <row r="83" spans="2:8">
      <c r="B83" s="177" t="str">
        <f>CONCATENATE("Vale Transporte - ",B62)</f>
        <v>Vale Transporte - Jardineiro</v>
      </c>
      <c r="C83" s="24"/>
      <c r="D83" s="24"/>
      <c r="E83" s="102" t="s">
        <v>488</v>
      </c>
      <c r="F83" s="297">
        <f>F82*2*1</f>
        <v>52.16</v>
      </c>
      <c r="G83" s="297">
        <f>IF(TRUNC(IFERROR(((G81)-((G63*0.06)/(F82*2))),"-"),2)&lt;=0,0,TRUNC(IFERROR(((G81)-((G63*0.06)/(F82*2))),"-"),2))</f>
        <v>2.7</v>
      </c>
      <c r="H83" s="298">
        <f>TRUNC(IFERROR(F83*G83,"-"),2)</f>
        <v>140.83000000000001</v>
      </c>
    </row>
    <row r="84" spans="2:8">
      <c r="B84" s="174" t="s">
        <v>859</v>
      </c>
      <c r="C84" s="175"/>
      <c r="D84" s="176"/>
      <c r="E84" s="156" t="s">
        <v>484</v>
      </c>
      <c r="F84" s="295">
        <v>1</v>
      </c>
      <c r="G84" s="295">
        <f>H85</f>
        <v>312.95999999999998</v>
      </c>
      <c r="H84" s="296">
        <f>G84*F84</f>
        <v>312.95999999999998</v>
      </c>
    </row>
    <row r="85" spans="2:8">
      <c r="B85" s="178" t="s">
        <v>489</v>
      </c>
      <c r="C85" s="179"/>
      <c r="D85" s="180"/>
      <c r="E85" s="157" t="s">
        <v>490</v>
      </c>
      <c r="F85" s="295">
        <f>F82</f>
        <v>26.08</v>
      </c>
      <c r="G85" s="295">
        <f>VLOOKUP(B85,Tabela3[[#All],[descrição]:[fonte]],4,FALSE)</f>
        <v>12</v>
      </c>
      <c r="H85" s="299">
        <f>TRUNC(F85*G85,2)</f>
        <v>312.95999999999998</v>
      </c>
    </row>
    <row r="86" spans="2:8">
      <c r="B86" s="181" t="s">
        <v>491</v>
      </c>
      <c r="C86" s="182"/>
      <c r="D86" s="183"/>
      <c r="E86" s="134" t="s">
        <v>484</v>
      </c>
      <c r="F86" s="38">
        <v>1</v>
      </c>
      <c r="G86" s="38">
        <f>VLOOKUP(B86,Tabela3[[#All],[descrição]:[fonte]],4,FALSE)</f>
        <v>220</v>
      </c>
      <c r="H86" s="288">
        <f>G86*F86</f>
        <v>220</v>
      </c>
    </row>
    <row r="87" spans="2:8">
      <c r="B87" s="300" t="s">
        <v>384</v>
      </c>
      <c r="C87" s="301"/>
      <c r="D87" s="301"/>
      <c r="E87" s="301"/>
      <c r="F87" s="301"/>
      <c r="G87" s="301"/>
      <c r="H87" s="503">
        <f>D17</f>
        <v>1</v>
      </c>
    </row>
    <row r="88" spans="2:8" ht="15.75" thickBot="1">
      <c r="B88" s="303" t="s">
        <v>854</v>
      </c>
      <c r="C88" s="304"/>
      <c r="D88" s="304"/>
      <c r="E88" s="304"/>
      <c r="F88" s="304"/>
      <c r="G88" s="304"/>
      <c r="H88" s="305">
        <f>H87*H62</f>
        <v>2879.31</v>
      </c>
    </row>
    <row r="90" spans="2:8" ht="15.75" thickBot="1">
      <c r="B90" s="309" t="s">
        <v>984</v>
      </c>
    </row>
    <row r="91" spans="2:8">
      <c r="B91" s="277" t="s">
        <v>870</v>
      </c>
      <c r="C91" s="278"/>
      <c r="D91" s="278"/>
      <c r="E91" s="278"/>
      <c r="F91" s="278"/>
      <c r="G91" s="279"/>
      <c r="H91" s="280">
        <f>H107+H109+H113+H115</f>
        <v>2879.31</v>
      </c>
    </row>
    <row r="92" spans="2:8">
      <c r="B92" s="281" t="str">
        <f>CONCATENATE("Salário - ",B91)</f>
        <v>Salário - Servente</v>
      </c>
      <c r="C92" s="168"/>
      <c r="D92" s="169"/>
      <c r="E92" s="112" t="s">
        <v>466</v>
      </c>
      <c r="F92" s="112">
        <v>1</v>
      </c>
      <c r="G92" s="38">
        <f>VLOOKUP(B92,Tabela3[[#All],[descrição]:[fonte]],4,FALSE)</f>
        <v>1084.6400000000001</v>
      </c>
      <c r="H92" s="282">
        <f>TRUNC(F92*G92,2)</f>
        <v>1084.6400000000001</v>
      </c>
    </row>
    <row r="93" spans="2:8">
      <c r="B93" s="170" t="s">
        <v>855</v>
      </c>
      <c r="C93" s="24"/>
      <c r="D93" s="24"/>
      <c r="E93" s="97" t="s">
        <v>466</v>
      </c>
      <c r="F93" s="97">
        <v>1</v>
      </c>
      <c r="G93" s="38">
        <f>VLOOKUP(B93,Tabela3[[#All],[descrição]:[fonte]],4,FALSE)</f>
        <v>1045</v>
      </c>
      <c r="H93" s="283"/>
    </row>
    <row r="94" spans="2:8">
      <c r="B94" s="170" t="s">
        <v>468</v>
      </c>
      <c r="C94" s="24"/>
      <c r="D94" s="24"/>
      <c r="E94" s="97" t="s">
        <v>469</v>
      </c>
      <c r="F94" s="152"/>
      <c r="G94" s="96"/>
      <c r="H94" s="151"/>
    </row>
    <row r="95" spans="2:8">
      <c r="B95" s="170"/>
      <c r="C95" s="24"/>
      <c r="D95" s="24"/>
      <c r="E95" s="97" t="s">
        <v>470</v>
      </c>
      <c r="F95" s="38">
        <f>F94*8/7</f>
        <v>0</v>
      </c>
      <c r="G95" s="284">
        <f>G92/220*0.2</f>
        <v>0.98603636363636371</v>
      </c>
      <c r="H95" s="283">
        <f>TRUNC(F95*G95,2)</f>
        <v>0</v>
      </c>
    </row>
    <row r="96" spans="2:8">
      <c r="B96" s="170" t="s">
        <v>471</v>
      </c>
      <c r="C96" s="24"/>
      <c r="D96" s="24"/>
      <c r="E96" s="97" t="s">
        <v>472</v>
      </c>
      <c r="F96" s="152"/>
      <c r="G96" s="38">
        <f>G92/220*2</f>
        <v>9.8603636363636369</v>
      </c>
      <c r="H96" s="283">
        <f>TRUNC(F96*G96,2)</f>
        <v>0</v>
      </c>
    </row>
    <row r="97" spans="2:8">
      <c r="B97" s="170" t="s">
        <v>473</v>
      </c>
      <c r="C97" s="24"/>
      <c r="D97" s="24"/>
      <c r="E97" s="97" t="s">
        <v>469</v>
      </c>
      <c r="F97" s="152"/>
      <c r="G97" s="38"/>
      <c r="H97" s="283"/>
    </row>
    <row r="98" spans="2:8">
      <c r="B98" s="170"/>
      <c r="C98" s="24"/>
      <c r="D98" s="24"/>
      <c r="E98" s="97" t="s">
        <v>470</v>
      </c>
      <c r="F98" s="38">
        <f>F97*8/7</f>
        <v>0</v>
      </c>
      <c r="G98" s="38">
        <f>G92/220*2*1.2</f>
        <v>11.832436363636363</v>
      </c>
      <c r="H98" s="283">
        <f>TRUNC(F98*G98,2)</f>
        <v>0</v>
      </c>
    </row>
    <row r="99" spans="2:8">
      <c r="B99" s="170" t="s">
        <v>474</v>
      </c>
      <c r="C99" s="24"/>
      <c r="D99" s="24"/>
      <c r="E99" s="97" t="s">
        <v>472</v>
      </c>
      <c r="F99" s="152"/>
      <c r="G99" s="38">
        <f>G92/220*1.5</f>
        <v>7.3952727272727277</v>
      </c>
      <c r="H99" s="283">
        <f>TRUNC(F99*G99,2)</f>
        <v>0</v>
      </c>
    </row>
    <row r="100" spans="2:8">
      <c r="B100" s="170" t="s">
        <v>475</v>
      </c>
      <c r="C100" s="24"/>
      <c r="D100" s="24"/>
      <c r="E100" s="97" t="s">
        <v>469</v>
      </c>
      <c r="F100" s="152"/>
      <c r="G100" s="38"/>
      <c r="H100" s="283"/>
    </row>
    <row r="101" spans="2:8">
      <c r="B101" s="170"/>
      <c r="C101" s="24"/>
      <c r="D101" s="24"/>
      <c r="E101" s="97" t="s">
        <v>470</v>
      </c>
      <c r="F101" s="38">
        <f>F100*8/7</f>
        <v>0</v>
      </c>
      <c r="G101" s="38">
        <f>G92/220*1.5*1.2</f>
        <v>8.8743272727272728</v>
      </c>
      <c r="H101" s="283">
        <f>TRUNC(F101*G101,2)</f>
        <v>0</v>
      </c>
    </row>
    <row r="102" spans="2:8">
      <c r="B102" s="170" t="s">
        <v>476</v>
      </c>
      <c r="C102" s="24"/>
      <c r="D102" s="24"/>
      <c r="E102" s="97" t="s">
        <v>477</v>
      </c>
      <c r="F102" s="96"/>
      <c r="G102" s="38">
        <f>TRUNC(((52+9)/304)*(SUM(H96:H101)),2)</f>
        <v>0</v>
      </c>
      <c r="H102" s="283">
        <f>G102</f>
        <v>0</v>
      </c>
    </row>
    <row r="103" spans="2:8">
      <c r="B103" s="170" t="s">
        <v>478</v>
      </c>
      <c r="C103" s="24"/>
      <c r="D103" s="24"/>
      <c r="E103" s="97"/>
      <c r="F103" s="285">
        <v>1</v>
      </c>
      <c r="G103" s="38"/>
      <c r="H103" s="283"/>
    </row>
    <row r="104" spans="2:8">
      <c r="B104" s="170" t="s">
        <v>479</v>
      </c>
      <c r="C104" s="24"/>
      <c r="D104" s="24"/>
      <c r="E104" s="97" t="s">
        <v>480</v>
      </c>
      <c r="F104" s="286">
        <f>VLOOKUP(B92,Tabela3[[#All],[descrição]:[fonte]],3,FALSE)</f>
        <v>20</v>
      </c>
      <c r="G104" s="38">
        <f>IF(F103=2,SUM(H92:H102),IF(F103=1,SUM(H92:H102)*G93/G92,0))</f>
        <v>1045</v>
      </c>
      <c r="H104" s="283">
        <f>TRUNC(F104*G104/100,2)</f>
        <v>209</v>
      </c>
    </row>
    <row r="105" spans="2:8">
      <c r="B105" s="171" t="s">
        <v>481</v>
      </c>
      <c r="C105" s="24"/>
      <c r="D105" s="24"/>
      <c r="E105" s="134"/>
      <c r="F105" s="134"/>
      <c r="G105" s="287"/>
      <c r="H105" s="288">
        <f>SUM(H92:H104)</f>
        <v>1293.6400000000001</v>
      </c>
    </row>
    <row r="106" spans="2:8">
      <c r="B106" s="172" t="s">
        <v>482</v>
      </c>
      <c r="C106" s="184"/>
      <c r="D106" s="185"/>
      <c r="E106" s="154" t="s">
        <v>480</v>
      </c>
      <c r="F106" s="41">
        <f>VLOOKUP(B106,Tabela3[[#All],[descrição]:[fonte]],4,FALSE)</f>
        <v>70.489999999999995</v>
      </c>
      <c r="G106" s="41">
        <f>H105</f>
        <v>1293.6400000000001</v>
      </c>
      <c r="H106" s="289">
        <f>TRUNC(G106*F106/100,2)</f>
        <v>911.88</v>
      </c>
    </row>
    <row r="107" spans="2:8">
      <c r="B107" s="173" t="s">
        <v>861</v>
      </c>
      <c r="C107" s="24"/>
      <c r="D107" s="24"/>
      <c r="E107" s="155"/>
      <c r="F107" s="155"/>
      <c r="G107" s="290"/>
      <c r="H107" s="291">
        <f>TRUNC(H105+H106,2)</f>
        <v>2205.52</v>
      </c>
    </row>
    <row r="108" spans="2:8" ht="15.75">
      <c r="B108" s="292" t="s">
        <v>483</v>
      </c>
      <c r="C108" s="293"/>
      <c r="D108" s="293"/>
      <c r="E108" s="293"/>
      <c r="F108" s="293"/>
      <c r="G108" s="293"/>
      <c r="H108" s="294"/>
    </row>
    <row r="109" spans="2:8">
      <c r="B109" s="174" t="s">
        <v>860</v>
      </c>
      <c r="C109" s="175"/>
      <c r="D109" s="176"/>
      <c r="E109" s="156" t="s">
        <v>484</v>
      </c>
      <c r="F109" s="295">
        <v>1</v>
      </c>
      <c r="G109" s="295">
        <f>H112</f>
        <v>140.83000000000001</v>
      </c>
      <c r="H109" s="296">
        <f>TRUNC(G109*F109,2)</f>
        <v>140.83000000000001</v>
      </c>
    </row>
    <row r="110" spans="2:8">
      <c r="B110" s="170" t="s">
        <v>485</v>
      </c>
      <c r="C110" s="24"/>
      <c r="D110" s="24"/>
      <c r="E110" s="97" t="s">
        <v>477</v>
      </c>
      <c r="F110" s="38">
        <v>1</v>
      </c>
      <c r="G110" s="38">
        <f>VLOOKUP(B110,Tabela3[[#All],[descrição]:[fonte]],4,FALSE)</f>
        <v>3.95</v>
      </c>
      <c r="H110" s="283"/>
    </row>
    <row r="111" spans="2:8">
      <c r="B111" s="170" t="s">
        <v>486</v>
      </c>
      <c r="C111" s="24"/>
      <c r="D111" s="24"/>
      <c r="E111" s="97" t="s">
        <v>487</v>
      </c>
      <c r="F111" s="38">
        <f>ROUND((9+304)/12,2)</f>
        <v>26.08</v>
      </c>
      <c r="G111" s="38"/>
      <c r="H111" s="283"/>
    </row>
    <row r="112" spans="2:8">
      <c r="B112" s="177" t="str">
        <f>CONCATENATE("Vale Transporte - ",B91)</f>
        <v>Vale Transporte - Servente</v>
      </c>
      <c r="C112" s="24"/>
      <c r="D112" s="24"/>
      <c r="E112" s="102" t="s">
        <v>488</v>
      </c>
      <c r="F112" s="297">
        <f>F111*2*1</f>
        <v>52.16</v>
      </c>
      <c r="G112" s="297">
        <f>IF(TRUNC(IFERROR(((G110)-((G92*0.06)/(F111*2))),"-"),2)&lt;=0,0,TRUNC(IFERROR(((G110)-((G92*0.06)/(F111*2))),"-"),2))</f>
        <v>2.7</v>
      </c>
      <c r="H112" s="298">
        <f>TRUNC(IFERROR(F112*G112,"-"),2)</f>
        <v>140.83000000000001</v>
      </c>
    </row>
    <row r="113" spans="2:8">
      <c r="B113" s="174" t="s">
        <v>859</v>
      </c>
      <c r="C113" s="175"/>
      <c r="D113" s="176"/>
      <c r="E113" s="156" t="s">
        <v>484</v>
      </c>
      <c r="F113" s="295">
        <v>1</v>
      </c>
      <c r="G113" s="295">
        <f>H114</f>
        <v>312.95999999999998</v>
      </c>
      <c r="H113" s="296">
        <f>G113*F113</f>
        <v>312.95999999999998</v>
      </c>
    </row>
    <row r="114" spans="2:8">
      <c r="B114" s="178" t="s">
        <v>489</v>
      </c>
      <c r="C114" s="179"/>
      <c r="D114" s="180"/>
      <c r="E114" s="157" t="s">
        <v>490</v>
      </c>
      <c r="F114" s="295">
        <f>F111</f>
        <v>26.08</v>
      </c>
      <c r="G114" s="295">
        <f>VLOOKUP(B114,Tabela3[[#All],[descrição]:[fonte]],4,FALSE)</f>
        <v>12</v>
      </c>
      <c r="H114" s="299">
        <f>TRUNC(F114*G114,2)</f>
        <v>312.95999999999998</v>
      </c>
    </row>
    <row r="115" spans="2:8">
      <c r="B115" s="181" t="s">
        <v>491</v>
      </c>
      <c r="C115" s="182"/>
      <c r="D115" s="183"/>
      <c r="E115" s="134" t="s">
        <v>484</v>
      </c>
      <c r="F115" s="38">
        <v>1</v>
      </c>
      <c r="G115" s="38">
        <f>VLOOKUP(B115,Tabela3[[#All],[descrição]:[fonte]],4,FALSE)</f>
        <v>220</v>
      </c>
      <c r="H115" s="288">
        <f>G115*F115</f>
        <v>220</v>
      </c>
    </row>
    <row r="116" spans="2:8">
      <c r="B116" s="300" t="s">
        <v>384</v>
      </c>
      <c r="C116" s="301"/>
      <c r="D116" s="301"/>
      <c r="E116" s="301"/>
      <c r="F116" s="301"/>
      <c r="G116" s="301"/>
      <c r="H116" s="503">
        <f>D18</f>
        <v>1</v>
      </c>
    </row>
    <row r="117" spans="2:8" ht="15.75" thickBot="1">
      <c r="B117" s="303" t="s">
        <v>854</v>
      </c>
      <c r="C117" s="304"/>
      <c r="D117" s="304"/>
      <c r="E117" s="304"/>
      <c r="F117" s="304"/>
      <c r="G117" s="304"/>
      <c r="H117" s="305">
        <f>H116*H91</f>
        <v>2879.31</v>
      </c>
    </row>
    <row r="119" spans="2:8" ht="15.75" thickBot="1">
      <c r="B119" s="309" t="s">
        <v>985</v>
      </c>
    </row>
    <row r="120" spans="2:8">
      <c r="B120" s="277" t="s">
        <v>866</v>
      </c>
      <c r="C120" s="278"/>
      <c r="D120" s="278"/>
      <c r="E120" s="278"/>
      <c r="F120" s="278"/>
      <c r="G120" s="279"/>
      <c r="H120" s="280">
        <f>H136+H138+H142+H144</f>
        <v>3442.54</v>
      </c>
    </row>
    <row r="121" spans="2:8">
      <c r="B121" s="281" t="str">
        <f>CONCATENATE("Salário - ",B120)</f>
        <v>Salário - Fiscal</v>
      </c>
      <c r="C121" s="168"/>
      <c r="D121" s="169"/>
      <c r="E121" s="112" t="s">
        <v>466</v>
      </c>
      <c r="F121" s="112">
        <v>1</v>
      </c>
      <c r="G121" s="38">
        <f>VLOOKUP(B121,Tabela3[[#All],[descrição]:[fonte]],4,FALSE)</f>
        <v>1427.24</v>
      </c>
      <c r="H121" s="282">
        <f>TRUNC(F121*G121,2)</f>
        <v>1427.24</v>
      </c>
    </row>
    <row r="122" spans="2:8">
      <c r="B122" s="170" t="s">
        <v>855</v>
      </c>
      <c r="C122" s="24"/>
      <c r="D122" s="24"/>
      <c r="E122" s="97" t="s">
        <v>466</v>
      </c>
      <c r="F122" s="97">
        <v>1</v>
      </c>
      <c r="G122" s="38">
        <f>VLOOKUP(B122,Tabela3[[#All],[descrição]:[fonte]],4,FALSE)</f>
        <v>1045</v>
      </c>
      <c r="H122" s="283"/>
    </row>
    <row r="123" spans="2:8">
      <c r="B123" s="170" t="s">
        <v>468</v>
      </c>
      <c r="C123" s="24"/>
      <c r="D123" s="24"/>
      <c r="E123" s="97" t="s">
        <v>469</v>
      </c>
      <c r="F123" s="152"/>
      <c r="G123" s="96"/>
      <c r="H123" s="151"/>
    </row>
    <row r="124" spans="2:8">
      <c r="B124" s="170"/>
      <c r="C124" s="24"/>
      <c r="D124" s="24"/>
      <c r="E124" s="97" t="s">
        <v>470</v>
      </c>
      <c r="F124" s="38">
        <f>F123*8/7</f>
        <v>0</v>
      </c>
      <c r="G124" s="284">
        <f>G121/220*0.2</f>
        <v>1.297490909090909</v>
      </c>
      <c r="H124" s="283">
        <f>TRUNC(F124*G124,2)</f>
        <v>0</v>
      </c>
    </row>
    <row r="125" spans="2:8">
      <c r="B125" s="170" t="s">
        <v>471</v>
      </c>
      <c r="C125" s="24"/>
      <c r="D125" s="24"/>
      <c r="E125" s="97" t="s">
        <v>472</v>
      </c>
      <c r="F125" s="152"/>
      <c r="G125" s="38">
        <f>G121/220*2</f>
        <v>12.97490909090909</v>
      </c>
      <c r="H125" s="283">
        <f>TRUNC(F125*G125,2)</f>
        <v>0</v>
      </c>
    </row>
    <row r="126" spans="2:8">
      <c r="B126" s="170" t="s">
        <v>473</v>
      </c>
      <c r="C126" s="24"/>
      <c r="D126" s="24"/>
      <c r="E126" s="97" t="s">
        <v>469</v>
      </c>
      <c r="F126" s="152"/>
      <c r="G126" s="38"/>
      <c r="H126" s="283"/>
    </row>
    <row r="127" spans="2:8">
      <c r="B127" s="170"/>
      <c r="C127" s="24"/>
      <c r="D127" s="24"/>
      <c r="E127" s="97" t="s">
        <v>470</v>
      </c>
      <c r="F127" s="38">
        <f>F126*8/7</f>
        <v>0</v>
      </c>
      <c r="G127" s="38">
        <f>G121/220*2*1.2</f>
        <v>15.569890909090908</v>
      </c>
      <c r="H127" s="283">
        <f>TRUNC(F127*G127,2)</f>
        <v>0</v>
      </c>
    </row>
    <row r="128" spans="2:8">
      <c r="B128" s="170" t="s">
        <v>474</v>
      </c>
      <c r="C128" s="24"/>
      <c r="D128" s="24"/>
      <c r="E128" s="97" t="s">
        <v>472</v>
      </c>
      <c r="F128" s="152"/>
      <c r="G128" s="38">
        <f>G121/220*1.5</f>
        <v>9.7311818181818168</v>
      </c>
      <c r="H128" s="283">
        <f>TRUNC(F128*G128,2)</f>
        <v>0</v>
      </c>
    </row>
    <row r="129" spans="2:8">
      <c r="B129" s="170" t="s">
        <v>475</v>
      </c>
      <c r="C129" s="24"/>
      <c r="D129" s="24"/>
      <c r="E129" s="97" t="s">
        <v>469</v>
      </c>
      <c r="F129" s="152"/>
      <c r="G129" s="38"/>
      <c r="H129" s="283"/>
    </row>
    <row r="130" spans="2:8">
      <c r="B130" s="170"/>
      <c r="C130" s="24"/>
      <c r="D130" s="24"/>
      <c r="E130" s="97" t="s">
        <v>470</v>
      </c>
      <c r="F130" s="38">
        <f>F129*8/7</f>
        <v>0</v>
      </c>
      <c r="G130" s="38">
        <f>G121/220*1.5*1.2</f>
        <v>11.677418181818179</v>
      </c>
      <c r="H130" s="283">
        <f>TRUNC(F130*G130,2)</f>
        <v>0</v>
      </c>
    </row>
    <row r="131" spans="2:8">
      <c r="B131" s="170" t="s">
        <v>476</v>
      </c>
      <c r="C131" s="24"/>
      <c r="D131" s="24"/>
      <c r="E131" s="97" t="s">
        <v>477</v>
      </c>
      <c r="F131" s="96"/>
      <c r="G131" s="38">
        <f>TRUNC(((52+9)/304)*(SUM(H125:H130)),2)</f>
        <v>0</v>
      </c>
      <c r="H131" s="283">
        <f>G131</f>
        <v>0</v>
      </c>
    </row>
    <row r="132" spans="2:8">
      <c r="B132" s="170" t="s">
        <v>478</v>
      </c>
      <c r="C132" s="24"/>
      <c r="D132" s="24"/>
      <c r="E132" s="97"/>
      <c r="F132" s="285">
        <v>1</v>
      </c>
      <c r="G132" s="38"/>
      <c r="H132" s="283"/>
    </row>
    <row r="133" spans="2:8">
      <c r="B133" s="170" t="s">
        <v>479</v>
      </c>
      <c r="C133" s="24"/>
      <c r="D133" s="24"/>
      <c r="E133" s="97" t="s">
        <v>480</v>
      </c>
      <c r="F133" s="286">
        <f>VLOOKUP(B121,Tabela3[[#All],[descrição]:[fonte]],3,FALSE)</f>
        <v>20</v>
      </c>
      <c r="G133" s="38">
        <f>IF(F132=2,SUM(H121:H131),IF(F132=1,SUM(H121:H131)*G122/G121,0))</f>
        <v>1045</v>
      </c>
      <c r="H133" s="283">
        <f>TRUNC(F133*G133/100,2)</f>
        <v>209</v>
      </c>
    </row>
    <row r="134" spans="2:8">
      <c r="B134" s="171" t="s">
        <v>481</v>
      </c>
      <c r="C134" s="24"/>
      <c r="D134" s="24"/>
      <c r="E134" s="134"/>
      <c r="F134" s="134"/>
      <c r="G134" s="287"/>
      <c r="H134" s="288">
        <f>SUM(H121:H133)</f>
        <v>1636.24</v>
      </c>
    </row>
    <row r="135" spans="2:8">
      <c r="B135" s="172" t="s">
        <v>482</v>
      </c>
      <c r="C135" s="184"/>
      <c r="D135" s="185"/>
      <c r="E135" s="154" t="s">
        <v>480</v>
      </c>
      <c r="F135" s="41">
        <f>VLOOKUP(B135,Tabela3[[#All],[descrição]:[fonte]],4,FALSE)</f>
        <v>70.489999999999995</v>
      </c>
      <c r="G135" s="41">
        <f>H134</f>
        <v>1636.24</v>
      </c>
      <c r="H135" s="289">
        <f>TRUNC(G135*F135/100,2)</f>
        <v>1153.3800000000001</v>
      </c>
    </row>
    <row r="136" spans="2:8">
      <c r="B136" s="173" t="s">
        <v>861</v>
      </c>
      <c r="C136" s="24"/>
      <c r="D136" s="24"/>
      <c r="E136" s="155"/>
      <c r="F136" s="155"/>
      <c r="G136" s="290"/>
      <c r="H136" s="291">
        <f>TRUNC(H134+H135,2)</f>
        <v>2789.62</v>
      </c>
    </row>
    <row r="137" spans="2:8" ht="15.75">
      <c r="B137" s="292" t="s">
        <v>483</v>
      </c>
      <c r="C137" s="293"/>
      <c r="D137" s="293"/>
      <c r="E137" s="293"/>
      <c r="F137" s="293"/>
      <c r="G137" s="293"/>
      <c r="H137" s="294"/>
    </row>
    <row r="138" spans="2:8">
      <c r="B138" s="174" t="s">
        <v>860</v>
      </c>
      <c r="C138" s="175"/>
      <c r="D138" s="176"/>
      <c r="E138" s="156" t="s">
        <v>484</v>
      </c>
      <c r="F138" s="295">
        <v>1</v>
      </c>
      <c r="G138" s="295">
        <f>H141</f>
        <v>119.96</v>
      </c>
      <c r="H138" s="296">
        <f>TRUNC(G138*F138,2)</f>
        <v>119.96</v>
      </c>
    </row>
    <row r="139" spans="2:8">
      <c r="B139" s="170" t="s">
        <v>485</v>
      </c>
      <c r="C139" s="24"/>
      <c r="D139" s="24"/>
      <c r="E139" s="97" t="s">
        <v>477</v>
      </c>
      <c r="F139" s="38">
        <v>1</v>
      </c>
      <c r="G139" s="38">
        <f>VLOOKUP(B139,Tabela3[[#All],[descrição]:[fonte]],4,FALSE)</f>
        <v>3.95</v>
      </c>
      <c r="H139" s="283"/>
    </row>
    <row r="140" spans="2:8">
      <c r="B140" s="170" t="s">
        <v>486</v>
      </c>
      <c r="C140" s="24"/>
      <c r="D140" s="24"/>
      <c r="E140" s="97" t="s">
        <v>487</v>
      </c>
      <c r="F140" s="38">
        <f>ROUND((9+304)/12,2)</f>
        <v>26.08</v>
      </c>
      <c r="G140" s="38"/>
      <c r="H140" s="283"/>
    </row>
    <row r="141" spans="2:8">
      <c r="B141" s="177" t="str">
        <f>CONCATENATE("Vale Transporte - ",B120)</f>
        <v>Vale Transporte - Fiscal</v>
      </c>
      <c r="C141" s="24"/>
      <c r="D141" s="24"/>
      <c r="E141" s="102" t="s">
        <v>488</v>
      </c>
      <c r="F141" s="297">
        <f>F140*2*1</f>
        <v>52.16</v>
      </c>
      <c r="G141" s="297">
        <f>IF(TRUNC(IFERROR(((G139)-((G121*0.06)/(F140*2))),"-"),2)&lt;=0,0,TRUNC(IFERROR(((G139)-((G121*0.06)/(F140*2))),"-"),2))</f>
        <v>2.2999999999999998</v>
      </c>
      <c r="H141" s="298">
        <f>TRUNC(IFERROR(F141*G141,"-"),2)</f>
        <v>119.96</v>
      </c>
    </row>
    <row r="142" spans="2:8">
      <c r="B142" s="174" t="s">
        <v>859</v>
      </c>
      <c r="C142" s="175"/>
      <c r="D142" s="176"/>
      <c r="E142" s="156" t="s">
        <v>484</v>
      </c>
      <c r="F142" s="295">
        <v>1</v>
      </c>
      <c r="G142" s="295">
        <f>H143</f>
        <v>312.95999999999998</v>
      </c>
      <c r="H142" s="296">
        <f>G142*F142</f>
        <v>312.95999999999998</v>
      </c>
    </row>
    <row r="143" spans="2:8">
      <c r="B143" s="178" t="s">
        <v>489</v>
      </c>
      <c r="C143" s="179"/>
      <c r="D143" s="180"/>
      <c r="E143" s="157" t="s">
        <v>490</v>
      </c>
      <c r="F143" s="295">
        <f>F140</f>
        <v>26.08</v>
      </c>
      <c r="G143" s="295">
        <f>VLOOKUP(B143,Tabela3[[#All],[descrição]:[fonte]],4,FALSE)</f>
        <v>12</v>
      </c>
      <c r="H143" s="299">
        <f>TRUNC(F143*G143,2)</f>
        <v>312.95999999999998</v>
      </c>
    </row>
    <row r="144" spans="2:8">
      <c r="B144" s="181" t="s">
        <v>491</v>
      </c>
      <c r="C144" s="182"/>
      <c r="D144" s="183"/>
      <c r="E144" s="134" t="s">
        <v>484</v>
      </c>
      <c r="F144" s="38">
        <v>1</v>
      </c>
      <c r="G144" s="38">
        <f>VLOOKUP(B144,Tabela3[[#All],[descrição]:[fonte]],4,FALSE)</f>
        <v>220</v>
      </c>
      <c r="H144" s="288">
        <f>G144*F144</f>
        <v>220</v>
      </c>
    </row>
    <row r="145" spans="2:8">
      <c r="B145" s="300" t="s">
        <v>384</v>
      </c>
      <c r="C145" s="301"/>
      <c r="D145" s="301"/>
      <c r="E145" s="301"/>
      <c r="F145" s="301"/>
      <c r="G145" s="301"/>
      <c r="H145" s="503">
        <f>D19</f>
        <v>1</v>
      </c>
    </row>
    <row r="146" spans="2:8" ht="15.75" thickBot="1">
      <c r="B146" s="303" t="s">
        <v>854</v>
      </c>
      <c r="C146" s="304"/>
      <c r="D146" s="304"/>
      <c r="E146" s="304"/>
      <c r="F146" s="304"/>
      <c r="G146" s="304"/>
      <c r="H146" s="305">
        <f>H145*H120</f>
        <v>3442.54</v>
      </c>
    </row>
    <row r="148" spans="2:8" ht="15.75" thickBot="1">
      <c r="B148" s="309" t="s">
        <v>986</v>
      </c>
    </row>
    <row r="149" spans="2:8">
      <c r="B149" s="277" t="s">
        <v>729</v>
      </c>
      <c r="C149" s="278"/>
      <c r="D149" s="278"/>
      <c r="E149" s="278"/>
      <c r="F149" s="278"/>
      <c r="G149" s="279"/>
      <c r="H149" s="280">
        <f>H165+H167+H171+H173</f>
        <v>3960.4700000000003</v>
      </c>
    </row>
    <row r="150" spans="2:8">
      <c r="B150" s="281" t="str">
        <f>CONCATENATE("Salário - ",B149)</f>
        <v>Salário - Motorista</v>
      </c>
      <c r="C150" s="168"/>
      <c r="D150" s="169"/>
      <c r="E150" s="112" t="s">
        <v>466</v>
      </c>
      <c r="F150" s="112">
        <v>1</v>
      </c>
      <c r="G150" s="38">
        <f>VLOOKUP(B150,Tabela3[[#All],[descrição]:[fonte]],4,FALSE)</f>
        <v>1742.04</v>
      </c>
      <c r="H150" s="282">
        <f>TRUNC(F150*G150,2)</f>
        <v>1742.04</v>
      </c>
    </row>
    <row r="151" spans="2:8">
      <c r="B151" s="170" t="s">
        <v>855</v>
      </c>
      <c r="C151" s="24"/>
      <c r="D151" s="24"/>
      <c r="E151" s="97" t="s">
        <v>466</v>
      </c>
      <c r="F151" s="97">
        <v>1</v>
      </c>
      <c r="G151" s="38">
        <f>VLOOKUP(B151,Tabela3[[#All],[descrição]:[fonte]],4,FALSE)</f>
        <v>1045</v>
      </c>
      <c r="H151" s="283"/>
    </row>
    <row r="152" spans="2:8">
      <c r="B152" s="170" t="s">
        <v>468</v>
      </c>
      <c r="C152" s="24"/>
      <c r="D152" s="24"/>
      <c r="E152" s="97" t="s">
        <v>469</v>
      </c>
      <c r="F152" s="152"/>
      <c r="G152" s="96"/>
      <c r="H152" s="151"/>
    </row>
    <row r="153" spans="2:8">
      <c r="B153" s="170"/>
      <c r="C153" s="24"/>
      <c r="D153" s="24"/>
      <c r="E153" s="97" t="s">
        <v>470</v>
      </c>
      <c r="F153" s="38">
        <f>F152*8/7</f>
        <v>0</v>
      </c>
      <c r="G153" s="284">
        <f>G150/220*0.2</f>
        <v>1.5836727272727273</v>
      </c>
      <c r="H153" s="283">
        <f>TRUNC(F153*G153,2)</f>
        <v>0</v>
      </c>
    </row>
    <row r="154" spans="2:8">
      <c r="B154" s="170" t="s">
        <v>471</v>
      </c>
      <c r="C154" s="24"/>
      <c r="D154" s="24"/>
      <c r="E154" s="97" t="s">
        <v>472</v>
      </c>
      <c r="F154" s="152"/>
      <c r="G154" s="38">
        <f>G150/220*2</f>
        <v>15.836727272727272</v>
      </c>
      <c r="H154" s="283">
        <f>TRUNC(F154*G154,2)</f>
        <v>0</v>
      </c>
    </row>
    <row r="155" spans="2:8">
      <c r="B155" s="170" t="s">
        <v>473</v>
      </c>
      <c r="C155" s="24"/>
      <c r="D155" s="24"/>
      <c r="E155" s="97" t="s">
        <v>469</v>
      </c>
      <c r="F155" s="152"/>
      <c r="G155" s="38"/>
      <c r="H155" s="283"/>
    </row>
    <row r="156" spans="2:8">
      <c r="B156" s="170"/>
      <c r="C156" s="24"/>
      <c r="D156" s="24"/>
      <c r="E156" s="97" t="s">
        <v>470</v>
      </c>
      <c r="F156" s="38">
        <f>F155*8/7</f>
        <v>0</v>
      </c>
      <c r="G156" s="38">
        <f>G150/220*2*1.2</f>
        <v>19.004072727272725</v>
      </c>
      <c r="H156" s="283">
        <f>TRUNC(F156*G156,2)</f>
        <v>0</v>
      </c>
    </row>
    <row r="157" spans="2:8">
      <c r="B157" s="170" t="s">
        <v>474</v>
      </c>
      <c r="C157" s="24"/>
      <c r="D157" s="24"/>
      <c r="E157" s="97" t="s">
        <v>472</v>
      </c>
      <c r="F157" s="152"/>
      <c r="G157" s="38">
        <f>G150/220*1.5</f>
        <v>11.877545454545453</v>
      </c>
      <c r="H157" s="283">
        <f>TRUNC(F157*G157,2)</f>
        <v>0</v>
      </c>
    </row>
    <row r="158" spans="2:8">
      <c r="B158" s="170" t="s">
        <v>475</v>
      </c>
      <c r="C158" s="24"/>
      <c r="D158" s="24"/>
      <c r="E158" s="97" t="s">
        <v>469</v>
      </c>
      <c r="F158" s="152"/>
      <c r="G158" s="38"/>
      <c r="H158" s="283"/>
    </row>
    <row r="159" spans="2:8">
      <c r="B159" s="170"/>
      <c r="C159" s="24"/>
      <c r="D159" s="24"/>
      <c r="E159" s="97" t="s">
        <v>470</v>
      </c>
      <c r="F159" s="38">
        <f>F158*8/7</f>
        <v>0</v>
      </c>
      <c r="G159" s="38">
        <f>G150/220*1.5*1.2</f>
        <v>14.253054545454544</v>
      </c>
      <c r="H159" s="283">
        <f>TRUNC(F159*G159,2)</f>
        <v>0</v>
      </c>
    </row>
    <row r="160" spans="2:8">
      <c r="B160" s="170" t="s">
        <v>476</v>
      </c>
      <c r="C160" s="24"/>
      <c r="D160" s="24"/>
      <c r="E160" s="97" t="s">
        <v>477</v>
      </c>
      <c r="F160" s="96"/>
      <c r="G160" s="38">
        <f>TRUNC(((52+9)/304)*(SUM(H154:H159)),2)</f>
        <v>0</v>
      </c>
      <c r="H160" s="283">
        <f>G160</f>
        <v>0</v>
      </c>
    </row>
    <row r="161" spans="2:8">
      <c r="B161" s="170" t="s">
        <v>478</v>
      </c>
      <c r="C161" s="24"/>
      <c r="D161" s="24"/>
      <c r="E161" s="97"/>
      <c r="F161" s="285">
        <v>1</v>
      </c>
      <c r="G161" s="38"/>
      <c r="H161" s="283"/>
    </row>
    <row r="162" spans="2:8">
      <c r="B162" s="170" t="s">
        <v>479</v>
      </c>
      <c r="C162" s="24"/>
      <c r="D162" s="24"/>
      <c r="E162" s="97" t="s">
        <v>480</v>
      </c>
      <c r="F162" s="286">
        <f>VLOOKUP(B150,Tabela3[[#All],[descrição]:[fonte]],3,FALSE)</f>
        <v>20</v>
      </c>
      <c r="G162" s="38">
        <f>IF(F161=2,SUM(H150:H160),IF(F161=1,SUM(H150:H160)*G151/G150,0))</f>
        <v>1045</v>
      </c>
      <c r="H162" s="283">
        <f>TRUNC(F162*G162/100,2)</f>
        <v>209</v>
      </c>
    </row>
    <row r="163" spans="2:8">
      <c r="B163" s="171" t="s">
        <v>481</v>
      </c>
      <c r="C163" s="24"/>
      <c r="D163" s="24"/>
      <c r="E163" s="134"/>
      <c r="F163" s="134"/>
      <c r="G163" s="287"/>
      <c r="H163" s="288">
        <f>SUM(H150:H162)</f>
        <v>1951.04</v>
      </c>
    </row>
    <row r="164" spans="2:8">
      <c r="B164" s="172" t="s">
        <v>482</v>
      </c>
      <c r="C164" s="184"/>
      <c r="D164" s="185"/>
      <c r="E164" s="154" t="s">
        <v>480</v>
      </c>
      <c r="F164" s="41">
        <f>VLOOKUP(B164,Tabela3[[#All],[descrição]:[fonte]],4,FALSE)</f>
        <v>70.489999999999995</v>
      </c>
      <c r="G164" s="41">
        <f>H163</f>
        <v>1951.04</v>
      </c>
      <c r="H164" s="289">
        <f>TRUNC(G164*F164/100,2)</f>
        <v>1375.28</v>
      </c>
    </row>
    <row r="165" spans="2:8">
      <c r="B165" s="173" t="s">
        <v>861</v>
      </c>
      <c r="C165" s="24"/>
      <c r="D165" s="24"/>
      <c r="E165" s="155"/>
      <c r="F165" s="155"/>
      <c r="G165" s="290"/>
      <c r="H165" s="291">
        <f>TRUNC(H163+H164,2)</f>
        <v>3326.32</v>
      </c>
    </row>
    <row r="166" spans="2:8" ht="15.75">
      <c r="B166" s="292" t="s">
        <v>483</v>
      </c>
      <c r="C166" s="293"/>
      <c r="D166" s="293"/>
      <c r="E166" s="293"/>
      <c r="F166" s="293"/>
      <c r="G166" s="293"/>
      <c r="H166" s="294"/>
    </row>
    <row r="167" spans="2:8">
      <c r="B167" s="174" t="s">
        <v>860</v>
      </c>
      <c r="C167" s="175"/>
      <c r="D167" s="176"/>
      <c r="E167" s="156" t="s">
        <v>484</v>
      </c>
      <c r="F167" s="295">
        <v>1</v>
      </c>
      <c r="G167" s="295">
        <f>H170</f>
        <v>101.19</v>
      </c>
      <c r="H167" s="296">
        <f>TRUNC(G167*F167,2)</f>
        <v>101.19</v>
      </c>
    </row>
    <row r="168" spans="2:8">
      <c r="B168" s="170" t="s">
        <v>485</v>
      </c>
      <c r="C168" s="24"/>
      <c r="D168" s="24"/>
      <c r="E168" s="97" t="s">
        <v>477</v>
      </c>
      <c r="F168" s="38">
        <v>1</v>
      </c>
      <c r="G168" s="38">
        <f>VLOOKUP(B168,Tabela3[[#All],[descrição]:[fonte]],4,FALSE)</f>
        <v>3.95</v>
      </c>
      <c r="H168" s="283"/>
    </row>
    <row r="169" spans="2:8">
      <c r="B169" s="170" t="s">
        <v>486</v>
      </c>
      <c r="C169" s="24"/>
      <c r="D169" s="24"/>
      <c r="E169" s="97" t="s">
        <v>487</v>
      </c>
      <c r="F169" s="38">
        <f>ROUND((9+304)/12,2)</f>
        <v>26.08</v>
      </c>
      <c r="G169" s="38"/>
      <c r="H169" s="283"/>
    </row>
    <row r="170" spans="2:8">
      <c r="B170" s="177" t="str">
        <f>CONCATENATE("Vale Transporte - ",B149)</f>
        <v>Vale Transporte - Motorista</v>
      </c>
      <c r="C170" s="24"/>
      <c r="D170" s="24"/>
      <c r="E170" s="102" t="s">
        <v>488</v>
      </c>
      <c r="F170" s="297">
        <f>F169*2*1</f>
        <v>52.16</v>
      </c>
      <c r="G170" s="297">
        <f>IF(TRUNC(IFERROR(((G168)-((G150*0.06)/(F169*2))),"-"),2)&lt;=0,0,TRUNC(IFERROR(((G168)-((G150*0.06)/(F169*2))),"-"),2))</f>
        <v>1.94</v>
      </c>
      <c r="H170" s="298">
        <f>TRUNC(IFERROR(F170*G170,"-"),2)</f>
        <v>101.19</v>
      </c>
    </row>
    <row r="171" spans="2:8">
      <c r="B171" s="174" t="s">
        <v>859</v>
      </c>
      <c r="C171" s="175"/>
      <c r="D171" s="176"/>
      <c r="E171" s="156" t="s">
        <v>484</v>
      </c>
      <c r="F171" s="295">
        <v>1</v>
      </c>
      <c r="G171" s="295">
        <f>H172</f>
        <v>312.95999999999998</v>
      </c>
      <c r="H171" s="296">
        <f>G171*F171</f>
        <v>312.95999999999998</v>
      </c>
    </row>
    <row r="172" spans="2:8">
      <c r="B172" s="178" t="s">
        <v>489</v>
      </c>
      <c r="C172" s="179"/>
      <c r="D172" s="180"/>
      <c r="E172" s="157" t="s">
        <v>490</v>
      </c>
      <c r="F172" s="295">
        <f>F169</f>
        <v>26.08</v>
      </c>
      <c r="G172" s="295">
        <f>VLOOKUP(B172,Tabela3[[#All],[descrição]:[fonte]],4,FALSE)</f>
        <v>12</v>
      </c>
      <c r="H172" s="299">
        <f>TRUNC(F172*G172,2)</f>
        <v>312.95999999999998</v>
      </c>
    </row>
    <row r="173" spans="2:8">
      <c r="B173" s="181" t="s">
        <v>491</v>
      </c>
      <c r="C173" s="182"/>
      <c r="D173" s="183"/>
      <c r="E173" s="134" t="s">
        <v>484</v>
      </c>
      <c r="F173" s="38">
        <v>1</v>
      </c>
      <c r="G173" s="38">
        <f>VLOOKUP(B173,Tabela3[[#All],[descrição]:[fonte]],4,FALSE)</f>
        <v>220</v>
      </c>
      <c r="H173" s="288">
        <f>G173*F173</f>
        <v>220</v>
      </c>
    </row>
    <row r="174" spans="2:8">
      <c r="B174" s="300" t="s">
        <v>384</v>
      </c>
      <c r="C174" s="301"/>
      <c r="D174" s="301"/>
      <c r="E174" s="301"/>
      <c r="F174" s="301"/>
      <c r="G174" s="301"/>
      <c r="H174" s="503">
        <f>D20</f>
        <v>1</v>
      </c>
    </row>
    <row r="175" spans="2:8" ht="15.75" thickBot="1">
      <c r="B175" s="303" t="s">
        <v>854</v>
      </c>
      <c r="C175" s="304"/>
      <c r="D175" s="304"/>
      <c r="E175" s="304"/>
      <c r="F175" s="304"/>
      <c r="G175" s="304"/>
      <c r="H175" s="305">
        <f>H174*H149</f>
        <v>3960.4700000000003</v>
      </c>
    </row>
    <row r="176" spans="2:8" ht="15.75" thickBot="1"/>
    <row r="177" spans="2:8" ht="15.75" thickBot="1">
      <c r="B177" s="348" t="s">
        <v>598</v>
      </c>
      <c r="C177" s="312"/>
      <c r="D177" s="312"/>
      <c r="E177" s="312"/>
      <c r="F177" s="312"/>
      <c r="G177" s="312"/>
      <c r="H177" s="349">
        <f>H175+H146+H117+H88</f>
        <v>13161.63</v>
      </c>
    </row>
    <row r="179" spans="2:8">
      <c r="B179" s="309" t="s">
        <v>987</v>
      </c>
    </row>
    <row r="180" spans="2:8">
      <c r="B180" s="311" t="s">
        <v>563</v>
      </c>
      <c r="C180" s="312"/>
      <c r="D180" s="312"/>
      <c r="E180" s="312" t="s">
        <v>490</v>
      </c>
      <c r="F180" s="312" t="s">
        <v>561</v>
      </c>
      <c r="G180" s="312" t="s">
        <v>599</v>
      </c>
      <c r="H180" s="324" t="s">
        <v>600</v>
      </c>
    </row>
    <row r="181" spans="2:8">
      <c r="B181" s="311"/>
      <c r="C181" s="312"/>
      <c r="D181" s="312"/>
      <c r="E181" s="358"/>
      <c r="F181" s="312"/>
      <c r="G181" s="358"/>
      <c r="H181" s="324"/>
    </row>
    <row r="182" spans="2:8" ht="15.75" thickBot="1"/>
    <row r="183" spans="2:8" ht="15.75" thickBot="1">
      <c r="B183" s="348" t="s">
        <v>602</v>
      </c>
      <c r="C183" s="312"/>
      <c r="D183" s="312"/>
      <c r="E183" s="312"/>
      <c r="F183" s="312"/>
      <c r="G183" s="312"/>
      <c r="H183" s="349">
        <f>H181</f>
        <v>0</v>
      </c>
    </row>
    <row r="185" spans="2:8">
      <c r="B185" s="309" t="s">
        <v>988</v>
      </c>
    </row>
    <row r="186" spans="2:8">
      <c r="B186" s="309" t="s">
        <v>989</v>
      </c>
    </row>
    <row r="187" spans="2:8">
      <c r="B187" s="311" t="s">
        <v>563</v>
      </c>
      <c r="C187" s="312"/>
      <c r="D187" s="312"/>
      <c r="E187" s="312" t="s">
        <v>490</v>
      </c>
      <c r="F187" s="312"/>
      <c r="G187" s="312"/>
      <c r="H187" s="324" t="s">
        <v>600</v>
      </c>
    </row>
    <row r="188" spans="2:8">
      <c r="B188" s="357" t="s">
        <v>684</v>
      </c>
      <c r="C188" s="312"/>
      <c r="D188" s="312"/>
      <c r="E188" s="358" t="s">
        <v>616</v>
      </c>
      <c r="F188" s="312"/>
      <c r="G188" s="312"/>
      <c r="H188" s="465">
        <f>TRUNC(H192+H195+H198,2)</f>
        <v>47.01</v>
      </c>
    </row>
    <row r="189" spans="2:8">
      <c r="B189" s="315" t="s">
        <v>882</v>
      </c>
      <c r="C189" s="316"/>
      <c r="E189" s="350" t="s">
        <v>601</v>
      </c>
      <c r="F189" s="316"/>
      <c r="G189" s="316"/>
      <c r="H189" s="328">
        <f>VLOOKUP(B188,Tabela1[[#All],[ITENS PARA ORÇAMENTO]:[MEDIANA]],11,FALSE)</f>
        <v>1359</v>
      </c>
    </row>
    <row r="190" spans="2:8">
      <c r="B190" s="318" t="s">
        <v>605</v>
      </c>
      <c r="E190" s="353" t="s">
        <v>615</v>
      </c>
      <c r="H190" s="331">
        <f>G32/12</f>
        <v>3</v>
      </c>
    </row>
    <row r="191" spans="2:8">
      <c r="B191" s="318" t="s">
        <v>606</v>
      </c>
      <c r="E191" s="353" t="s">
        <v>615</v>
      </c>
      <c r="H191" s="331">
        <v>0</v>
      </c>
    </row>
    <row r="192" spans="2:8">
      <c r="B192" s="348" t="s">
        <v>607</v>
      </c>
      <c r="C192" s="312"/>
      <c r="D192" s="312"/>
      <c r="E192" s="358" t="s">
        <v>616</v>
      </c>
      <c r="F192" s="312"/>
      <c r="G192" s="312"/>
      <c r="H192" s="359">
        <f>TRUNC((H189-H194)/H190/12,2)</f>
        <v>26.42</v>
      </c>
    </row>
    <row r="193" spans="2:8">
      <c r="B193" s="318" t="s">
        <v>608</v>
      </c>
      <c r="E193" s="353" t="s">
        <v>480</v>
      </c>
      <c r="H193" s="360">
        <v>0.3</v>
      </c>
    </row>
    <row r="194" spans="2:8">
      <c r="B194" s="318" t="s">
        <v>609</v>
      </c>
      <c r="E194" s="353" t="s">
        <v>477</v>
      </c>
      <c r="H194" s="331">
        <f>H193*H189</f>
        <v>407.7</v>
      </c>
    </row>
    <row r="195" spans="2:8">
      <c r="B195" s="348" t="s">
        <v>610</v>
      </c>
      <c r="C195" s="312"/>
      <c r="D195" s="312"/>
      <c r="E195" s="358" t="s">
        <v>616</v>
      </c>
      <c r="F195" s="312"/>
      <c r="G195" s="312"/>
      <c r="H195" s="359">
        <f>TRUNC(((1+H196)^(1/12)-1)*H197,2)</f>
        <v>1.72</v>
      </c>
    </row>
    <row r="196" spans="2:8">
      <c r="B196" s="318" t="s">
        <v>612</v>
      </c>
      <c r="E196" s="353" t="s">
        <v>480</v>
      </c>
      <c r="H196" s="328">
        <f>VLOOKUP(B196,Tabela1[[#All],[ITENS PARA ORÇAMENTO]:[MEDIANA]],11,FALSE)</f>
        <v>0.02</v>
      </c>
    </row>
    <row r="197" spans="2:8">
      <c r="B197" s="318" t="s">
        <v>611</v>
      </c>
      <c r="E197" s="353" t="s">
        <v>477</v>
      </c>
      <c r="H197" s="361">
        <f>H194+((((H190-H191)+1)*(H189-H194))/(2*(H190-H191)))</f>
        <v>1041.8999999999999</v>
      </c>
    </row>
    <row r="198" spans="2:8">
      <c r="B198" s="348" t="s">
        <v>613</v>
      </c>
      <c r="C198" s="312"/>
      <c r="D198" s="312"/>
      <c r="E198" s="358" t="s">
        <v>616</v>
      </c>
      <c r="F198" s="362" t="s">
        <v>874</v>
      </c>
      <c r="G198" s="363">
        <v>0.5</v>
      </c>
      <c r="H198" s="359">
        <f>TRUNC(H189*G198/(H190*12),2)</f>
        <v>18.87</v>
      </c>
    </row>
    <row r="199" spans="2:8">
      <c r="B199" s="348" t="s">
        <v>384</v>
      </c>
      <c r="C199" s="312"/>
      <c r="E199" s="358"/>
      <c r="F199" s="312"/>
      <c r="G199" s="312"/>
      <c r="H199" s="483">
        <f>H32</f>
        <v>1</v>
      </c>
    </row>
    <row r="200" spans="2:8">
      <c r="B200" s="348" t="s">
        <v>244</v>
      </c>
      <c r="C200" s="312"/>
      <c r="D200" s="312"/>
      <c r="E200" s="358" t="s">
        <v>616</v>
      </c>
      <c r="F200" s="312"/>
      <c r="G200" s="312"/>
      <c r="H200" s="359">
        <f>TRUNC(H199*H188,2)</f>
        <v>47.01</v>
      </c>
    </row>
    <row r="202" spans="2:8">
      <c r="B202" s="309" t="s">
        <v>990</v>
      </c>
    </row>
    <row r="203" spans="2:8">
      <c r="B203" s="311" t="s">
        <v>563</v>
      </c>
      <c r="C203" s="312"/>
      <c r="D203" s="312"/>
      <c r="E203" s="312" t="s">
        <v>490</v>
      </c>
      <c r="F203" s="312"/>
      <c r="G203" s="312"/>
      <c r="H203" s="324" t="s">
        <v>600</v>
      </c>
    </row>
    <row r="204" spans="2:8">
      <c r="B204" s="357" t="s">
        <v>682</v>
      </c>
      <c r="C204" s="312"/>
      <c r="D204" s="312"/>
      <c r="E204" s="358" t="s">
        <v>616</v>
      </c>
      <c r="F204" s="312"/>
      <c r="G204" s="312"/>
      <c r="H204" s="465">
        <f>TRUNC(H208+H211+H214,2)</f>
        <v>68.5</v>
      </c>
    </row>
    <row r="205" spans="2:8">
      <c r="B205" s="315" t="s">
        <v>882</v>
      </c>
      <c r="C205" s="316"/>
      <c r="E205" s="350" t="s">
        <v>601</v>
      </c>
      <c r="F205" s="316"/>
      <c r="G205" s="316"/>
      <c r="H205" s="328">
        <f>VLOOKUP(B204,Tabela1[[#All],[ITENS PARA ORÇAMENTO]:[MEDIANA]],11,FALSE)</f>
        <v>1980</v>
      </c>
    </row>
    <row r="206" spans="2:8">
      <c r="B206" s="318" t="s">
        <v>605</v>
      </c>
      <c r="E206" s="353" t="s">
        <v>615</v>
      </c>
      <c r="H206" s="331">
        <f>G33/12</f>
        <v>3</v>
      </c>
    </row>
    <row r="207" spans="2:8">
      <c r="B207" s="318" t="s">
        <v>606</v>
      </c>
      <c r="E207" s="353" t="s">
        <v>615</v>
      </c>
      <c r="H207" s="331">
        <v>0</v>
      </c>
    </row>
    <row r="208" spans="2:8">
      <c r="B208" s="348" t="s">
        <v>607</v>
      </c>
      <c r="C208" s="312"/>
      <c r="D208" s="312"/>
      <c r="E208" s="358" t="s">
        <v>616</v>
      </c>
      <c r="F208" s="312"/>
      <c r="G208" s="312"/>
      <c r="H208" s="359">
        <f>TRUNC((H205-H210)/H206/12,2)</f>
        <v>38.5</v>
      </c>
    </row>
    <row r="209" spans="2:8">
      <c r="B209" s="318" t="s">
        <v>608</v>
      </c>
      <c r="E209" s="353" t="s">
        <v>480</v>
      </c>
      <c r="H209" s="360">
        <v>0.3</v>
      </c>
    </row>
    <row r="210" spans="2:8">
      <c r="B210" s="318" t="s">
        <v>609</v>
      </c>
      <c r="E210" s="353" t="s">
        <v>477</v>
      </c>
      <c r="H210" s="331">
        <f>H209*H205</f>
        <v>594</v>
      </c>
    </row>
    <row r="211" spans="2:8">
      <c r="B211" s="348" t="s">
        <v>610</v>
      </c>
      <c r="C211" s="312"/>
      <c r="D211" s="312"/>
      <c r="E211" s="358" t="s">
        <v>616</v>
      </c>
      <c r="F211" s="312"/>
      <c r="G211" s="312"/>
      <c r="H211" s="359">
        <f>TRUNC(((1+H212)^(1/12)-1)*H213,2)</f>
        <v>2.5</v>
      </c>
    </row>
    <row r="212" spans="2:8">
      <c r="B212" s="318" t="s">
        <v>612</v>
      </c>
      <c r="E212" s="353" t="s">
        <v>480</v>
      </c>
      <c r="H212" s="328">
        <f>VLOOKUP(B212,Tabela1[[#All],[ITENS PARA ORÇAMENTO]:[MEDIANA]],11,FALSE)</f>
        <v>0.02</v>
      </c>
    </row>
    <row r="213" spans="2:8">
      <c r="B213" s="318" t="s">
        <v>611</v>
      </c>
      <c r="E213" s="353" t="s">
        <v>477</v>
      </c>
      <c r="H213" s="361">
        <f>H210+((((H206-H207)+1)*(H205-H210))/(2*(H206-H207)))</f>
        <v>1518</v>
      </c>
    </row>
    <row r="214" spans="2:8">
      <c r="B214" s="348" t="s">
        <v>613</v>
      </c>
      <c r="C214" s="312"/>
      <c r="D214" s="312"/>
      <c r="E214" s="358" t="s">
        <v>616</v>
      </c>
      <c r="F214" s="362" t="s">
        <v>874</v>
      </c>
      <c r="G214" s="363">
        <v>0.5</v>
      </c>
      <c r="H214" s="359">
        <f>TRUNC(H205*G214/(H206*12),2)</f>
        <v>27.5</v>
      </c>
    </row>
    <row r="215" spans="2:8">
      <c r="B215" s="348" t="s">
        <v>384</v>
      </c>
      <c r="C215" s="312"/>
      <c r="E215" s="358"/>
      <c r="F215" s="312"/>
      <c r="G215" s="312"/>
      <c r="H215" s="483">
        <f>H33</f>
        <v>1</v>
      </c>
    </row>
    <row r="216" spans="2:8">
      <c r="B216" s="348" t="s">
        <v>244</v>
      </c>
      <c r="C216" s="312"/>
      <c r="D216" s="312"/>
      <c r="E216" s="358" t="s">
        <v>616</v>
      </c>
      <c r="F216" s="312"/>
      <c r="G216" s="312"/>
      <c r="H216" s="359">
        <f>TRUNC(H215*H204,2)</f>
        <v>68.5</v>
      </c>
    </row>
    <row r="217" spans="2:8" ht="15.75" thickBot="1"/>
    <row r="218" spans="2:8" ht="15.75" thickBot="1">
      <c r="B218" s="348" t="s">
        <v>636</v>
      </c>
      <c r="C218" s="312"/>
      <c r="D218" s="312"/>
      <c r="E218" s="312"/>
      <c r="F218" s="312"/>
      <c r="G218" s="312"/>
      <c r="H218" s="349">
        <f>H216+H200</f>
        <v>115.50999999999999</v>
      </c>
    </row>
    <row r="220" spans="2:8">
      <c r="B220" s="309" t="s">
        <v>991</v>
      </c>
    </row>
    <row r="221" spans="2:8">
      <c r="B221" s="311" t="s">
        <v>563</v>
      </c>
      <c r="C221" s="312"/>
      <c r="D221" s="312"/>
      <c r="E221" s="312" t="s">
        <v>490</v>
      </c>
      <c r="F221" s="312" t="s">
        <v>561</v>
      </c>
      <c r="G221" s="312" t="s">
        <v>599</v>
      </c>
      <c r="H221" s="324" t="s">
        <v>600</v>
      </c>
    </row>
    <row r="222" spans="2:8">
      <c r="B222" s="315" t="str">
        <f t="shared" ref="B222:B234" si="1">B38</f>
        <v>Jaqueta com reflexivo</v>
      </c>
      <c r="C222" s="316"/>
      <c r="D222" s="316"/>
      <c r="E222" s="350" t="s">
        <v>601</v>
      </c>
      <c r="F222" s="466">
        <f t="shared" ref="F222:F234" si="2">H38</f>
        <v>0.33</v>
      </c>
      <c r="G222" s="330">
        <f>VLOOKUP(B222,Tabela1[[#All],[ITENS PARA ORÇAMENTO]:[MEDIANA]],11,FALSE)</f>
        <v>132.91</v>
      </c>
      <c r="H222" s="351">
        <f>TRUNC(G222*F222,2)</f>
        <v>43.86</v>
      </c>
    </row>
    <row r="223" spans="2:8">
      <c r="B223" s="318" t="str">
        <f t="shared" si="1"/>
        <v>Calça de Brim</v>
      </c>
      <c r="E223" s="353" t="s">
        <v>601</v>
      </c>
      <c r="F223" s="467">
        <f t="shared" si="2"/>
        <v>1</v>
      </c>
      <c r="G223" s="330">
        <f>VLOOKUP(B223,Tabela1[[#All],[ITENS PARA ORÇAMENTO]:[MEDIANA]],11,FALSE)</f>
        <v>43.86</v>
      </c>
      <c r="H223" s="464">
        <f t="shared" ref="H223:H234" si="3">TRUNC(G223*F223,2)</f>
        <v>43.86</v>
      </c>
    </row>
    <row r="224" spans="2:8">
      <c r="B224" s="318" t="str">
        <f t="shared" si="1"/>
        <v>Camiseta manga longa com faixa reflexiva</v>
      </c>
      <c r="E224" s="353" t="s">
        <v>601</v>
      </c>
      <c r="F224" s="467">
        <f t="shared" si="2"/>
        <v>1</v>
      </c>
      <c r="G224" s="330">
        <f>VLOOKUP(B224,Tabela1[[#All],[ITENS PARA ORÇAMENTO]:[MEDIANA]],11,FALSE)</f>
        <v>43.02</v>
      </c>
      <c r="H224" s="464">
        <f t="shared" si="3"/>
        <v>43.02</v>
      </c>
    </row>
    <row r="225" spans="2:8">
      <c r="B225" s="318" t="str">
        <f t="shared" si="1"/>
        <v>Boné de Brim</v>
      </c>
      <c r="E225" s="353" t="s">
        <v>601</v>
      </c>
      <c r="F225" s="467">
        <f t="shared" si="2"/>
        <v>0.66</v>
      </c>
      <c r="G225" s="330">
        <f>VLOOKUP(B225,Tabela1[[#All],[ITENS PARA ORÇAMENTO]:[MEDIANA]],11,FALSE)</f>
        <v>17.59</v>
      </c>
      <c r="H225" s="464">
        <f t="shared" si="3"/>
        <v>11.6</v>
      </c>
    </row>
    <row r="226" spans="2:8">
      <c r="B226" s="318" t="str">
        <f t="shared" si="1"/>
        <v>Botina De Segurança C/ Ponta E Biqueira Com Sola Antiderrapante</v>
      </c>
      <c r="E226" s="353" t="s">
        <v>495</v>
      </c>
      <c r="F226" s="467">
        <f t="shared" si="2"/>
        <v>1</v>
      </c>
      <c r="G226" s="330">
        <f>VLOOKUP(B226,Tabela1[[#All],[ITENS PARA ORÇAMENTO]:[MEDIANA]],11,FALSE)</f>
        <v>57.7</v>
      </c>
      <c r="H226" s="464">
        <f t="shared" si="3"/>
        <v>57.7</v>
      </c>
    </row>
    <row r="227" spans="2:8">
      <c r="B227" s="318" t="str">
        <f t="shared" si="1"/>
        <v>Capa de chuva amarela com reflexivo</v>
      </c>
      <c r="E227" s="353" t="s">
        <v>601</v>
      </c>
      <c r="F227" s="467">
        <f t="shared" si="2"/>
        <v>0.66</v>
      </c>
      <c r="G227" s="330">
        <f>VLOOKUP(B227,Tabela1[[#All],[ITENS PARA ORÇAMENTO]:[MEDIANA]],11,FALSE)</f>
        <v>23</v>
      </c>
      <c r="H227" s="464">
        <f t="shared" si="3"/>
        <v>15.18</v>
      </c>
    </row>
    <row r="228" spans="2:8">
      <c r="B228" s="318" t="str">
        <f t="shared" si="1"/>
        <v>Colete reflexivo</v>
      </c>
      <c r="E228" s="353" t="s">
        <v>601</v>
      </c>
      <c r="F228" s="467">
        <f t="shared" si="2"/>
        <v>0.66</v>
      </c>
      <c r="G228" s="330">
        <f>VLOOKUP(B228,Tabela1[[#All],[ITENS PARA ORÇAMENTO]:[MEDIANA]],11,FALSE)</f>
        <v>19.989999999999998</v>
      </c>
      <c r="H228" s="464">
        <f t="shared" si="3"/>
        <v>13.19</v>
      </c>
    </row>
    <row r="229" spans="2:8">
      <c r="B229" s="318" t="str">
        <f t="shared" si="1"/>
        <v>Luva Tricotada com revestimento Nitrílico</v>
      </c>
      <c r="E229" s="353" t="s">
        <v>495</v>
      </c>
      <c r="F229" s="467">
        <f t="shared" si="2"/>
        <v>2.66</v>
      </c>
      <c r="G229" s="330">
        <f>VLOOKUP(B229,Tabela1[[#All],[ITENS PARA ORÇAMENTO]:[MEDIANA]],11,FALSE)</f>
        <v>9.99</v>
      </c>
      <c r="H229" s="464">
        <f t="shared" si="3"/>
        <v>26.57</v>
      </c>
    </row>
    <row r="230" spans="2:8">
      <c r="B230" s="318" t="str">
        <f t="shared" si="1"/>
        <v>Recipiente térmico para água (5L)</v>
      </c>
      <c r="E230" s="353" t="s">
        <v>601</v>
      </c>
      <c r="F230" s="467">
        <f t="shared" si="2"/>
        <v>0.05</v>
      </c>
      <c r="G230" s="330">
        <f>VLOOKUP(B230,Tabela1[[#All],[ITENS PARA ORÇAMENTO]:[MEDIANA]],11,FALSE)</f>
        <v>29.86</v>
      </c>
      <c r="H230" s="464">
        <f t="shared" si="3"/>
        <v>1.49</v>
      </c>
    </row>
    <row r="231" spans="2:8">
      <c r="B231" s="318" t="str">
        <f t="shared" si="1"/>
        <v>Protetor solar FPS 30</v>
      </c>
      <c r="E231" s="353" t="s">
        <v>601</v>
      </c>
      <c r="F231" s="467">
        <f t="shared" si="2"/>
        <v>4</v>
      </c>
      <c r="G231" s="330">
        <f>VLOOKUP(B231,Tabela1[[#All],[ITENS PARA ORÇAMENTO]:[MEDIANA]],11,FALSE)</f>
        <v>9.65</v>
      </c>
      <c r="H231" s="464">
        <f t="shared" si="3"/>
        <v>38.6</v>
      </c>
    </row>
    <row r="232" spans="2:8">
      <c r="B232" s="318" t="str">
        <f t="shared" si="1"/>
        <v>Óculos de Proteção</v>
      </c>
      <c r="E232" s="353" t="s">
        <v>601</v>
      </c>
      <c r="F232" s="467">
        <f t="shared" si="2"/>
        <v>0.33</v>
      </c>
      <c r="G232" s="330">
        <f>VLOOKUP(B232,Tabela1[[#All],[ITENS PARA ORÇAMENTO]:[MEDIANA]],11,FALSE)</f>
        <v>6.66</v>
      </c>
      <c r="H232" s="464">
        <f t="shared" si="3"/>
        <v>2.19</v>
      </c>
    </row>
    <row r="233" spans="2:8">
      <c r="B233" s="318" t="str">
        <f t="shared" si="1"/>
        <v>Máscara tripla</v>
      </c>
      <c r="E233" s="353" t="s">
        <v>601</v>
      </c>
      <c r="F233" s="467">
        <f t="shared" si="2"/>
        <v>0.33</v>
      </c>
      <c r="G233" s="330">
        <f>VLOOKUP(B233,Tabela1[[#All],[ITENS PARA ORÇAMENTO]:[MEDIANA]],11,FALSE)</f>
        <v>1.1299999999999999</v>
      </c>
      <c r="H233" s="464">
        <f t="shared" si="3"/>
        <v>0.37</v>
      </c>
    </row>
    <row r="234" spans="2:8">
      <c r="B234" s="320" t="str">
        <f t="shared" si="1"/>
        <v>Protetor auricular</v>
      </c>
      <c r="C234" s="321"/>
      <c r="D234" s="321"/>
      <c r="E234" s="355" t="s">
        <v>495</v>
      </c>
      <c r="F234" s="468">
        <f t="shared" si="2"/>
        <v>0.33</v>
      </c>
      <c r="G234" s="333">
        <f>VLOOKUP(B234,Tabela1[[#All],[ITENS PARA ORÇAMENTO]:[MEDIANA]],11,FALSE)</f>
        <v>5.83</v>
      </c>
      <c r="H234" s="368">
        <f t="shared" si="3"/>
        <v>1.92</v>
      </c>
    </row>
    <row r="235" spans="2:8" ht="15.75" thickBot="1">
      <c r="B235" s="337" t="s">
        <v>595</v>
      </c>
    </row>
    <row r="236" spans="2:8" ht="15.75" thickBot="1">
      <c r="B236" s="348" t="s">
        <v>614</v>
      </c>
      <c r="C236" s="312"/>
      <c r="D236" s="312"/>
      <c r="E236" s="312"/>
      <c r="F236" s="312"/>
      <c r="G236" s="312"/>
      <c r="H236" s="349">
        <f>SUM(H222:H234)</f>
        <v>299.55000000000007</v>
      </c>
    </row>
    <row r="238" spans="2:8">
      <c r="B238" s="309" t="s">
        <v>992</v>
      </c>
    </row>
    <row r="239" spans="2:8" ht="15.75" thickBot="1">
      <c r="B239" s="309" t="s">
        <v>993</v>
      </c>
    </row>
    <row r="240" spans="2:8">
      <c r="B240" s="1509" t="s">
        <v>694</v>
      </c>
      <c r="C240" s="1510"/>
      <c r="D240" s="1510"/>
      <c r="E240" s="1511"/>
      <c r="F240" s="433">
        <f>VLOOKUP(B240,Tabela13[[#All],[Descrição]:[FONTE]],2,FALSE)</f>
        <v>0</v>
      </c>
      <c r="G240" s="434" t="s">
        <v>814</v>
      </c>
      <c r="H240" s="435">
        <f>TRUNC(H248+H259+H263+H267+H274+H279+H291,2)</f>
        <v>12458.72</v>
      </c>
    </row>
    <row r="241" spans="2:8">
      <c r="B241" s="1512" t="s">
        <v>799</v>
      </c>
      <c r="C241" s="1513"/>
      <c r="D241" s="1513"/>
      <c r="E241" s="1514"/>
      <c r="F241" s="97" t="s">
        <v>477</v>
      </c>
      <c r="G241" s="353"/>
      <c r="H241" s="100">
        <f>VLOOKUP(B240,Tabela13[[#All],[Descrição]:[FONTE]],3,FALSE)</f>
        <v>176000</v>
      </c>
    </row>
    <row r="242" spans="2:8">
      <c r="B242" s="1493" t="s">
        <v>800</v>
      </c>
      <c r="C242" s="1494"/>
      <c r="D242" s="1494"/>
      <c r="E242" s="1495"/>
      <c r="F242" s="97" t="s">
        <v>615</v>
      </c>
      <c r="G242" s="353"/>
      <c r="H242" s="100">
        <f>VLOOKUP(B240,Tabela13[[#All],[Descrição]:[FONTE]],4,FALSE)</f>
        <v>7</v>
      </c>
    </row>
    <row r="243" spans="2:8">
      <c r="B243" s="1493" t="s">
        <v>801</v>
      </c>
      <c r="C243" s="1494"/>
      <c r="D243" s="1494"/>
      <c r="E243" s="1495"/>
      <c r="F243" s="97" t="s">
        <v>615</v>
      </c>
      <c r="G243" s="353"/>
      <c r="H243" s="100">
        <f>VLOOKUP(B240,Tabela13[[#All],[Descrição]:[FONTE]],5,FALSE)</f>
        <v>0</v>
      </c>
    </row>
    <row r="244" spans="2:8">
      <c r="B244" s="1493" t="s">
        <v>802</v>
      </c>
      <c r="C244" s="1494"/>
      <c r="D244" s="1494"/>
      <c r="E244" s="1495"/>
      <c r="F244" s="97" t="s">
        <v>803</v>
      </c>
      <c r="G244" s="353"/>
      <c r="H244" s="100">
        <f>VLOOKUP(B240,Tabela13[[#All],[Descrição]:[FONTE]],8,FALSE)</f>
        <v>2000</v>
      </c>
    </row>
    <row r="245" spans="2:8">
      <c r="B245" s="1493" t="s">
        <v>804</v>
      </c>
      <c r="C245" s="1494"/>
      <c r="D245" s="1494"/>
      <c r="E245" s="1495"/>
      <c r="F245" s="97" t="s">
        <v>703</v>
      </c>
      <c r="G245" s="353"/>
      <c r="H245" s="100">
        <f>VLOOKUP(B240,Tabela13[[#All],[Descrição]:[FONTE]],9,FALSE)</f>
        <v>3000</v>
      </c>
    </row>
    <row r="246" spans="2:8">
      <c r="B246" s="1493" t="s">
        <v>805</v>
      </c>
      <c r="C246" s="1494"/>
      <c r="D246" s="1494"/>
      <c r="E246" s="1495"/>
      <c r="F246" s="97" t="s">
        <v>806</v>
      </c>
      <c r="G246" s="353"/>
      <c r="H246" s="100">
        <f>VLOOKUP(B240,Tabela13[[#All],[Descrição]:[FONTE]],11,FALSE)</f>
        <v>0.6</v>
      </c>
    </row>
    <row r="247" spans="2:8">
      <c r="B247" s="1493" t="s">
        <v>807</v>
      </c>
      <c r="C247" s="1494"/>
      <c r="D247" s="1494"/>
      <c r="E247" s="1495"/>
      <c r="F247" s="102" t="s">
        <v>808</v>
      </c>
      <c r="G247" s="355"/>
      <c r="H247" s="103">
        <f>VLOOKUP(B240,Tabela13[[#All],[Descrição]:[FONTE]],7,FALSE)</f>
        <v>190</v>
      </c>
    </row>
    <row r="248" spans="2:8" ht="15.75">
      <c r="B248" s="1496" t="s">
        <v>757</v>
      </c>
      <c r="C248" s="1497"/>
      <c r="D248" s="1497"/>
      <c r="E248" s="1498"/>
      <c r="F248" s="125" t="s">
        <v>814</v>
      </c>
      <c r="G248" s="293"/>
      <c r="H248" s="474">
        <f>IFERROR(TRUNC(H256+H258+(H250/12),2),0)</f>
        <v>0</v>
      </c>
    </row>
    <row r="249" spans="2:8">
      <c r="B249" s="1490"/>
      <c r="C249" s="1491"/>
      <c r="D249" s="1491"/>
      <c r="E249" s="1492"/>
      <c r="F249" s="475"/>
      <c r="G249" s="321"/>
      <c r="H249" s="484"/>
    </row>
    <row r="250" spans="2:8">
      <c r="B250" s="1512" t="s">
        <v>809</v>
      </c>
      <c r="C250" s="1513"/>
      <c r="D250" s="1513"/>
      <c r="E250" s="1514"/>
      <c r="F250" s="97" t="s">
        <v>477</v>
      </c>
      <c r="G250" s="353"/>
      <c r="H250" s="100">
        <f>IFERROR(VLOOKUP(B249,Tabela13[[#All],[Descrição]:[FONTE]],3,FALSE),0)</f>
        <v>0</v>
      </c>
    </row>
    <row r="251" spans="2:8">
      <c r="B251" s="1493" t="s">
        <v>800</v>
      </c>
      <c r="C251" s="1494"/>
      <c r="D251" s="1494"/>
      <c r="E251" s="1495"/>
      <c r="F251" s="97" t="s">
        <v>615</v>
      </c>
      <c r="G251" s="353"/>
      <c r="H251" s="100">
        <f>IFERROR(VLOOKUP(B249,Tabela13[[#All],[Descrição]:[FONTE]],4,FALSE),0)</f>
        <v>0</v>
      </c>
    </row>
    <row r="252" spans="2:8">
      <c r="B252" s="1493" t="s">
        <v>801</v>
      </c>
      <c r="C252" s="1494"/>
      <c r="D252" s="1494"/>
      <c r="E252" s="1495"/>
      <c r="F252" s="97" t="s">
        <v>615</v>
      </c>
      <c r="G252" s="353"/>
      <c r="H252" s="100">
        <f>IFERROR(VLOOKUP(B249,Tabela13[[#All],[Descrição]:[FONTE]],5,FALSE),0)</f>
        <v>0</v>
      </c>
    </row>
    <row r="253" spans="2:8">
      <c r="B253" s="1493" t="s">
        <v>810</v>
      </c>
      <c r="C253" s="1494"/>
      <c r="D253" s="1494"/>
      <c r="E253" s="1495"/>
      <c r="F253" s="97" t="s">
        <v>480</v>
      </c>
      <c r="G253" s="353"/>
      <c r="H253" s="437" t="str">
        <f>IFERROR(VLOOKUP(B249,Tabela13[[#All],[Descrição]:[FONTE]],6,FALSE),"")</f>
        <v/>
      </c>
    </row>
    <row r="254" spans="2:8">
      <c r="B254" s="1493" t="s">
        <v>811</v>
      </c>
      <c r="C254" s="1494"/>
      <c r="D254" s="1494"/>
      <c r="E254" s="1495"/>
      <c r="F254" s="97" t="s">
        <v>477</v>
      </c>
      <c r="G254" s="353"/>
      <c r="H254" s="100">
        <f>IFERROR(H253*H250,0)</f>
        <v>0</v>
      </c>
    </row>
    <row r="255" spans="2:8">
      <c r="B255" s="1493" t="s">
        <v>812</v>
      </c>
      <c r="C255" s="1494"/>
      <c r="D255" s="1494"/>
      <c r="E255" s="1495"/>
      <c r="F255" s="97" t="s">
        <v>477</v>
      </c>
      <c r="G255" s="353"/>
      <c r="H255" s="100">
        <f>IFERROR((H250-H254)/H251,0)</f>
        <v>0</v>
      </c>
    </row>
    <row r="256" spans="2:8">
      <c r="B256" s="1493" t="s">
        <v>813</v>
      </c>
      <c r="C256" s="1494"/>
      <c r="D256" s="1494"/>
      <c r="E256" s="1495"/>
      <c r="F256" s="97" t="s">
        <v>814</v>
      </c>
      <c r="G256" s="353"/>
      <c r="H256" s="100">
        <f>IFERROR(H255/12,0)</f>
        <v>0</v>
      </c>
    </row>
    <row r="257" spans="2:8">
      <c r="B257" s="1493" t="s">
        <v>815</v>
      </c>
      <c r="C257" s="1494"/>
      <c r="D257" s="1494"/>
      <c r="E257" s="1495"/>
      <c r="F257" s="97" t="s">
        <v>477</v>
      </c>
      <c r="G257" s="353"/>
      <c r="H257" s="100">
        <f>IFERROR((H251+1)/(2*H251)*H250,0)</f>
        <v>0</v>
      </c>
    </row>
    <row r="258" spans="2:8">
      <c r="B258" s="1493" t="s">
        <v>816</v>
      </c>
      <c r="C258" s="1494"/>
      <c r="D258" s="1494"/>
      <c r="E258" s="1495"/>
      <c r="F258" s="102" t="s">
        <v>814</v>
      </c>
      <c r="G258" s="355"/>
      <c r="H258" s="103">
        <f>IFERROR(H257*(((1+H264)^(1/12))-1),0)</f>
        <v>0</v>
      </c>
    </row>
    <row r="259" spans="2:8" ht="15" customHeight="1">
      <c r="B259" s="1501" t="s">
        <v>817</v>
      </c>
      <c r="C259" s="1502"/>
      <c r="D259" s="1502"/>
      <c r="E259" s="1502"/>
      <c r="F259" s="175" t="s">
        <v>814</v>
      </c>
      <c r="G259" s="438"/>
      <c r="H259" s="439">
        <f>TRUNC(H262,2)</f>
        <v>1466.66</v>
      </c>
    </row>
    <row r="260" spans="2:8">
      <c r="B260" s="1512" t="s">
        <v>810</v>
      </c>
      <c r="C260" s="1513"/>
      <c r="D260" s="1513"/>
      <c r="E260" s="1514"/>
      <c r="F260" s="112" t="s">
        <v>480</v>
      </c>
      <c r="G260" s="350"/>
      <c r="H260" s="440">
        <f>VLOOKUP(B240,Tabela13[[#All],[Descrição]:[FONTE]],6,FALSE)</f>
        <v>0.3</v>
      </c>
    </row>
    <row r="261" spans="2:8">
      <c r="B261" s="1493" t="s">
        <v>811</v>
      </c>
      <c r="C261" s="1494"/>
      <c r="D261" s="1494"/>
      <c r="E261" s="1495"/>
      <c r="F261" s="97" t="s">
        <v>477</v>
      </c>
      <c r="G261" s="353"/>
      <c r="H261" s="100">
        <f>H260*H241</f>
        <v>52800</v>
      </c>
    </row>
    <row r="262" spans="2:8">
      <c r="B262" s="1515" t="s">
        <v>817</v>
      </c>
      <c r="C262" s="1516"/>
      <c r="D262" s="1516"/>
      <c r="E262" s="1517"/>
      <c r="F262" s="102" t="s">
        <v>616</v>
      </c>
      <c r="G262" s="355"/>
      <c r="H262" s="441">
        <f>((H241-H261)/((H242*12)))</f>
        <v>1466.6666666666667</v>
      </c>
    </row>
    <row r="263" spans="2:8" ht="15" customHeight="1">
      <c r="B263" s="1501" t="s">
        <v>839</v>
      </c>
      <c r="C263" s="1502"/>
      <c r="D263" s="1502"/>
      <c r="E263" s="1503"/>
      <c r="F263" s="156" t="s">
        <v>814</v>
      </c>
      <c r="G263" s="438"/>
      <c r="H263" s="439">
        <f>TRUNC(H266,2)</f>
        <v>203.47</v>
      </c>
    </row>
    <row r="264" spans="2:8">
      <c r="B264" s="1512" t="s">
        <v>778</v>
      </c>
      <c r="C264" s="1513"/>
      <c r="D264" s="1513"/>
      <c r="E264" s="1514"/>
      <c r="F264" s="112" t="s">
        <v>480</v>
      </c>
      <c r="G264" s="350"/>
      <c r="H264" s="353">
        <f>VLOOKUP(B264,Tabela1[[#All],[ITENS PARA ORÇAMENTO]:[MEDIANA]],11,FALSE)</f>
        <v>0.02</v>
      </c>
    </row>
    <row r="265" spans="2:8">
      <c r="B265" s="1493" t="s">
        <v>815</v>
      </c>
      <c r="C265" s="1494"/>
      <c r="D265" s="1494"/>
      <c r="E265" s="1495"/>
      <c r="F265" s="97" t="s">
        <v>477</v>
      </c>
      <c r="G265" s="99"/>
      <c r="H265" s="100">
        <f>((((H242-H243)+1)*(H241-H261))/(2*(H242-H243)))+H261</f>
        <v>123200</v>
      </c>
    </row>
    <row r="266" spans="2:8">
      <c r="B266" s="1515" t="s">
        <v>818</v>
      </c>
      <c r="C266" s="1516"/>
      <c r="D266" s="1516"/>
      <c r="E266" s="1517"/>
      <c r="F266" s="102" t="s">
        <v>616</v>
      </c>
      <c r="G266" s="101"/>
      <c r="H266" s="103">
        <f>((1+H264)^(1/12)-1)*(H265)</f>
        <v>203.47481639657161</v>
      </c>
    </row>
    <row r="267" spans="2:8" ht="15" customHeight="1">
      <c r="B267" s="1501" t="s">
        <v>840</v>
      </c>
      <c r="C267" s="1502"/>
      <c r="D267" s="1502"/>
      <c r="E267" s="1503"/>
      <c r="F267" s="156" t="s">
        <v>814</v>
      </c>
      <c r="G267" s="442"/>
      <c r="H267" s="436">
        <f>TRUNC(H273,2)</f>
        <v>715.33</v>
      </c>
    </row>
    <row r="268" spans="2:8">
      <c r="B268" s="1512" t="s">
        <v>819</v>
      </c>
      <c r="C268" s="1513"/>
      <c r="D268" s="1513"/>
      <c r="E268" s="1514"/>
      <c r="F268" s="112" t="s">
        <v>814</v>
      </c>
      <c r="G268" s="443">
        <f>IFERROR((H257+H265),IFERROR(H265,H257))</f>
        <v>123200</v>
      </c>
      <c r="H268" s="198">
        <f>(H269*G268)</f>
        <v>2464</v>
      </c>
    </row>
    <row r="269" spans="2:8">
      <c r="B269" s="1493" t="s">
        <v>766</v>
      </c>
      <c r="C269" s="1494"/>
      <c r="D269" s="1494"/>
      <c r="E269" s="1495"/>
      <c r="F269" s="97" t="s">
        <v>480</v>
      </c>
      <c r="G269" s="444"/>
      <c r="H269" s="437">
        <f>VLOOKUP(B269,Tabela13[[#All],[Descrição]:[FONTE]],17,FALSE)</f>
        <v>0.02</v>
      </c>
    </row>
    <row r="270" spans="2:8">
      <c r="B270" s="1493" t="s">
        <v>820</v>
      </c>
      <c r="C270" s="1494"/>
      <c r="D270" s="1494"/>
      <c r="E270" s="1495"/>
      <c r="F270" s="97" t="s">
        <v>477</v>
      </c>
      <c r="G270" s="444"/>
      <c r="H270" s="100">
        <f>VLOOKUP(B240,Tabela13[[#All],[Descrição]:[FONTE]],14,FALSE)</f>
        <v>100</v>
      </c>
    </row>
    <row r="271" spans="2:8">
      <c r="B271" s="1493" t="s">
        <v>821</v>
      </c>
      <c r="C271" s="1494"/>
      <c r="D271" s="1494"/>
      <c r="E271" s="1495"/>
      <c r="F271" s="97" t="s">
        <v>477</v>
      </c>
      <c r="G271" s="444"/>
      <c r="H271" s="100">
        <f>VLOOKUP(B240,Tabela13[[#All],[Descrição]:[FONTE]],15,FALSE)</f>
        <v>20</v>
      </c>
    </row>
    <row r="272" spans="2:8">
      <c r="B272" s="1493" t="s">
        <v>822</v>
      </c>
      <c r="C272" s="1494"/>
      <c r="D272" s="1494"/>
      <c r="E272" s="1495"/>
      <c r="F272" s="97" t="s">
        <v>477</v>
      </c>
      <c r="G272" s="445"/>
      <c r="H272" s="100">
        <f>VLOOKUP(B240,Tabela13[[#All],[Descrição]:[FONTE]],16,FALSE)</f>
        <v>6000</v>
      </c>
    </row>
    <row r="273" spans="2:8">
      <c r="B273" s="1493" t="s">
        <v>823</v>
      </c>
      <c r="C273" s="1494"/>
      <c r="D273" s="1494"/>
      <c r="E273" s="1495"/>
      <c r="F273" s="102" t="s">
        <v>616</v>
      </c>
      <c r="G273" s="446"/>
      <c r="H273" s="103">
        <f>(H268+H270+H271+H272)/12</f>
        <v>715.33333333333337</v>
      </c>
    </row>
    <row r="274" spans="2:8" ht="15" customHeight="1">
      <c r="B274" s="1501" t="s">
        <v>841</v>
      </c>
      <c r="C274" s="1502"/>
      <c r="D274" s="1502"/>
      <c r="E274" s="1503"/>
      <c r="F274" s="156" t="s">
        <v>814</v>
      </c>
      <c r="G274" s="175"/>
      <c r="H274" s="439">
        <f>TRUNC(H277+H278,2)</f>
        <v>7595.28</v>
      </c>
    </row>
    <row r="275" spans="2:8" ht="15" customHeight="1">
      <c r="B275" s="1518" t="s">
        <v>772</v>
      </c>
      <c r="C275" s="1519"/>
      <c r="D275" s="1519"/>
      <c r="E275" s="1520"/>
      <c r="F275" s="112" t="s">
        <v>477</v>
      </c>
      <c r="G275" s="125"/>
      <c r="H275" s="198">
        <f>VLOOKUP(B275,Tabela13[[#All],[Descrição]:[FONTE]],17,FALSE)</f>
        <v>3.8359999999999999</v>
      </c>
    </row>
    <row r="276" spans="2:8">
      <c r="B276" s="1493" t="s">
        <v>824</v>
      </c>
      <c r="C276" s="1494"/>
      <c r="D276" s="1494"/>
      <c r="E276" s="1495"/>
      <c r="F276" s="97" t="s">
        <v>825</v>
      </c>
      <c r="G276" s="447">
        <f>H246</f>
        <v>0.6</v>
      </c>
      <c r="H276" s="100">
        <f>G276*H275</f>
        <v>2.3015999999999996</v>
      </c>
    </row>
    <row r="277" spans="2:8">
      <c r="B277" s="1493" t="s">
        <v>826</v>
      </c>
      <c r="C277" s="1494"/>
      <c r="D277" s="1494"/>
      <c r="E277" s="1495"/>
      <c r="F277" s="97" t="s">
        <v>814</v>
      </c>
      <c r="G277" s="447">
        <f>H245</f>
        <v>3000</v>
      </c>
      <c r="H277" s="100">
        <f>H276*G277</f>
        <v>6904.7999999999993</v>
      </c>
    </row>
    <row r="278" spans="2:8">
      <c r="B278" s="1493" t="s">
        <v>827</v>
      </c>
      <c r="C278" s="1494"/>
      <c r="D278" s="1494"/>
      <c r="E278" s="1495"/>
      <c r="F278" s="102" t="s">
        <v>814</v>
      </c>
      <c r="G278" s="470">
        <v>0.1</v>
      </c>
      <c r="H278" s="103">
        <f>H277*G278</f>
        <v>690.48</v>
      </c>
    </row>
    <row r="279" spans="2:8" ht="15" customHeight="1">
      <c r="B279" s="1501" t="s">
        <v>842</v>
      </c>
      <c r="C279" s="1502"/>
      <c r="D279" s="1502"/>
      <c r="E279" s="1503"/>
      <c r="F279" s="156" t="s">
        <v>814</v>
      </c>
      <c r="G279" s="471"/>
      <c r="H279" s="439">
        <f>TRUNC(H289*H290,2)</f>
        <v>592.27</v>
      </c>
    </row>
    <row r="280" spans="2:8">
      <c r="B280" s="1512" t="s">
        <v>779</v>
      </c>
      <c r="C280" s="1513"/>
      <c r="D280" s="1513"/>
      <c r="E280" s="1514"/>
      <c r="F280" s="112" t="s">
        <v>477</v>
      </c>
      <c r="G280" s="350"/>
      <c r="H280" s="198">
        <f>VLOOKUP(B280,Tabela13[[#All],[Descrição]:[FONTE]],17,FALSE)</f>
        <v>1557</v>
      </c>
    </row>
    <row r="281" spans="2:8">
      <c r="B281" s="1493" t="s">
        <v>783</v>
      </c>
      <c r="C281" s="1494"/>
      <c r="D281" s="1494"/>
      <c r="E281" s="1495"/>
      <c r="F281" s="97" t="s">
        <v>477</v>
      </c>
      <c r="G281" s="353"/>
      <c r="H281" s="100">
        <f>VLOOKUP(B281,Tabela13[[#All],[Descrição]:[FONTE]],17,FALSE)</f>
        <v>101.64</v>
      </c>
    </row>
    <row r="282" spans="2:8">
      <c r="B282" s="1493" t="s">
        <v>781</v>
      </c>
      <c r="C282" s="1494"/>
      <c r="D282" s="1494"/>
      <c r="E282" s="1495"/>
      <c r="F282" s="97" t="s">
        <v>477</v>
      </c>
      <c r="G282" s="353"/>
      <c r="H282" s="100">
        <f>VLOOKUP(B282,Tabela13[[#All],[Descrição]:[FONTE]],17,FALSE)</f>
        <v>101.64</v>
      </c>
    </row>
    <row r="283" spans="2:8">
      <c r="B283" s="1493" t="s">
        <v>828</v>
      </c>
      <c r="C283" s="1494"/>
      <c r="D283" s="1494"/>
      <c r="E283" s="1495"/>
      <c r="F283" s="97" t="s">
        <v>829</v>
      </c>
      <c r="G283" s="353"/>
      <c r="H283" s="199">
        <f>VLOOKUP(B240,Tabela13[[#All],[Descrição]:[FONTE]],13,FALSE)</f>
        <v>6</v>
      </c>
    </row>
    <row r="284" spans="2:8">
      <c r="B284" s="1493" t="s">
        <v>830</v>
      </c>
      <c r="C284" s="1494"/>
      <c r="D284" s="1494"/>
      <c r="E284" s="1495"/>
      <c r="F284" s="97" t="s">
        <v>829</v>
      </c>
      <c r="G284" s="353"/>
      <c r="H284" s="200">
        <f>IFERROR(VLOOKUP(B249,Tabela13[[#All],[Descrição]:[FONTE]],13,FALSE),0)</f>
        <v>0</v>
      </c>
    </row>
    <row r="285" spans="2:8">
      <c r="B285" s="1493" t="s">
        <v>782</v>
      </c>
      <c r="C285" s="1494"/>
      <c r="D285" s="1494"/>
      <c r="E285" s="1495"/>
      <c r="F285" s="97" t="s">
        <v>477</v>
      </c>
      <c r="G285" s="353"/>
      <c r="H285" s="100">
        <f>VLOOKUP(B285,Tabela13[[#All],[Descrição]:[FONTE]],17,FALSE)</f>
        <v>520</v>
      </c>
    </row>
    <row r="286" spans="2:8">
      <c r="B286" s="1493" t="s">
        <v>831</v>
      </c>
      <c r="C286" s="1494"/>
      <c r="D286" s="1494"/>
      <c r="E286" s="1495"/>
      <c r="F286" s="97" t="s">
        <v>832</v>
      </c>
      <c r="G286" s="353"/>
      <c r="H286" s="100">
        <f>VLOOKUP(B280,Tabela13[[#All],[Descrição]:[FONTE]],4,FALSE)</f>
        <v>30000</v>
      </c>
    </row>
    <row r="287" spans="2:8">
      <c r="B287" s="1493" t="s">
        <v>833</v>
      </c>
      <c r="C287" s="1494"/>
      <c r="D287" s="1494"/>
      <c r="E287" s="1495"/>
      <c r="F287" s="97" t="s">
        <v>832</v>
      </c>
      <c r="G287" s="353"/>
      <c r="H287" s="100">
        <f>VLOOKUP(B285,Tabela13[[#All],[Descrição]:[FONTE]],4,FALSE)</f>
        <v>50000</v>
      </c>
    </row>
    <row r="288" spans="2:8">
      <c r="B288" s="1493" t="s">
        <v>834</v>
      </c>
      <c r="C288" s="1494"/>
      <c r="D288" s="1494"/>
      <c r="E288" s="1495"/>
      <c r="F288" s="97" t="s">
        <v>480</v>
      </c>
      <c r="G288" s="353"/>
      <c r="H288" s="437">
        <v>0.2</v>
      </c>
    </row>
    <row r="289" spans="2:8">
      <c r="B289" s="1493" t="s">
        <v>835</v>
      </c>
      <c r="C289" s="1494"/>
      <c r="D289" s="1494"/>
      <c r="E289" s="1495"/>
      <c r="F289" s="97" t="s">
        <v>825</v>
      </c>
      <c r="G289" s="353"/>
      <c r="H289" s="100">
        <f>(((1+H288)*(H280+H281+H282)*(H283+H284))+(H285*(H283+H284)))/(H286+H287)</f>
        <v>0.19742520000000002</v>
      </c>
    </row>
    <row r="290" spans="2:8">
      <c r="B290" s="1493" t="s">
        <v>836</v>
      </c>
      <c r="C290" s="1494"/>
      <c r="D290" s="1494"/>
      <c r="E290" s="1495"/>
      <c r="F290" s="102" t="s">
        <v>704</v>
      </c>
      <c r="G290" s="355"/>
      <c r="H290" s="448">
        <f>G277</f>
        <v>3000</v>
      </c>
    </row>
    <row r="291" spans="2:8" ht="15" customHeight="1">
      <c r="B291" s="1501" t="s">
        <v>843</v>
      </c>
      <c r="C291" s="1502"/>
      <c r="D291" s="1502"/>
      <c r="E291" s="1503"/>
      <c r="F291" s="449" t="s">
        <v>814</v>
      </c>
      <c r="G291" s="450"/>
      <c r="H291" s="439">
        <f>TRUNC(H293,2)</f>
        <v>1885.71</v>
      </c>
    </row>
    <row r="292" spans="2:8">
      <c r="B292" s="1512" t="s">
        <v>837</v>
      </c>
      <c r="C292" s="1513"/>
      <c r="D292" s="1513"/>
      <c r="E292" s="1514"/>
      <c r="F292" s="112"/>
      <c r="G292" s="350"/>
      <c r="H292" s="198">
        <f>VLOOKUP(B240,Tabela13[[#All],[Descrição]:[FONTE]],12,FALSE)</f>
        <v>0.9</v>
      </c>
    </row>
    <row r="293" spans="2:8">
      <c r="B293" s="1515" t="s">
        <v>838</v>
      </c>
      <c r="C293" s="1516"/>
      <c r="D293" s="1516"/>
      <c r="E293" s="1517"/>
      <c r="F293" s="97" t="s">
        <v>616</v>
      </c>
      <c r="G293" s="353"/>
      <c r="H293" s="100">
        <f>(H241*H292)/(H242*12)</f>
        <v>1885.7142857142858</v>
      </c>
    </row>
    <row r="294" spans="2:8">
      <c r="B294" s="476" t="s">
        <v>845</v>
      </c>
      <c r="C294" s="477"/>
      <c r="D294" s="477"/>
      <c r="E294" s="477"/>
      <c r="F294" s="450"/>
      <c r="G294" s="450"/>
      <c r="H294" s="451">
        <f>H55</f>
        <v>1</v>
      </c>
    </row>
    <row r="295" spans="2:8" ht="15.75" customHeight="1" thickBot="1">
      <c r="B295" s="1507" t="s">
        <v>844</v>
      </c>
      <c r="C295" s="1508"/>
      <c r="D295" s="1508"/>
      <c r="E295" s="1508"/>
      <c r="F295" s="452"/>
      <c r="G295" s="452"/>
      <c r="H295" s="453">
        <f>H294*H240</f>
        <v>12458.72</v>
      </c>
    </row>
    <row r="296" spans="2:8" ht="15.75" thickBot="1">
      <c r="B296" s="337" t="s">
        <v>595</v>
      </c>
    </row>
    <row r="297" spans="2:8" ht="15.75" thickBot="1">
      <c r="B297" s="348" t="s">
        <v>731</v>
      </c>
      <c r="C297" s="312"/>
      <c r="D297" s="312"/>
      <c r="E297" s="312"/>
      <c r="F297" s="312"/>
      <c r="G297" s="312"/>
      <c r="H297" s="349">
        <f>H295</f>
        <v>12458.72</v>
      </c>
    </row>
    <row r="299" spans="2:8">
      <c r="B299" s="309" t="s">
        <v>994</v>
      </c>
    </row>
    <row r="300" spans="2:8">
      <c r="B300" s="315" t="str">
        <f>B177</f>
        <v>Custo mensal com mão-de-obra (R$/mês)</v>
      </c>
      <c r="C300" s="316"/>
      <c r="D300" s="316"/>
      <c r="E300" s="316"/>
      <c r="F300" s="316"/>
      <c r="G300" s="316"/>
      <c r="H300" s="485">
        <f>H177</f>
        <v>13161.63</v>
      </c>
    </row>
    <row r="301" spans="2:8">
      <c r="B301" s="318" t="str">
        <f>B183</f>
        <v>Custo mensal com ferramentas (R$/mês)</v>
      </c>
      <c r="H301" s="486">
        <f>H183</f>
        <v>0</v>
      </c>
    </row>
    <row r="302" spans="2:8">
      <c r="B302" s="318" t="str">
        <f>B218</f>
        <v>Custo mensal com equipamentos (R$/mês)</v>
      </c>
      <c r="H302" s="486">
        <f>H218</f>
        <v>115.50999999999999</v>
      </c>
    </row>
    <row r="303" spans="2:8">
      <c r="B303" s="318" t="str">
        <f>B236</f>
        <v>Custo mensal com EPI's (R$/mês)</v>
      </c>
      <c r="H303" s="486">
        <f>H236</f>
        <v>299.55000000000007</v>
      </c>
    </row>
    <row r="304" spans="2:8" ht="15.75" thickBot="1">
      <c r="B304" s="320" t="str">
        <f>B297</f>
        <v>Custo mensal com veículos (R$/mês)</v>
      </c>
      <c r="C304" s="321"/>
      <c r="D304" s="321"/>
      <c r="E304" s="321"/>
      <c r="F304" s="321"/>
      <c r="G304" s="321"/>
      <c r="H304" s="487">
        <f>H297</f>
        <v>12458.72</v>
      </c>
    </row>
    <row r="305" spans="2:8" ht="15.75" thickBot="1">
      <c r="B305" s="364" t="s">
        <v>873</v>
      </c>
      <c r="C305" s="321"/>
      <c r="D305" s="321"/>
      <c r="E305" s="321"/>
      <c r="F305" s="321"/>
      <c r="G305" s="321"/>
      <c r="H305" s="349">
        <f>SUM(H300:H304)</f>
        <v>26035.409999999996</v>
      </c>
    </row>
    <row r="307" spans="2:8">
      <c r="B307" s="309" t="s">
        <v>995</v>
      </c>
    </row>
    <row r="308" spans="2:8">
      <c r="B308" s="315" t="s">
        <v>924</v>
      </c>
      <c r="C308" s="316"/>
      <c r="D308" s="316"/>
      <c r="E308" s="316"/>
      <c r="F308" s="365">
        <f>H305</f>
        <v>26035.409999999996</v>
      </c>
    </row>
    <row r="309" spans="2:8">
      <c r="B309" s="320" t="s">
        <v>926</v>
      </c>
      <c r="C309" s="321"/>
      <c r="D309" s="321"/>
      <c r="F309" s="366">
        <f>ANEXO_IIId_BDI!$D$16</f>
        <v>0.32340000000000002</v>
      </c>
    </row>
    <row r="310" spans="2:8">
      <c r="B310" s="364" t="s">
        <v>925</v>
      </c>
      <c r="C310" s="321"/>
      <c r="D310" s="321"/>
      <c r="E310" s="312"/>
      <c r="F310" s="367">
        <f>TRUNC(F308*(1+F309),2)</f>
        <v>34455.26</v>
      </c>
    </row>
    <row r="312" spans="2:8">
      <c r="B312" s="309" t="s">
        <v>996</v>
      </c>
    </row>
    <row r="313" spans="2:8">
      <c r="B313" s="315" t="s">
        <v>925</v>
      </c>
      <c r="C313" s="316"/>
      <c r="D313" s="316"/>
      <c r="E313" s="316"/>
      <c r="F313" s="365">
        <f>F310</f>
        <v>34455.26</v>
      </c>
    </row>
    <row r="314" spans="2:8">
      <c r="B314" s="320" t="s">
        <v>931</v>
      </c>
      <c r="C314" s="321"/>
      <c r="D314" s="321"/>
      <c r="E314" s="321"/>
      <c r="F314" s="368">
        <f>F6</f>
        <v>188.02525</v>
      </c>
    </row>
    <row r="315" spans="2:8">
      <c r="B315" s="364" t="s">
        <v>930</v>
      </c>
      <c r="C315" s="321"/>
      <c r="D315" s="321"/>
      <c r="E315" s="312"/>
      <c r="F315" s="367">
        <f>TRUNC(F313/F314,2)</f>
        <v>183.24</v>
      </c>
      <c r="G315" s="313"/>
    </row>
  </sheetData>
  <mergeCells count="55">
    <mergeCell ref="B275:E275"/>
    <mergeCell ref="B276:E276"/>
    <mergeCell ref="B277:E277"/>
    <mergeCell ref="B278:E278"/>
    <mergeCell ref="B279:E279"/>
    <mergeCell ref="B280:E280"/>
    <mergeCell ref="B281:E281"/>
    <mergeCell ref="B282:E282"/>
    <mergeCell ref="B283:E283"/>
    <mergeCell ref="B284:E284"/>
    <mergeCell ref="B290:E290"/>
    <mergeCell ref="B291:E291"/>
    <mergeCell ref="B292:E292"/>
    <mergeCell ref="B293:E293"/>
    <mergeCell ref="B285:E285"/>
    <mergeCell ref="B286:E286"/>
    <mergeCell ref="B287:E287"/>
    <mergeCell ref="B288:E288"/>
    <mergeCell ref="B289:E289"/>
    <mergeCell ref="B260:E260"/>
    <mergeCell ref="B261:E261"/>
    <mergeCell ref="B262:E262"/>
    <mergeCell ref="B263:E263"/>
    <mergeCell ref="B264:E264"/>
    <mergeCell ref="B273:E273"/>
    <mergeCell ref="B274:E274"/>
    <mergeCell ref="B265:E265"/>
    <mergeCell ref="B266:E266"/>
    <mergeCell ref="B267:E267"/>
    <mergeCell ref="B268:E268"/>
    <mergeCell ref="B269:E269"/>
    <mergeCell ref="B270:E270"/>
    <mergeCell ref="B271:E271"/>
    <mergeCell ref="B272:E272"/>
    <mergeCell ref="B295:E295"/>
    <mergeCell ref="B240:E240"/>
    <mergeCell ref="B241:E241"/>
    <mergeCell ref="B242:E242"/>
    <mergeCell ref="B243:E243"/>
    <mergeCell ref="B244:E244"/>
    <mergeCell ref="B245:E245"/>
    <mergeCell ref="B246:E246"/>
    <mergeCell ref="B247:E247"/>
    <mergeCell ref="B248:E248"/>
    <mergeCell ref="B249:E249"/>
    <mergeCell ref="B250:E250"/>
    <mergeCell ref="B251:E251"/>
    <mergeCell ref="B252:E252"/>
    <mergeCell ref="B253:E253"/>
    <mergeCell ref="B254:E254"/>
    <mergeCell ref="B255:E255"/>
    <mergeCell ref="B256:E256"/>
    <mergeCell ref="B257:E257"/>
    <mergeCell ref="B258:E258"/>
    <mergeCell ref="B259:E259"/>
  </mergeCells>
  <pageMargins left="0.511811024" right="0.511811024" top="0.78740157499999996" bottom="0.78740157499999996" header="0.31496062000000002" footer="0.31496062000000002"/>
  <pageSetup paperSize="9" fitToHeight="0" orientation="portrait" r:id="rId1"/>
  <headerFooter>
    <oddHeader>&amp;CProduto 3.4 – Estudos e Projetos para a solução definida – Versão Parcial</oddHead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B1:H305"/>
  <sheetViews>
    <sheetView showGridLines="0" topLeftCell="A172" zoomScaleNormal="100" zoomScaleSheetLayoutView="115" workbookViewId="0">
      <selection activeCell="H192" sqref="H192:H204"/>
    </sheetView>
  </sheetViews>
  <sheetFormatPr defaultColWidth="9.140625" defaultRowHeight="15"/>
  <cols>
    <col min="1" max="4" width="9.140625" style="307"/>
    <col min="5" max="5" width="16.28515625" style="307" customWidth="1"/>
    <col min="6" max="6" width="11.140625" style="307" customWidth="1"/>
    <col min="7" max="7" width="13" style="307" customWidth="1"/>
    <col min="8" max="8" width="12.7109375" style="307" bestFit="1" customWidth="1"/>
    <col min="9" max="15" width="9.140625" style="307"/>
    <col min="16" max="16" width="10.5703125" style="307" bestFit="1" customWidth="1"/>
    <col min="17" max="17" width="9.140625" style="307"/>
    <col min="18" max="18" width="12.28515625" style="307" bestFit="1" customWidth="1"/>
    <col min="19" max="16384" width="9.140625" style="307"/>
  </cols>
  <sheetData>
    <row r="1" spans="2:8" ht="18.75">
      <c r="B1" s="306" t="s">
        <v>997</v>
      </c>
    </row>
    <row r="3" spans="2:8">
      <c r="B3" s="309" t="s">
        <v>998</v>
      </c>
      <c r="G3" s="308" t="s">
        <v>891</v>
      </c>
      <c r="H3" s="307">
        <v>25.33</v>
      </c>
    </row>
    <row r="5" spans="2:8">
      <c r="B5" s="307" t="s">
        <v>711</v>
      </c>
      <c r="F5" s="310">
        <v>40.56</v>
      </c>
      <c r="G5" s="307" t="s">
        <v>712</v>
      </c>
    </row>
    <row r="6" spans="2:8">
      <c r="B6" s="307" t="s">
        <v>937</v>
      </c>
      <c r="F6" s="310">
        <f>F5*H3</f>
        <v>1027.3848</v>
      </c>
      <c r="G6" s="307" t="s">
        <v>674</v>
      </c>
    </row>
    <row r="7" spans="2:8">
      <c r="B7" s="307" t="s">
        <v>717</v>
      </c>
      <c r="F7" s="310">
        <v>20</v>
      </c>
      <c r="G7" s="307" t="s">
        <v>704</v>
      </c>
    </row>
    <row r="8" spans="2:8" ht="15.75" thickBot="1"/>
    <row r="9" spans="2:8" ht="15.75" thickBot="1">
      <c r="B9" s="311" t="s">
        <v>723</v>
      </c>
      <c r="C9" s="312"/>
      <c r="D9" s="312"/>
      <c r="E9" s="312"/>
      <c r="F9" s="489">
        <v>1</v>
      </c>
    </row>
    <row r="11" spans="2:8">
      <c r="B11" s="307" t="s">
        <v>716</v>
      </c>
      <c r="F11" s="310">
        <v>10</v>
      </c>
      <c r="G11" s="307" t="s">
        <v>715</v>
      </c>
    </row>
    <row r="12" spans="2:8">
      <c r="B12" s="307" t="s">
        <v>714</v>
      </c>
      <c r="F12" s="310">
        <f>ROUNDUP(F5/(F11*F9),0)</f>
        <v>5</v>
      </c>
    </row>
    <row r="13" spans="2:8">
      <c r="B13" s="307" t="s">
        <v>718</v>
      </c>
      <c r="F13" s="310">
        <f>F12*F7*H3*12</f>
        <v>30396</v>
      </c>
      <c r="G13" s="307" t="s">
        <v>710</v>
      </c>
    </row>
    <row r="14" spans="2:8">
      <c r="B14" s="307" t="s">
        <v>713</v>
      </c>
      <c r="F14" s="310">
        <f>F13/12</f>
        <v>2533</v>
      </c>
      <c r="G14" s="307" t="s">
        <v>703</v>
      </c>
    </row>
    <row r="16" spans="2:8">
      <c r="B16" s="309" t="s">
        <v>999</v>
      </c>
    </row>
    <row r="18" spans="2:8">
      <c r="B18" s="58" t="s">
        <v>697</v>
      </c>
      <c r="F18" s="58">
        <f>1/20</f>
        <v>0.05</v>
      </c>
      <c r="G18" s="58" t="s">
        <v>719</v>
      </c>
    </row>
    <row r="19" spans="2:8">
      <c r="B19" s="58" t="s">
        <v>576</v>
      </c>
      <c r="F19" s="314">
        <v>0</v>
      </c>
    </row>
    <row r="20" spans="2:8" ht="15.75" thickBot="1"/>
    <row r="21" spans="2:8">
      <c r="B21" s="315" t="s">
        <v>720</v>
      </c>
      <c r="C21" s="316"/>
      <c r="D21" s="317">
        <f>F9</f>
        <v>1</v>
      </c>
    </row>
    <row r="22" spans="2:8">
      <c r="B22" s="318" t="s">
        <v>721</v>
      </c>
      <c r="D22" s="319">
        <f>D21</f>
        <v>1</v>
      </c>
    </row>
    <row r="23" spans="2:8">
      <c r="B23" s="318" t="s">
        <v>722</v>
      </c>
      <c r="D23" s="319">
        <f>D22*2</f>
        <v>2</v>
      </c>
    </row>
    <row r="24" spans="2:8" ht="15.75" thickBot="1">
      <c r="B24" s="318" t="s">
        <v>553</v>
      </c>
      <c r="D24" s="319">
        <f>ROUNDUP((SUM(D21:D23)*F18),0)</f>
        <v>1</v>
      </c>
    </row>
    <row r="25" spans="2:8" ht="15.75" thickBot="1">
      <c r="B25" s="320" t="s">
        <v>555</v>
      </c>
      <c r="C25" s="321"/>
      <c r="D25" s="335">
        <f>F19</f>
        <v>0</v>
      </c>
      <c r="F25" s="348" t="s">
        <v>594</v>
      </c>
      <c r="G25" s="312"/>
      <c r="H25" s="323">
        <f>SUM(D21:D25)</f>
        <v>5</v>
      </c>
    </row>
    <row r="27" spans="2:8">
      <c r="B27" s="309" t="s">
        <v>1000</v>
      </c>
    </row>
    <row r="29" spans="2:8" ht="15.75" thickBot="1">
      <c r="B29" s="309" t="s">
        <v>565</v>
      </c>
    </row>
    <row r="30" spans="2:8">
      <c r="B30" s="311" t="s">
        <v>563</v>
      </c>
      <c r="C30" s="312"/>
      <c r="D30" s="312"/>
      <c r="E30" s="311" t="s">
        <v>583</v>
      </c>
      <c r="F30" s="312"/>
      <c r="G30" s="312"/>
      <c r="H30" s="325" t="s">
        <v>584</v>
      </c>
    </row>
    <row r="31" spans="2:8" ht="15.75" thickBot="1">
      <c r="B31" s="311"/>
      <c r="C31" s="312"/>
      <c r="D31" s="312"/>
      <c r="E31" s="358"/>
      <c r="F31" s="312"/>
      <c r="G31" s="407"/>
      <c r="H31" s="408"/>
    </row>
    <row r="33" spans="2:8" ht="15.75" thickBot="1">
      <c r="B33" s="309" t="s">
        <v>547</v>
      </c>
    </row>
    <row r="34" spans="2:8">
      <c r="B34" s="311" t="s">
        <v>563</v>
      </c>
      <c r="C34" s="312"/>
      <c r="D34" s="312"/>
      <c r="E34" s="311" t="s">
        <v>583</v>
      </c>
      <c r="F34" s="312"/>
      <c r="G34" s="311" t="s">
        <v>564</v>
      </c>
      <c r="H34" s="325" t="s">
        <v>384</v>
      </c>
    </row>
    <row r="35" spans="2:8" ht="15.75" thickBot="1">
      <c r="B35" s="311" t="s">
        <v>725</v>
      </c>
      <c r="C35" s="312"/>
      <c r="D35" s="312"/>
      <c r="E35" s="490">
        <v>1</v>
      </c>
      <c r="F35" s="312" t="s">
        <v>726</v>
      </c>
      <c r="G35" s="407">
        <v>60</v>
      </c>
      <c r="H35" s="491">
        <f>TRUNC(E35*D22,2)</f>
        <v>1</v>
      </c>
    </row>
    <row r="36" spans="2:8">
      <c r="B36" s="336" t="s">
        <v>595</v>
      </c>
    </row>
    <row r="38" spans="2:8" ht="15.75" thickBot="1">
      <c r="B38" s="309" t="s">
        <v>442</v>
      </c>
    </row>
    <row r="39" spans="2:8">
      <c r="B39" s="311" t="s">
        <v>563</v>
      </c>
      <c r="C39" s="312"/>
      <c r="D39" s="312"/>
      <c r="E39" s="311" t="s">
        <v>583</v>
      </c>
      <c r="F39" s="312"/>
      <c r="G39" s="312"/>
      <c r="H39" s="325" t="s">
        <v>584</v>
      </c>
    </row>
    <row r="40" spans="2:8">
      <c r="B40" s="315" t="s">
        <v>566</v>
      </c>
      <c r="C40" s="316"/>
      <c r="D40" s="316"/>
      <c r="E40" s="456">
        <v>1</v>
      </c>
      <c r="F40" s="340" t="s">
        <v>701</v>
      </c>
      <c r="G40" s="316"/>
      <c r="H40" s="342">
        <f>TRUNC(E40*$H$25/12,2)</f>
        <v>0.41</v>
      </c>
    </row>
    <row r="41" spans="2:8">
      <c r="B41" s="318" t="s">
        <v>492</v>
      </c>
      <c r="E41" s="457">
        <v>3</v>
      </c>
      <c r="F41" s="343" t="s">
        <v>701</v>
      </c>
      <c r="H41" s="319">
        <f t="shared" ref="H41:H49" si="0">TRUNC(E41*$H$25/12,2)</f>
        <v>1.25</v>
      </c>
    </row>
    <row r="42" spans="2:8">
      <c r="B42" s="318" t="s">
        <v>493</v>
      </c>
      <c r="E42" s="457">
        <v>3</v>
      </c>
      <c r="F42" s="343" t="s">
        <v>701</v>
      </c>
      <c r="H42" s="319">
        <f t="shared" si="0"/>
        <v>1.25</v>
      </c>
    </row>
    <row r="43" spans="2:8">
      <c r="B43" s="318" t="s">
        <v>494</v>
      </c>
      <c r="E43" s="457">
        <v>2</v>
      </c>
      <c r="F43" s="343" t="s">
        <v>701</v>
      </c>
      <c r="H43" s="319">
        <f t="shared" si="0"/>
        <v>0.83</v>
      </c>
    </row>
    <row r="44" spans="2:8">
      <c r="B44" s="318" t="s">
        <v>502</v>
      </c>
      <c r="E44" s="457">
        <v>3</v>
      </c>
      <c r="F44" s="343" t="s">
        <v>702</v>
      </c>
      <c r="H44" s="319">
        <f t="shared" si="0"/>
        <v>1.25</v>
      </c>
    </row>
    <row r="45" spans="2:8">
      <c r="B45" s="318" t="s">
        <v>496</v>
      </c>
      <c r="E45" s="457">
        <v>2</v>
      </c>
      <c r="F45" s="343" t="s">
        <v>701</v>
      </c>
      <c r="H45" s="319">
        <f t="shared" si="0"/>
        <v>0.83</v>
      </c>
    </row>
    <row r="46" spans="2:8">
      <c r="B46" s="318" t="s">
        <v>497</v>
      </c>
      <c r="E46" s="457">
        <v>2</v>
      </c>
      <c r="F46" s="343" t="s">
        <v>701</v>
      </c>
      <c r="H46" s="319">
        <f t="shared" si="0"/>
        <v>0.83</v>
      </c>
    </row>
    <row r="47" spans="2:8">
      <c r="B47" s="318" t="s">
        <v>498</v>
      </c>
      <c r="E47" s="457">
        <v>8</v>
      </c>
      <c r="F47" s="343" t="s">
        <v>702</v>
      </c>
      <c r="H47" s="319">
        <f t="shared" si="0"/>
        <v>3.33</v>
      </c>
    </row>
    <row r="48" spans="2:8">
      <c r="B48" s="318" t="s">
        <v>604</v>
      </c>
      <c r="E48" s="457">
        <v>0.16700000000000001</v>
      </c>
      <c r="F48" s="343" t="s">
        <v>701</v>
      </c>
      <c r="H48" s="319">
        <f t="shared" si="0"/>
        <v>0.06</v>
      </c>
    </row>
    <row r="49" spans="2:8">
      <c r="B49" s="318" t="s">
        <v>499</v>
      </c>
      <c r="E49" s="457">
        <v>12</v>
      </c>
      <c r="F49" s="343" t="s">
        <v>701</v>
      </c>
      <c r="H49" s="319">
        <f t="shared" si="0"/>
        <v>5</v>
      </c>
    </row>
    <row r="50" spans="2:8">
      <c r="B50" s="318" t="s">
        <v>503</v>
      </c>
      <c r="E50" s="457">
        <v>1</v>
      </c>
      <c r="F50" s="329" t="s">
        <v>726</v>
      </c>
      <c r="H50" s="319">
        <f>TRUNC(E50*$D$22/12,2)</f>
        <v>0.08</v>
      </c>
    </row>
    <row r="51" spans="2:8">
      <c r="B51" s="318" t="s">
        <v>590</v>
      </c>
      <c r="E51" s="457">
        <v>1</v>
      </c>
      <c r="F51" s="329" t="s">
        <v>726</v>
      </c>
      <c r="H51" s="319">
        <f>TRUNC(E51*$D$22/12,2)</f>
        <v>0.08</v>
      </c>
    </row>
    <row r="52" spans="2:8" ht="15.75" thickBot="1">
      <c r="B52" s="320" t="s">
        <v>591</v>
      </c>
      <c r="C52" s="321"/>
      <c r="D52" s="321"/>
      <c r="E52" s="458">
        <v>1</v>
      </c>
      <c r="F52" s="332" t="s">
        <v>726</v>
      </c>
      <c r="G52" s="321"/>
      <c r="H52" s="335">
        <f>TRUNC(E52*$D$22/12,2)</f>
        <v>0.08</v>
      </c>
    </row>
    <row r="53" spans="2:8">
      <c r="B53" s="337" t="s">
        <v>595</v>
      </c>
    </row>
    <row r="55" spans="2:8" ht="15.75" thickBot="1">
      <c r="B55" s="309" t="s">
        <v>679</v>
      </c>
    </row>
    <row r="56" spans="2:8">
      <c r="B56" s="311" t="s">
        <v>567</v>
      </c>
      <c r="C56" s="324"/>
      <c r="D56" s="311" t="s">
        <v>904</v>
      </c>
      <c r="E56" s="312"/>
      <c r="F56" s="324"/>
      <c r="G56" s="312" t="s">
        <v>800</v>
      </c>
      <c r="H56" s="325" t="s">
        <v>384</v>
      </c>
    </row>
    <row r="57" spans="2:8" ht="15.75" thickBot="1">
      <c r="B57" s="315" t="s">
        <v>728</v>
      </c>
      <c r="C57" s="316"/>
      <c r="D57" s="492">
        <v>1</v>
      </c>
      <c r="E57" s="316" t="s">
        <v>864</v>
      </c>
      <c r="F57" s="316"/>
      <c r="G57" s="479">
        <v>72</v>
      </c>
      <c r="H57" s="342">
        <f>TRUNC(F9,2)</f>
        <v>1</v>
      </c>
    </row>
    <row r="58" spans="2:8">
      <c r="B58" s="311" t="s">
        <v>567</v>
      </c>
      <c r="C58" s="324"/>
      <c r="D58" s="311" t="s">
        <v>904</v>
      </c>
      <c r="E58" s="312"/>
      <c r="F58" s="324"/>
      <c r="G58" s="312" t="s">
        <v>800</v>
      </c>
      <c r="H58" s="325" t="s">
        <v>384</v>
      </c>
    </row>
    <row r="59" spans="2:8" ht="15.75" thickBot="1">
      <c r="B59" s="320" t="s">
        <v>727</v>
      </c>
      <c r="C59" s="321"/>
      <c r="D59" s="345">
        <v>1</v>
      </c>
      <c r="E59" s="321" t="s">
        <v>865</v>
      </c>
      <c r="F59" s="321"/>
      <c r="G59" s="463">
        <v>72</v>
      </c>
      <c r="H59" s="335">
        <f>H57</f>
        <v>1</v>
      </c>
    </row>
    <row r="60" spans="2:8">
      <c r="B60" s="337" t="s">
        <v>595</v>
      </c>
    </row>
    <row r="62" spans="2:8" ht="15.75">
      <c r="B62" s="347" t="s">
        <v>1001</v>
      </c>
    </row>
    <row r="64" spans="2:8">
      <c r="B64" s="309" t="s">
        <v>1002</v>
      </c>
    </row>
    <row r="66" spans="2:8" ht="15.75" thickBot="1">
      <c r="B66" s="309" t="s">
        <v>1003</v>
      </c>
    </row>
    <row r="67" spans="2:8">
      <c r="B67" s="277" t="s">
        <v>729</v>
      </c>
      <c r="C67" s="278"/>
      <c r="D67" s="278"/>
      <c r="E67" s="278"/>
      <c r="F67" s="278"/>
      <c r="G67" s="279"/>
      <c r="H67" s="280">
        <f>H83+H85+H89+H91</f>
        <v>3960.4700000000003</v>
      </c>
    </row>
    <row r="68" spans="2:8">
      <c r="B68" s="281" t="str">
        <f>CONCATENATE("Salário - ",B67)</f>
        <v>Salário - Motorista</v>
      </c>
      <c r="C68" s="168"/>
      <c r="D68" s="169"/>
      <c r="E68" s="112" t="s">
        <v>466</v>
      </c>
      <c r="F68" s="112">
        <v>1</v>
      </c>
      <c r="G68" s="38">
        <f>VLOOKUP(B68,Tabela3[[#All],[descrição]:[fonte]],4,FALSE)</f>
        <v>1742.04</v>
      </c>
      <c r="H68" s="282">
        <f>TRUNC(F68*G68,2)</f>
        <v>1742.04</v>
      </c>
    </row>
    <row r="69" spans="2:8">
      <c r="B69" s="170" t="s">
        <v>855</v>
      </c>
      <c r="C69" s="24"/>
      <c r="D69" s="24"/>
      <c r="E69" s="97" t="s">
        <v>466</v>
      </c>
      <c r="F69" s="97">
        <v>1</v>
      </c>
      <c r="G69" s="38">
        <f>VLOOKUP(B69,Tabela3[[#All],[descrição]:[fonte]],4,FALSE)</f>
        <v>1045</v>
      </c>
      <c r="H69" s="283"/>
    </row>
    <row r="70" spans="2:8">
      <c r="B70" s="170" t="s">
        <v>468</v>
      </c>
      <c r="C70" s="24"/>
      <c r="D70" s="24"/>
      <c r="E70" s="97" t="s">
        <v>469</v>
      </c>
      <c r="F70" s="152"/>
      <c r="G70" s="96"/>
      <c r="H70" s="151"/>
    </row>
    <row r="71" spans="2:8">
      <c r="B71" s="170"/>
      <c r="C71" s="24"/>
      <c r="D71" s="24"/>
      <c r="E71" s="97" t="s">
        <v>470</v>
      </c>
      <c r="F71" s="38">
        <f>F70*8/7</f>
        <v>0</v>
      </c>
      <c r="G71" s="284">
        <f>G68/220*0.2</f>
        <v>1.5836727272727273</v>
      </c>
      <c r="H71" s="283">
        <f>TRUNC(F71*G71,2)</f>
        <v>0</v>
      </c>
    </row>
    <row r="72" spans="2:8">
      <c r="B72" s="170" t="s">
        <v>471</v>
      </c>
      <c r="C72" s="24"/>
      <c r="D72" s="24"/>
      <c r="E72" s="97" t="s">
        <v>472</v>
      </c>
      <c r="F72" s="152"/>
      <c r="G72" s="38">
        <f>G68/220*2</f>
        <v>15.836727272727272</v>
      </c>
      <c r="H72" s="283">
        <f>TRUNC(F72*G72,2)</f>
        <v>0</v>
      </c>
    </row>
    <row r="73" spans="2:8">
      <c r="B73" s="170" t="s">
        <v>473</v>
      </c>
      <c r="C73" s="24"/>
      <c r="D73" s="24"/>
      <c r="E73" s="97" t="s">
        <v>469</v>
      </c>
      <c r="F73" s="152"/>
      <c r="G73" s="38"/>
      <c r="H73" s="283"/>
    </row>
    <row r="74" spans="2:8">
      <c r="B74" s="170"/>
      <c r="C74" s="24"/>
      <c r="D74" s="24"/>
      <c r="E74" s="97" t="s">
        <v>470</v>
      </c>
      <c r="F74" s="38">
        <f>F73*8/7</f>
        <v>0</v>
      </c>
      <c r="G74" s="38">
        <f>G68/220*2*1.2</f>
        <v>19.004072727272725</v>
      </c>
      <c r="H74" s="283">
        <f>TRUNC(F74*G74,2)</f>
        <v>0</v>
      </c>
    </row>
    <row r="75" spans="2:8">
      <c r="B75" s="170" t="s">
        <v>474</v>
      </c>
      <c r="C75" s="24"/>
      <c r="D75" s="24"/>
      <c r="E75" s="97" t="s">
        <v>472</v>
      </c>
      <c r="F75" s="152"/>
      <c r="G75" s="38">
        <f>G68/220*1.5</f>
        <v>11.877545454545453</v>
      </c>
      <c r="H75" s="283">
        <f>TRUNC(F75*G75,2)</f>
        <v>0</v>
      </c>
    </row>
    <row r="76" spans="2:8">
      <c r="B76" s="170" t="s">
        <v>475</v>
      </c>
      <c r="C76" s="24"/>
      <c r="D76" s="24"/>
      <c r="E76" s="97" t="s">
        <v>469</v>
      </c>
      <c r="F76" s="152"/>
      <c r="G76" s="38"/>
      <c r="H76" s="283"/>
    </row>
    <row r="77" spans="2:8">
      <c r="B77" s="170"/>
      <c r="C77" s="24"/>
      <c r="D77" s="24"/>
      <c r="E77" s="97" t="s">
        <v>470</v>
      </c>
      <c r="F77" s="38">
        <f>F76*8/7</f>
        <v>0</v>
      </c>
      <c r="G77" s="38">
        <f>G68/220*1.5*1.2</f>
        <v>14.253054545454544</v>
      </c>
      <c r="H77" s="283">
        <f>TRUNC(F77*G77,2)</f>
        <v>0</v>
      </c>
    </row>
    <row r="78" spans="2:8">
      <c r="B78" s="170" t="s">
        <v>476</v>
      </c>
      <c r="C78" s="24"/>
      <c r="D78" s="24"/>
      <c r="E78" s="97" t="s">
        <v>477</v>
      </c>
      <c r="F78" s="96"/>
      <c r="G78" s="38">
        <f>TRUNC(((52+9)/304)*(SUM(H72:H77)),2)</f>
        <v>0</v>
      </c>
      <c r="H78" s="283">
        <f>G78</f>
        <v>0</v>
      </c>
    </row>
    <row r="79" spans="2:8">
      <c r="B79" s="170" t="s">
        <v>478</v>
      </c>
      <c r="C79" s="24"/>
      <c r="D79" s="24"/>
      <c r="E79" s="97"/>
      <c r="F79" s="285">
        <v>1</v>
      </c>
      <c r="G79" s="38"/>
      <c r="H79" s="283"/>
    </row>
    <row r="80" spans="2:8">
      <c r="B80" s="170" t="s">
        <v>479</v>
      </c>
      <c r="C80" s="24"/>
      <c r="D80" s="24"/>
      <c r="E80" s="97" t="s">
        <v>480</v>
      </c>
      <c r="F80" s="286">
        <f>VLOOKUP(B68,Tabela3[[#All],[descrição]:[fonte]],3,FALSE)</f>
        <v>20</v>
      </c>
      <c r="G80" s="38">
        <f>IF(F79=2,SUM(H68:H78),IF(F79=1,SUM(H68:H78)*G69/G68,0))</f>
        <v>1045</v>
      </c>
      <c r="H80" s="283">
        <f>TRUNC(F80*G80/100,2)</f>
        <v>209</v>
      </c>
    </row>
    <row r="81" spans="2:8">
      <c r="B81" s="171" t="s">
        <v>481</v>
      </c>
      <c r="C81" s="24"/>
      <c r="D81" s="24"/>
      <c r="E81" s="134"/>
      <c r="F81" s="134"/>
      <c r="G81" s="287"/>
      <c r="H81" s="288">
        <f>SUM(H68:H80)</f>
        <v>1951.04</v>
      </c>
    </row>
    <row r="82" spans="2:8">
      <c r="B82" s="172" t="s">
        <v>482</v>
      </c>
      <c r="C82" s="184"/>
      <c r="D82" s="185"/>
      <c r="E82" s="154" t="s">
        <v>480</v>
      </c>
      <c r="F82" s="41">
        <f>VLOOKUP(B82,Tabela3[[#All],[descrição]:[fonte]],4,FALSE)</f>
        <v>70.489999999999995</v>
      </c>
      <c r="G82" s="41">
        <f>H81</f>
        <v>1951.04</v>
      </c>
      <c r="H82" s="289">
        <f>TRUNC(G82*F82/100,2)</f>
        <v>1375.28</v>
      </c>
    </row>
    <row r="83" spans="2:8">
      <c r="B83" s="173" t="s">
        <v>861</v>
      </c>
      <c r="C83" s="24"/>
      <c r="D83" s="24"/>
      <c r="E83" s="155"/>
      <c r="F83" s="155"/>
      <c r="G83" s="290"/>
      <c r="H83" s="291">
        <f>TRUNC(H81+H82,2)</f>
        <v>3326.32</v>
      </c>
    </row>
    <row r="84" spans="2:8" ht="15.75">
      <c r="B84" s="292" t="s">
        <v>483</v>
      </c>
      <c r="C84" s="293"/>
      <c r="D84" s="293"/>
      <c r="E84" s="293"/>
      <c r="F84" s="293"/>
      <c r="G84" s="293"/>
      <c r="H84" s="294"/>
    </row>
    <row r="85" spans="2:8">
      <c r="B85" s="174" t="s">
        <v>860</v>
      </c>
      <c r="C85" s="175"/>
      <c r="D85" s="176"/>
      <c r="E85" s="156" t="s">
        <v>484</v>
      </c>
      <c r="F85" s="295">
        <v>1</v>
      </c>
      <c r="G85" s="295">
        <f>H88</f>
        <v>101.19</v>
      </c>
      <c r="H85" s="296">
        <f>TRUNC(G85*F85,2)</f>
        <v>101.19</v>
      </c>
    </row>
    <row r="86" spans="2:8">
      <c r="B86" s="170" t="s">
        <v>485</v>
      </c>
      <c r="C86" s="24"/>
      <c r="D86" s="24"/>
      <c r="E86" s="97" t="s">
        <v>477</v>
      </c>
      <c r="F86" s="38">
        <v>1</v>
      </c>
      <c r="G86" s="38">
        <f>VLOOKUP(B86,Tabela3[[#All],[descrição]:[fonte]],4,FALSE)</f>
        <v>3.95</v>
      </c>
      <c r="H86" s="283"/>
    </row>
    <row r="87" spans="2:8">
      <c r="B87" s="170" t="s">
        <v>486</v>
      </c>
      <c r="C87" s="24"/>
      <c r="D87" s="24"/>
      <c r="E87" s="97" t="s">
        <v>487</v>
      </c>
      <c r="F87" s="38">
        <f>ROUND((9+304)/12,2)</f>
        <v>26.08</v>
      </c>
      <c r="G87" s="38"/>
      <c r="H87" s="283"/>
    </row>
    <row r="88" spans="2:8">
      <c r="B88" s="177" t="str">
        <f>CONCATENATE("Vale Transporte - ",B67)</f>
        <v>Vale Transporte - Motorista</v>
      </c>
      <c r="C88" s="24"/>
      <c r="D88" s="24"/>
      <c r="E88" s="102" t="s">
        <v>488</v>
      </c>
      <c r="F88" s="297">
        <f>F87*2*1</f>
        <v>52.16</v>
      </c>
      <c r="G88" s="297">
        <f>IF(TRUNC(IFERROR(((G86)-((G68*0.06)/(F87*2))),"-"),2)&lt;=0,0,TRUNC(IFERROR(((G86)-((G68*0.06)/(F87*2))),"-"),2))</f>
        <v>1.94</v>
      </c>
      <c r="H88" s="298">
        <f>TRUNC(IFERROR(F88*G88,"-"),2)</f>
        <v>101.19</v>
      </c>
    </row>
    <row r="89" spans="2:8">
      <c r="B89" s="174" t="s">
        <v>859</v>
      </c>
      <c r="C89" s="175"/>
      <c r="D89" s="176"/>
      <c r="E89" s="156" t="s">
        <v>484</v>
      </c>
      <c r="F89" s="295">
        <v>1</v>
      </c>
      <c r="G89" s="295">
        <f>H90</f>
        <v>312.95999999999998</v>
      </c>
      <c r="H89" s="296">
        <f>G89*F89</f>
        <v>312.95999999999998</v>
      </c>
    </row>
    <row r="90" spans="2:8">
      <c r="B90" s="178" t="s">
        <v>489</v>
      </c>
      <c r="C90" s="179"/>
      <c r="D90" s="180"/>
      <c r="E90" s="157" t="s">
        <v>490</v>
      </c>
      <c r="F90" s="295">
        <f>F87</f>
        <v>26.08</v>
      </c>
      <c r="G90" s="295">
        <f>VLOOKUP(B90,Tabela3[[#All],[descrição]:[fonte]],4,FALSE)</f>
        <v>12</v>
      </c>
      <c r="H90" s="299">
        <f>TRUNC(F90*G90,2)</f>
        <v>312.95999999999998</v>
      </c>
    </row>
    <row r="91" spans="2:8">
      <c r="B91" s="181" t="s">
        <v>491</v>
      </c>
      <c r="C91" s="182"/>
      <c r="D91" s="183"/>
      <c r="E91" s="134" t="s">
        <v>484</v>
      </c>
      <c r="F91" s="38">
        <v>1</v>
      </c>
      <c r="G91" s="38">
        <f>VLOOKUP(B91,Tabela3[[#All],[descrição]:[fonte]],4,FALSE)</f>
        <v>220</v>
      </c>
      <c r="H91" s="288">
        <f>G91*F91</f>
        <v>220</v>
      </c>
    </row>
    <row r="92" spans="2:8">
      <c r="B92" s="300" t="s">
        <v>384</v>
      </c>
      <c r="C92" s="301"/>
      <c r="D92" s="301"/>
      <c r="E92" s="301"/>
      <c r="F92" s="301"/>
      <c r="G92" s="301"/>
      <c r="H92" s="473">
        <f>D21</f>
        <v>1</v>
      </c>
    </row>
    <row r="93" spans="2:8" ht="15.75" thickBot="1">
      <c r="B93" s="303" t="s">
        <v>854</v>
      </c>
      <c r="C93" s="304"/>
      <c r="D93" s="304"/>
      <c r="E93" s="304"/>
      <c r="F93" s="304"/>
      <c r="G93" s="304"/>
      <c r="H93" s="305">
        <f>H92*H67</f>
        <v>3960.4700000000003</v>
      </c>
    </row>
    <row r="95" spans="2:8" ht="15.75" thickBot="1">
      <c r="B95" s="309" t="s">
        <v>1004</v>
      </c>
    </row>
    <row r="96" spans="2:8">
      <c r="B96" s="277" t="s">
        <v>516</v>
      </c>
      <c r="C96" s="278"/>
      <c r="D96" s="278"/>
      <c r="E96" s="278"/>
      <c r="F96" s="278"/>
      <c r="G96" s="279"/>
      <c r="H96" s="280">
        <f>H112+H114+H118+H120</f>
        <v>3696.25</v>
      </c>
    </row>
    <row r="97" spans="2:8">
      <c r="B97" s="281" t="str">
        <f>CONCATENATE("Salário - ",B96)</f>
        <v>Salário - Operador de Pá Carregadeira</v>
      </c>
      <c r="C97" s="168"/>
      <c r="D97" s="169"/>
      <c r="E97" s="112" t="s">
        <v>466</v>
      </c>
      <c r="F97" s="112">
        <v>1</v>
      </c>
      <c r="G97" s="38">
        <f>VLOOKUP(B97,Tabela3[[#All],[descrição]:[fonte]],4,FALSE)</f>
        <v>1581.25</v>
      </c>
      <c r="H97" s="282">
        <f>TRUNC(F97*G97,2)</f>
        <v>1581.25</v>
      </c>
    </row>
    <row r="98" spans="2:8">
      <c r="B98" s="170" t="s">
        <v>855</v>
      </c>
      <c r="C98" s="24"/>
      <c r="D98" s="24"/>
      <c r="E98" s="97" t="s">
        <v>466</v>
      </c>
      <c r="F98" s="97">
        <v>1</v>
      </c>
      <c r="G98" s="38">
        <f>VLOOKUP(B98,Tabela3[[#All],[descrição]:[fonte]],4,FALSE)</f>
        <v>1045</v>
      </c>
      <c r="H98" s="283"/>
    </row>
    <row r="99" spans="2:8">
      <c r="B99" s="170" t="s">
        <v>468</v>
      </c>
      <c r="C99" s="24"/>
      <c r="D99" s="24"/>
      <c r="E99" s="97" t="s">
        <v>469</v>
      </c>
      <c r="F99" s="152"/>
      <c r="G99" s="96"/>
      <c r="H99" s="151"/>
    </row>
    <row r="100" spans="2:8">
      <c r="B100" s="170"/>
      <c r="C100" s="24"/>
      <c r="D100" s="24"/>
      <c r="E100" s="97" t="s">
        <v>470</v>
      </c>
      <c r="F100" s="38">
        <f>F99*8/7</f>
        <v>0</v>
      </c>
      <c r="G100" s="284">
        <f>G97/220*0.2</f>
        <v>1.4375</v>
      </c>
      <c r="H100" s="283">
        <f>TRUNC(F100*G100,2)</f>
        <v>0</v>
      </c>
    </row>
    <row r="101" spans="2:8">
      <c r="B101" s="170" t="s">
        <v>471</v>
      </c>
      <c r="C101" s="24"/>
      <c r="D101" s="24"/>
      <c r="E101" s="97" t="s">
        <v>472</v>
      </c>
      <c r="F101" s="152"/>
      <c r="G101" s="38">
        <f>G97/220*2</f>
        <v>14.375</v>
      </c>
      <c r="H101" s="283">
        <f>TRUNC(F101*G101,2)</f>
        <v>0</v>
      </c>
    </row>
    <row r="102" spans="2:8">
      <c r="B102" s="170" t="s">
        <v>473</v>
      </c>
      <c r="C102" s="24"/>
      <c r="D102" s="24"/>
      <c r="E102" s="97" t="s">
        <v>469</v>
      </c>
      <c r="F102" s="152"/>
      <c r="G102" s="38"/>
      <c r="H102" s="283"/>
    </row>
    <row r="103" spans="2:8">
      <c r="B103" s="170"/>
      <c r="C103" s="24"/>
      <c r="D103" s="24"/>
      <c r="E103" s="97" t="s">
        <v>470</v>
      </c>
      <c r="F103" s="38">
        <f>F102*8/7</f>
        <v>0</v>
      </c>
      <c r="G103" s="38">
        <f>G97/220*2*1.2</f>
        <v>17.25</v>
      </c>
      <c r="H103" s="283">
        <f>TRUNC(F103*G103,2)</f>
        <v>0</v>
      </c>
    </row>
    <row r="104" spans="2:8">
      <c r="B104" s="170" t="s">
        <v>474</v>
      </c>
      <c r="C104" s="24"/>
      <c r="D104" s="24"/>
      <c r="E104" s="97" t="s">
        <v>472</v>
      </c>
      <c r="F104" s="152"/>
      <c r="G104" s="38">
        <f>G97/220*1.5</f>
        <v>10.78125</v>
      </c>
      <c r="H104" s="283">
        <f>TRUNC(F104*G104,2)</f>
        <v>0</v>
      </c>
    </row>
    <row r="105" spans="2:8">
      <c r="B105" s="170" t="s">
        <v>475</v>
      </c>
      <c r="C105" s="24"/>
      <c r="D105" s="24"/>
      <c r="E105" s="97" t="s">
        <v>469</v>
      </c>
      <c r="F105" s="152"/>
      <c r="G105" s="38"/>
      <c r="H105" s="283"/>
    </row>
    <row r="106" spans="2:8">
      <c r="B106" s="170"/>
      <c r="C106" s="24"/>
      <c r="D106" s="24"/>
      <c r="E106" s="97" t="s">
        <v>470</v>
      </c>
      <c r="F106" s="38">
        <f>F105*8/7</f>
        <v>0</v>
      </c>
      <c r="G106" s="38">
        <f>G97/220*1.5*1.2</f>
        <v>12.9375</v>
      </c>
      <c r="H106" s="283">
        <f>TRUNC(F106*G106,2)</f>
        <v>0</v>
      </c>
    </row>
    <row r="107" spans="2:8">
      <c r="B107" s="170" t="s">
        <v>476</v>
      </c>
      <c r="C107" s="24"/>
      <c r="D107" s="24"/>
      <c r="E107" s="97" t="s">
        <v>477</v>
      </c>
      <c r="F107" s="96"/>
      <c r="G107" s="38">
        <f>TRUNC(((52+9)/304)*(SUM(H101:H106)),2)</f>
        <v>0</v>
      </c>
      <c r="H107" s="283">
        <f>G107</f>
        <v>0</v>
      </c>
    </row>
    <row r="108" spans="2:8">
      <c r="B108" s="170" t="s">
        <v>478</v>
      </c>
      <c r="C108" s="24"/>
      <c r="D108" s="24"/>
      <c r="E108" s="97"/>
      <c r="F108" s="285">
        <v>1</v>
      </c>
      <c r="G108" s="38"/>
      <c r="H108" s="283"/>
    </row>
    <row r="109" spans="2:8">
      <c r="B109" s="170" t="s">
        <v>479</v>
      </c>
      <c r="C109" s="24"/>
      <c r="D109" s="24"/>
      <c r="E109" s="97" t="s">
        <v>480</v>
      </c>
      <c r="F109" s="286">
        <f>VLOOKUP(B97,Tabela3[[#All],[descrição]:[fonte]],3,FALSE)</f>
        <v>20</v>
      </c>
      <c r="G109" s="38">
        <f>IF(F108=2,SUM(H97:H107),IF(F108=1,SUM(H97:H107)*G98/G97,0))</f>
        <v>1045</v>
      </c>
      <c r="H109" s="283">
        <f>TRUNC(F109*G109/100,2)</f>
        <v>209</v>
      </c>
    </row>
    <row r="110" spans="2:8">
      <c r="B110" s="171" t="s">
        <v>481</v>
      </c>
      <c r="C110" s="24"/>
      <c r="D110" s="24"/>
      <c r="E110" s="134"/>
      <c r="F110" s="134"/>
      <c r="G110" s="287"/>
      <c r="H110" s="288">
        <f>SUM(H97:H109)</f>
        <v>1790.25</v>
      </c>
    </row>
    <row r="111" spans="2:8">
      <c r="B111" s="172" t="s">
        <v>482</v>
      </c>
      <c r="C111" s="184"/>
      <c r="D111" s="185"/>
      <c r="E111" s="154" t="s">
        <v>480</v>
      </c>
      <c r="F111" s="41">
        <f>VLOOKUP(B111,Tabela3[[#All],[descrição]:[fonte]],4,FALSE)</f>
        <v>70.489999999999995</v>
      </c>
      <c r="G111" s="41">
        <f>H110</f>
        <v>1790.25</v>
      </c>
      <c r="H111" s="289">
        <f>TRUNC(G111*F111/100,2)</f>
        <v>1261.94</v>
      </c>
    </row>
    <row r="112" spans="2:8">
      <c r="B112" s="173" t="s">
        <v>861</v>
      </c>
      <c r="C112" s="24"/>
      <c r="D112" s="24"/>
      <c r="E112" s="155"/>
      <c r="F112" s="155"/>
      <c r="G112" s="290"/>
      <c r="H112" s="291">
        <f>TRUNC(H110+H111,2)</f>
        <v>3052.19</v>
      </c>
    </row>
    <row r="113" spans="2:8" ht="15.75">
      <c r="B113" s="292" t="s">
        <v>483</v>
      </c>
      <c r="C113" s="293"/>
      <c r="D113" s="293"/>
      <c r="E113" s="293"/>
      <c r="F113" s="293"/>
      <c r="G113" s="293"/>
      <c r="H113" s="294"/>
    </row>
    <row r="114" spans="2:8">
      <c r="B114" s="174" t="s">
        <v>860</v>
      </c>
      <c r="C114" s="175"/>
      <c r="D114" s="176"/>
      <c r="E114" s="156" t="s">
        <v>484</v>
      </c>
      <c r="F114" s="295">
        <v>1</v>
      </c>
      <c r="G114" s="295">
        <f>H117</f>
        <v>111.1</v>
      </c>
      <c r="H114" s="296">
        <f>TRUNC(G114*F114,2)</f>
        <v>111.1</v>
      </c>
    </row>
    <row r="115" spans="2:8">
      <c r="B115" s="170" t="s">
        <v>485</v>
      </c>
      <c r="C115" s="24"/>
      <c r="D115" s="24"/>
      <c r="E115" s="97" t="s">
        <v>477</v>
      </c>
      <c r="F115" s="38">
        <v>1</v>
      </c>
      <c r="G115" s="38">
        <f>VLOOKUP(B115,Tabela3[[#All],[descrição]:[fonte]],4,FALSE)</f>
        <v>3.95</v>
      </c>
      <c r="H115" s="283"/>
    </row>
    <row r="116" spans="2:8">
      <c r="B116" s="170" t="s">
        <v>486</v>
      </c>
      <c r="C116" s="24"/>
      <c r="D116" s="24"/>
      <c r="E116" s="97" t="s">
        <v>487</v>
      </c>
      <c r="F116" s="38">
        <f>ROUND((9+304)/12,2)</f>
        <v>26.08</v>
      </c>
      <c r="G116" s="38"/>
      <c r="H116" s="283"/>
    </row>
    <row r="117" spans="2:8">
      <c r="B117" s="177" t="str">
        <f>CONCATENATE("Vale Transporte - ",B96)</f>
        <v>Vale Transporte - Operador de Pá Carregadeira</v>
      </c>
      <c r="C117" s="24"/>
      <c r="D117" s="24"/>
      <c r="E117" s="102" t="s">
        <v>488</v>
      </c>
      <c r="F117" s="297">
        <f>F116*2*1</f>
        <v>52.16</v>
      </c>
      <c r="G117" s="297">
        <f>IF(TRUNC(IFERROR(((G115)-((G97*0.06)/(F116*2))),"-"),2)&lt;=0,0,TRUNC(IFERROR(((G115)-((G97*0.06)/(F116*2))),"-"),2))</f>
        <v>2.13</v>
      </c>
      <c r="H117" s="298">
        <f>TRUNC(IFERROR(F117*G117,"-"),2)</f>
        <v>111.1</v>
      </c>
    </row>
    <row r="118" spans="2:8">
      <c r="B118" s="174" t="s">
        <v>859</v>
      </c>
      <c r="C118" s="175"/>
      <c r="D118" s="176"/>
      <c r="E118" s="156" t="s">
        <v>484</v>
      </c>
      <c r="F118" s="295">
        <v>1</v>
      </c>
      <c r="G118" s="295">
        <f>H119</f>
        <v>312.95999999999998</v>
      </c>
      <c r="H118" s="296">
        <f>G118*F118</f>
        <v>312.95999999999998</v>
      </c>
    </row>
    <row r="119" spans="2:8">
      <c r="B119" s="178" t="s">
        <v>489</v>
      </c>
      <c r="C119" s="179"/>
      <c r="D119" s="180"/>
      <c r="E119" s="157" t="s">
        <v>490</v>
      </c>
      <c r="F119" s="295">
        <f>F116</f>
        <v>26.08</v>
      </c>
      <c r="G119" s="295">
        <f>VLOOKUP(B119,Tabela3[[#All],[descrição]:[fonte]],4,FALSE)</f>
        <v>12</v>
      </c>
      <c r="H119" s="299">
        <f>TRUNC(F119*G119,2)</f>
        <v>312.95999999999998</v>
      </c>
    </row>
    <row r="120" spans="2:8">
      <c r="B120" s="181" t="s">
        <v>491</v>
      </c>
      <c r="C120" s="182"/>
      <c r="D120" s="183"/>
      <c r="E120" s="134" t="s">
        <v>484</v>
      </c>
      <c r="F120" s="38">
        <v>1</v>
      </c>
      <c r="G120" s="38">
        <f>VLOOKUP(B120,Tabela3[[#All],[descrição]:[fonte]],4,FALSE)</f>
        <v>220</v>
      </c>
      <c r="H120" s="288">
        <f>G120*F120</f>
        <v>220</v>
      </c>
    </row>
    <row r="121" spans="2:8">
      <c r="B121" s="300" t="s">
        <v>384</v>
      </c>
      <c r="C121" s="301"/>
      <c r="D121" s="301"/>
      <c r="E121" s="301"/>
      <c r="F121" s="301"/>
      <c r="G121" s="301"/>
      <c r="H121" s="473">
        <f>D22</f>
        <v>1</v>
      </c>
    </row>
    <row r="122" spans="2:8" ht="15.75" thickBot="1">
      <c r="B122" s="303" t="s">
        <v>854</v>
      </c>
      <c r="C122" s="304"/>
      <c r="D122" s="304"/>
      <c r="E122" s="304"/>
      <c r="F122" s="304"/>
      <c r="G122" s="304"/>
      <c r="H122" s="305">
        <f>H121*H96</f>
        <v>3696.25</v>
      </c>
    </row>
    <row r="124" spans="2:8" ht="15.75" thickBot="1">
      <c r="B124" s="309" t="s">
        <v>1005</v>
      </c>
    </row>
    <row r="125" spans="2:8">
      <c r="B125" s="277" t="s">
        <v>730</v>
      </c>
      <c r="C125" s="278"/>
      <c r="D125" s="278"/>
      <c r="E125" s="278"/>
      <c r="F125" s="278"/>
      <c r="G125" s="279"/>
      <c r="H125" s="280">
        <f>H141+H143+H147+H149</f>
        <v>2864.23</v>
      </c>
    </row>
    <row r="126" spans="2:8">
      <c r="B126" s="281" t="str">
        <f>CONCATENATE("Salário - ",B125)</f>
        <v>Salário - Ajudante</v>
      </c>
      <c r="C126" s="168"/>
      <c r="D126" s="169"/>
      <c r="E126" s="112" t="s">
        <v>466</v>
      </c>
      <c r="F126" s="112">
        <v>1</v>
      </c>
      <c r="G126" s="38">
        <f>VLOOKUP(B126,Tabela3[[#All],[descrição]:[fonte]],4,FALSE)</f>
        <v>1084.6400000000001</v>
      </c>
      <c r="H126" s="282">
        <f>TRUNC(F126*G126,2)</f>
        <v>1084.6400000000001</v>
      </c>
    </row>
    <row r="127" spans="2:8">
      <c r="B127" s="170" t="s">
        <v>855</v>
      </c>
      <c r="C127" s="24"/>
      <c r="D127" s="24"/>
      <c r="E127" s="97" t="s">
        <v>466</v>
      </c>
      <c r="F127" s="97">
        <v>1</v>
      </c>
      <c r="G127" s="38">
        <f>VLOOKUP(B127,Tabela3[[#All],[descrição]:[fonte]],4,FALSE)</f>
        <v>1045</v>
      </c>
      <c r="H127" s="283"/>
    </row>
    <row r="128" spans="2:8">
      <c r="B128" s="170" t="s">
        <v>468</v>
      </c>
      <c r="C128" s="24"/>
      <c r="D128" s="24"/>
      <c r="E128" s="97" t="s">
        <v>469</v>
      </c>
      <c r="F128" s="152"/>
      <c r="G128" s="96"/>
      <c r="H128" s="151"/>
    </row>
    <row r="129" spans="2:8">
      <c r="B129" s="170"/>
      <c r="C129" s="24"/>
      <c r="D129" s="24"/>
      <c r="E129" s="97" t="s">
        <v>470</v>
      </c>
      <c r="F129" s="38">
        <f>F128*8/7</f>
        <v>0</v>
      </c>
      <c r="G129" s="284">
        <f>G126/220*0.2</f>
        <v>0.98603636363636371</v>
      </c>
      <c r="H129" s="283">
        <f>TRUNC(F129*G129,2)</f>
        <v>0</v>
      </c>
    </row>
    <row r="130" spans="2:8">
      <c r="B130" s="170" t="s">
        <v>471</v>
      </c>
      <c r="C130" s="24"/>
      <c r="D130" s="24"/>
      <c r="E130" s="97" t="s">
        <v>472</v>
      </c>
      <c r="F130" s="152"/>
      <c r="G130" s="38">
        <f>G126/220*2</f>
        <v>9.8603636363636369</v>
      </c>
      <c r="H130" s="283">
        <f>TRUNC(F130*G130,2)</f>
        <v>0</v>
      </c>
    </row>
    <row r="131" spans="2:8">
      <c r="B131" s="170" t="s">
        <v>473</v>
      </c>
      <c r="C131" s="24"/>
      <c r="D131" s="24"/>
      <c r="E131" s="97" t="s">
        <v>469</v>
      </c>
      <c r="F131" s="152"/>
      <c r="G131" s="38"/>
      <c r="H131" s="283"/>
    </row>
    <row r="132" spans="2:8">
      <c r="B132" s="170"/>
      <c r="C132" s="24"/>
      <c r="D132" s="24"/>
      <c r="E132" s="97" t="s">
        <v>470</v>
      </c>
      <c r="F132" s="38">
        <f>F131*8/7</f>
        <v>0</v>
      </c>
      <c r="G132" s="38">
        <f>G126/220*2*1.2</f>
        <v>11.832436363636363</v>
      </c>
      <c r="H132" s="283">
        <f>TRUNC(F132*G132,2)</f>
        <v>0</v>
      </c>
    </row>
    <row r="133" spans="2:8">
      <c r="B133" s="170" t="s">
        <v>474</v>
      </c>
      <c r="C133" s="24"/>
      <c r="D133" s="24"/>
      <c r="E133" s="97" t="s">
        <v>472</v>
      </c>
      <c r="F133" s="152"/>
      <c r="G133" s="38">
        <f>G126/220*1.5</f>
        <v>7.3952727272727277</v>
      </c>
      <c r="H133" s="283">
        <f>TRUNC(F133*G133,2)</f>
        <v>0</v>
      </c>
    </row>
    <row r="134" spans="2:8">
      <c r="B134" s="170" t="s">
        <v>475</v>
      </c>
      <c r="C134" s="24"/>
      <c r="D134" s="24"/>
      <c r="E134" s="97" t="s">
        <v>469</v>
      </c>
      <c r="F134" s="152"/>
      <c r="G134" s="38"/>
      <c r="H134" s="283"/>
    </row>
    <row r="135" spans="2:8">
      <c r="B135" s="170"/>
      <c r="C135" s="24"/>
      <c r="D135" s="24"/>
      <c r="E135" s="97" t="s">
        <v>470</v>
      </c>
      <c r="F135" s="38">
        <f>F134*8/7</f>
        <v>0</v>
      </c>
      <c r="G135" s="38">
        <f>G126/220*1.5*1.2</f>
        <v>8.8743272727272728</v>
      </c>
      <c r="H135" s="283">
        <f>TRUNC(F135*G135,2)</f>
        <v>0</v>
      </c>
    </row>
    <row r="136" spans="2:8">
      <c r="B136" s="170" t="s">
        <v>476</v>
      </c>
      <c r="C136" s="24"/>
      <c r="D136" s="24"/>
      <c r="E136" s="97" t="s">
        <v>477</v>
      </c>
      <c r="F136" s="96"/>
      <c r="G136" s="38">
        <f>TRUNC(((52+9)/304)*(SUM(H130:H135)),2)</f>
        <v>0</v>
      </c>
      <c r="H136" s="283">
        <f>G136</f>
        <v>0</v>
      </c>
    </row>
    <row r="137" spans="2:8">
      <c r="B137" s="170" t="s">
        <v>478</v>
      </c>
      <c r="C137" s="24"/>
      <c r="D137" s="24"/>
      <c r="E137" s="97"/>
      <c r="F137" s="285">
        <v>1</v>
      </c>
      <c r="G137" s="38"/>
      <c r="H137" s="283"/>
    </row>
    <row r="138" spans="2:8">
      <c r="B138" s="170" t="s">
        <v>479</v>
      </c>
      <c r="C138" s="24"/>
      <c r="D138" s="24"/>
      <c r="E138" s="97" t="s">
        <v>480</v>
      </c>
      <c r="F138" s="286">
        <f>VLOOKUP(B126,Tabela3[[#All],[descrição]:[fonte]],3,FALSE)</f>
        <v>20</v>
      </c>
      <c r="G138" s="38">
        <f>IF(F137=2,SUM(H126:H136),IF(F137=1,SUM(H126:H136)*G127/G126,0))</f>
        <v>1045</v>
      </c>
      <c r="H138" s="283">
        <f>TRUNC(F138*G138/100,2)</f>
        <v>209</v>
      </c>
    </row>
    <row r="139" spans="2:8">
      <c r="B139" s="171" t="s">
        <v>481</v>
      </c>
      <c r="C139" s="24"/>
      <c r="D139" s="24"/>
      <c r="E139" s="134"/>
      <c r="F139" s="134"/>
      <c r="G139" s="287"/>
      <c r="H139" s="288">
        <f>SUM(H126:H138)</f>
        <v>1293.6400000000001</v>
      </c>
    </row>
    <row r="140" spans="2:8">
      <c r="B140" s="172" t="s">
        <v>482</v>
      </c>
      <c r="C140" s="184"/>
      <c r="D140" s="185"/>
      <c r="E140" s="154" t="s">
        <v>480</v>
      </c>
      <c r="F140" s="41">
        <f>VLOOKUP(B140,Tabela3[[#All],[descrição]:[fonte]],4,FALSE)</f>
        <v>70.489999999999995</v>
      </c>
      <c r="G140" s="41">
        <f>H139</f>
        <v>1293.6400000000001</v>
      </c>
      <c r="H140" s="289">
        <f>TRUNC(G140*F140/100,2)</f>
        <v>911.88</v>
      </c>
    </row>
    <row r="141" spans="2:8">
      <c r="B141" s="173" t="s">
        <v>861</v>
      </c>
      <c r="C141" s="24"/>
      <c r="D141" s="24"/>
      <c r="E141" s="155"/>
      <c r="F141" s="155"/>
      <c r="G141" s="290"/>
      <c r="H141" s="291">
        <f>TRUNC(H139+H140,2)</f>
        <v>2205.52</v>
      </c>
    </row>
    <row r="142" spans="2:8" ht="15.75">
      <c r="B142" s="292" t="s">
        <v>483</v>
      </c>
      <c r="C142" s="293"/>
      <c r="D142" s="293"/>
      <c r="E142" s="293"/>
      <c r="F142" s="293"/>
      <c r="G142" s="293"/>
      <c r="H142" s="294"/>
    </row>
    <row r="143" spans="2:8">
      <c r="B143" s="174" t="s">
        <v>860</v>
      </c>
      <c r="C143" s="175"/>
      <c r="D143" s="176"/>
      <c r="E143" s="156" t="s">
        <v>484</v>
      </c>
      <c r="F143" s="295">
        <v>1</v>
      </c>
      <c r="G143" s="295">
        <f>H146</f>
        <v>134.75</v>
      </c>
      <c r="H143" s="296">
        <f>TRUNC(G143*F143,2)</f>
        <v>134.75</v>
      </c>
    </row>
    <row r="144" spans="2:8">
      <c r="B144" s="170" t="s">
        <v>485</v>
      </c>
      <c r="C144" s="24"/>
      <c r="D144" s="24"/>
      <c r="E144" s="97" t="s">
        <v>477</v>
      </c>
      <c r="F144" s="38">
        <v>1</v>
      </c>
      <c r="G144" s="38">
        <f>VLOOKUP(B144,Tabela3[[#All],[descrição]:[fonte]],4,FALSE)</f>
        <v>3.95</v>
      </c>
      <c r="H144" s="283"/>
    </row>
    <row r="145" spans="2:8">
      <c r="B145" s="170" t="s">
        <v>486</v>
      </c>
      <c r="C145" s="24"/>
      <c r="D145" s="24"/>
      <c r="E145" s="97" t="s">
        <v>487</v>
      </c>
      <c r="F145" s="38">
        <f>H3</f>
        <v>25.33</v>
      </c>
      <c r="G145" s="38"/>
      <c r="H145" s="283"/>
    </row>
    <row r="146" spans="2:8">
      <c r="B146" s="177" t="str">
        <f>CONCATENATE("Vale Transporte - ",B125)</f>
        <v>Vale Transporte - Ajudante</v>
      </c>
      <c r="C146" s="24"/>
      <c r="D146" s="24"/>
      <c r="E146" s="102" t="s">
        <v>488</v>
      </c>
      <c r="F146" s="297">
        <f>F145*2*1</f>
        <v>50.66</v>
      </c>
      <c r="G146" s="297">
        <f>IF(TRUNC(IFERROR(((G144)-((G126*0.06)/(F145*2))),"-"),2)&lt;=0,0,TRUNC(IFERROR(((G144)-((G126*0.06)/(F145*2))),"-"),2))</f>
        <v>2.66</v>
      </c>
      <c r="H146" s="298">
        <f>TRUNC(IFERROR(F146*G146,"-"),2)</f>
        <v>134.75</v>
      </c>
    </row>
    <row r="147" spans="2:8">
      <c r="B147" s="174" t="s">
        <v>859</v>
      </c>
      <c r="C147" s="175"/>
      <c r="D147" s="176"/>
      <c r="E147" s="156" t="s">
        <v>484</v>
      </c>
      <c r="F147" s="295">
        <v>1</v>
      </c>
      <c r="G147" s="295">
        <f>H148</f>
        <v>303.95999999999998</v>
      </c>
      <c r="H147" s="296">
        <f>G147*F147</f>
        <v>303.95999999999998</v>
      </c>
    </row>
    <row r="148" spans="2:8">
      <c r="B148" s="178" t="s">
        <v>489</v>
      </c>
      <c r="C148" s="179"/>
      <c r="D148" s="180"/>
      <c r="E148" s="157" t="s">
        <v>490</v>
      </c>
      <c r="F148" s="295">
        <f>F145</f>
        <v>25.33</v>
      </c>
      <c r="G148" s="295">
        <f>VLOOKUP(B148,Tabela3[[#All],[descrição]:[fonte]],4,FALSE)</f>
        <v>12</v>
      </c>
      <c r="H148" s="299">
        <f>TRUNC(F148*G148,2)</f>
        <v>303.95999999999998</v>
      </c>
    </row>
    <row r="149" spans="2:8">
      <c r="B149" s="181" t="s">
        <v>491</v>
      </c>
      <c r="C149" s="182"/>
      <c r="D149" s="183"/>
      <c r="E149" s="134" t="s">
        <v>484</v>
      </c>
      <c r="F149" s="38">
        <v>1</v>
      </c>
      <c r="G149" s="38">
        <f>VLOOKUP(B149,Tabela3[[#All],[descrição]:[fonte]],4,FALSE)</f>
        <v>220</v>
      </c>
      <c r="H149" s="288">
        <f>G149*F149</f>
        <v>220</v>
      </c>
    </row>
    <row r="150" spans="2:8">
      <c r="B150" s="300" t="s">
        <v>384</v>
      </c>
      <c r="C150" s="301"/>
      <c r="D150" s="301"/>
      <c r="E150" s="301"/>
      <c r="F150" s="301"/>
      <c r="G150" s="301"/>
      <c r="H150" s="473">
        <f>D23</f>
        <v>2</v>
      </c>
    </row>
    <row r="151" spans="2:8" ht="15.75" thickBot="1">
      <c r="B151" s="303" t="s">
        <v>854</v>
      </c>
      <c r="C151" s="304"/>
      <c r="D151" s="304"/>
      <c r="E151" s="304"/>
      <c r="F151" s="304"/>
      <c r="G151" s="304"/>
      <c r="H151" s="305">
        <f>H150*H125</f>
        <v>5728.46</v>
      </c>
    </row>
    <row r="153" spans="2:8" ht="15.75" thickBot="1">
      <c r="B153" s="309" t="s">
        <v>1006</v>
      </c>
    </row>
    <row r="154" spans="2:8">
      <c r="B154" s="277" t="s">
        <v>866</v>
      </c>
      <c r="C154" s="278"/>
      <c r="D154" s="278"/>
      <c r="E154" s="278"/>
      <c r="F154" s="278"/>
      <c r="G154" s="279"/>
      <c r="H154" s="280">
        <f>H170+H172+H176+H178</f>
        <v>3442.54</v>
      </c>
    </row>
    <row r="155" spans="2:8">
      <c r="B155" s="281" t="str">
        <f>CONCATENATE("Salário - ",B154)</f>
        <v>Salário - Fiscal</v>
      </c>
      <c r="C155" s="168"/>
      <c r="D155" s="169"/>
      <c r="E155" s="112" t="s">
        <v>466</v>
      </c>
      <c r="F155" s="112">
        <v>1</v>
      </c>
      <c r="G155" s="38">
        <f>VLOOKUP(B155,Tabela3[[#All],[descrição]:[fonte]],4,FALSE)</f>
        <v>1427.24</v>
      </c>
      <c r="H155" s="282">
        <f>TRUNC(F155*G155,2)</f>
        <v>1427.24</v>
      </c>
    </row>
    <row r="156" spans="2:8">
      <c r="B156" s="170" t="s">
        <v>855</v>
      </c>
      <c r="C156" s="24"/>
      <c r="D156" s="24"/>
      <c r="E156" s="97" t="s">
        <v>466</v>
      </c>
      <c r="F156" s="97">
        <v>1</v>
      </c>
      <c r="G156" s="38">
        <f>VLOOKUP(B156,Tabela3[[#All],[descrição]:[fonte]],4,FALSE)</f>
        <v>1045</v>
      </c>
      <c r="H156" s="283"/>
    </row>
    <row r="157" spans="2:8">
      <c r="B157" s="170" t="s">
        <v>468</v>
      </c>
      <c r="C157" s="24"/>
      <c r="D157" s="24"/>
      <c r="E157" s="97" t="s">
        <v>469</v>
      </c>
      <c r="F157" s="152"/>
      <c r="G157" s="96"/>
      <c r="H157" s="151"/>
    </row>
    <row r="158" spans="2:8">
      <c r="B158" s="170"/>
      <c r="C158" s="24"/>
      <c r="D158" s="24"/>
      <c r="E158" s="97" t="s">
        <v>470</v>
      </c>
      <c r="F158" s="38">
        <f>F157*8/7</f>
        <v>0</v>
      </c>
      <c r="G158" s="284">
        <f>G155/220*0.2</f>
        <v>1.297490909090909</v>
      </c>
      <c r="H158" s="283">
        <f>TRUNC(F158*G158,2)</f>
        <v>0</v>
      </c>
    </row>
    <row r="159" spans="2:8">
      <c r="B159" s="170" t="s">
        <v>471</v>
      </c>
      <c r="C159" s="24"/>
      <c r="D159" s="24"/>
      <c r="E159" s="97" t="s">
        <v>472</v>
      </c>
      <c r="F159" s="152"/>
      <c r="G159" s="38">
        <f>G155/220*2</f>
        <v>12.97490909090909</v>
      </c>
      <c r="H159" s="283">
        <f>TRUNC(F159*G159,2)</f>
        <v>0</v>
      </c>
    </row>
    <row r="160" spans="2:8">
      <c r="B160" s="170" t="s">
        <v>473</v>
      </c>
      <c r="C160" s="24"/>
      <c r="D160" s="24"/>
      <c r="E160" s="97" t="s">
        <v>469</v>
      </c>
      <c r="F160" s="152"/>
      <c r="G160" s="38"/>
      <c r="H160" s="283"/>
    </row>
    <row r="161" spans="2:8">
      <c r="B161" s="170"/>
      <c r="C161" s="24"/>
      <c r="D161" s="24"/>
      <c r="E161" s="97" t="s">
        <v>470</v>
      </c>
      <c r="F161" s="38">
        <f>F160*8/7</f>
        <v>0</v>
      </c>
      <c r="G161" s="38">
        <f>G155/220*2*1.2</f>
        <v>15.569890909090908</v>
      </c>
      <c r="H161" s="283">
        <f>TRUNC(F161*G161,2)</f>
        <v>0</v>
      </c>
    </row>
    <row r="162" spans="2:8">
      <c r="B162" s="170" t="s">
        <v>474</v>
      </c>
      <c r="C162" s="24"/>
      <c r="D162" s="24"/>
      <c r="E162" s="97" t="s">
        <v>472</v>
      </c>
      <c r="F162" s="152"/>
      <c r="G162" s="38">
        <f>G155/220*1.5</f>
        <v>9.7311818181818168</v>
      </c>
      <c r="H162" s="283">
        <f>TRUNC(F162*G162,2)</f>
        <v>0</v>
      </c>
    </row>
    <row r="163" spans="2:8">
      <c r="B163" s="170" t="s">
        <v>475</v>
      </c>
      <c r="C163" s="24"/>
      <c r="D163" s="24"/>
      <c r="E163" s="97" t="s">
        <v>469</v>
      </c>
      <c r="F163" s="152"/>
      <c r="G163" s="38"/>
      <c r="H163" s="283"/>
    </row>
    <row r="164" spans="2:8">
      <c r="B164" s="170"/>
      <c r="C164" s="24"/>
      <c r="D164" s="24"/>
      <c r="E164" s="97" t="s">
        <v>470</v>
      </c>
      <c r="F164" s="38">
        <f>F163*8/7</f>
        <v>0</v>
      </c>
      <c r="G164" s="38">
        <f>G155/220*1.5*1.2</f>
        <v>11.677418181818179</v>
      </c>
      <c r="H164" s="283">
        <f>TRUNC(F164*G164,2)</f>
        <v>0</v>
      </c>
    </row>
    <row r="165" spans="2:8">
      <c r="B165" s="170" t="s">
        <v>476</v>
      </c>
      <c r="C165" s="24"/>
      <c r="D165" s="24"/>
      <c r="E165" s="97" t="s">
        <v>477</v>
      </c>
      <c r="F165" s="96"/>
      <c r="G165" s="38">
        <f>TRUNC(((52+9)/304)*(SUM(H159:H164)),2)</f>
        <v>0</v>
      </c>
      <c r="H165" s="283">
        <f>G165</f>
        <v>0</v>
      </c>
    </row>
    <row r="166" spans="2:8">
      <c r="B166" s="170" t="s">
        <v>478</v>
      </c>
      <c r="C166" s="24"/>
      <c r="D166" s="24"/>
      <c r="E166" s="97"/>
      <c r="F166" s="285">
        <v>1</v>
      </c>
      <c r="G166" s="38"/>
      <c r="H166" s="283"/>
    </row>
    <row r="167" spans="2:8">
      <c r="B167" s="170" t="s">
        <v>479</v>
      </c>
      <c r="C167" s="24"/>
      <c r="D167" s="24"/>
      <c r="E167" s="97" t="s">
        <v>480</v>
      </c>
      <c r="F167" s="286">
        <f>VLOOKUP(B155,Tabela3[[#All],[descrição]:[fonte]],3,FALSE)</f>
        <v>20</v>
      </c>
      <c r="G167" s="38">
        <f>IF(F166=2,SUM(H155:H165),IF(F166=1,SUM(H155:H165)*G156/G155,0))</f>
        <v>1045</v>
      </c>
      <c r="H167" s="283">
        <f>TRUNC(F167*G167/100,2)</f>
        <v>209</v>
      </c>
    </row>
    <row r="168" spans="2:8">
      <c r="B168" s="171" t="s">
        <v>481</v>
      </c>
      <c r="C168" s="24"/>
      <c r="D168" s="24"/>
      <c r="E168" s="134"/>
      <c r="F168" s="134"/>
      <c r="G168" s="287"/>
      <c r="H168" s="288">
        <f>SUM(H155:H167)</f>
        <v>1636.24</v>
      </c>
    </row>
    <row r="169" spans="2:8">
      <c r="B169" s="172" t="s">
        <v>482</v>
      </c>
      <c r="C169" s="184"/>
      <c r="D169" s="185"/>
      <c r="E169" s="154" t="s">
        <v>480</v>
      </c>
      <c r="F169" s="41">
        <f>VLOOKUP(B169,Tabela3[[#All],[descrição]:[fonte]],4,FALSE)</f>
        <v>70.489999999999995</v>
      </c>
      <c r="G169" s="41">
        <f>H168</f>
        <v>1636.24</v>
      </c>
      <c r="H169" s="289">
        <f>TRUNC(G169*F169/100,2)</f>
        <v>1153.3800000000001</v>
      </c>
    </row>
    <row r="170" spans="2:8">
      <c r="B170" s="173" t="s">
        <v>861</v>
      </c>
      <c r="C170" s="24"/>
      <c r="D170" s="24"/>
      <c r="E170" s="155"/>
      <c r="F170" s="155"/>
      <c r="G170" s="290"/>
      <c r="H170" s="291">
        <f>TRUNC(H168+H169,2)</f>
        <v>2789.62</v>
      </c>
    </row>
    <row r="171" spans="2:8" ht="15.75">
      <c r="B171" s="292" t="s">
        <v>483</v>
      </c>
      <c r="C171" s="293"/>
      <c r="D171" s="293"/>
      <c r="E171" s="293"/>
      <c r="F171" s="293"/>
      <c r="G171" s="293"/>
      <c r="H171" s="294"/>
    </row>
    <row r="172" spans="2:8">
      <c r="B172" s="174" t="s">
        <v>860</v>
      </c>
      <c r="C172" s="175"/>
      <c r="D172" s="176"/>
      <c r="E172" s="156" t="s">
        <v>484</v>
      </c>
      <c r="F172" s="295">
        <v>1</v>
      </c>
      <c r="G172" s="295">
        <f>H175</f>
        <v>119.96</v>
      </c>
      <c r="H172" s="296">
        <f>TRUNC(G172*F172,2)</f>
        <v>119.96</v>
      </c>
    </row>
    <row r="173" spans="2:8">
      <c r="B173" s="170" t="s">
        <v>485</v>
      </c>
      <c r="C173" s="24"/>
      <c r="D173" s="24"/>
      <c r="E173" s="97" t="s">
        <v>477</v>
      </c>
      <c r="F173" s="38">
        <v>1</v>
      </c>
      <c r="G173" s="38">
        <f>VLOOKUP(B173,Tabela3[[#All],[descrição]:[fonte]],4,FALSE)</f>
        <v>3.95</v>
      </c>
      <c r="H173" s="283"/>
    </row>
    <row r="174" spans="2:8">
      <c r="B174" s="170" t="s">
        <v>486</v>
      </c>
      <c r="C174" s="24"/>
      <c r="D174" s="24"/>
      <c r="E174" s="97" t="s">
        <v>487</v>
      </c>
      <c r="F174" s="38">
        <f>ROUND((9+304)/12,2)</f>
        <v>26.08</v>
      </c>
      <c r="G174" s="38"/>
      <c r="H174" s="283"/>
    </row>
    <row r="175" spans="2:8">
      <c r="B175" s="177" t="str">
        <f>CONCATENATE("Vale Transporte - ",B154)</f>
        <v>Vale Transporte - Fiscal</v>
      </c>
      <c r="C175" s="24"/>
      <c r="D175" s="24"/>
      <c r="E175" s="102" t="s">
        <v>488</v>
      </c>
      <c r="F175" s="297">
        <f>F174*2*1</f>
        <v>52.16</v>
      </c>
      <c r="G175" s="297">
        <f>IF(TRUNC(IFERROR(((G173)-((G155*0.06)/(F174*2))),"-"),2)&lt;=0,0,TRUNC(IFERROR(((G173)-((G155*0.06)/(F174*2))),"-"),2))</f>
        <v>2.2999999999999998</v>
      </c>
      <c r="H175" s="298">
        <f>TRUNC(IFERROR(F175*G175,"-"),2)</f>
        <v>119.96</v>
      </c>
    </row>
    <row r="176" spans="2:8">
      <c r="B176" s="174" t="s">
        <v>859</v>
      </c>
      <c r="C176" s="175"/>
      <c r="D176" s="176"/>
      <c r="E176" s="156" t="s">
        <v>484</v>
      </c>
      <c r="F176" s="295">
        <v>1</v>
      </c>
      <c r="G176" s="295">
        <f>H177</f>
        <v>312.95999999999998</v>
      </c>
      <c r="H176" s="296">
        <f>G176*F176</f>
        <v>312.95999999999998</v>
      </c>
    </row>
    <row r="177" spans="2:8">
      <c r="B177" s="178" t="s">
        <v>489</v>
      </c>
      <c r="C177" s="179"/>
      <c r="D177" s="180"/>
      <c r="E177" s="157" t="s">
        <v>490</v>
      </c>
      <c r="F177" s="295">
        <f>F174</f>
        <v>26.08</v>
      </c>
      <c r="G177" s="295">
        <f>VLOOKUP(B177,Tabela3[[#All],[descrição]:[fonte]],4,FALSE)</f>
        <v>12</v>
      </c>
      <c r="H177" s="299">
        <f>TRUNC(F177*G177,2)</f>
        <v>312.95999999999998</v>
      </c>
    </row>
    <row r="178" spans="2:8">
      <c r="B178" s="181" t="s">
        <v>491</v>
      </c>
      <c r="C178" s="182"/>
      <c r="D178" s="183"/>
      <c r="E178" s="134" t="s">
        <v>484</v>
      </c>
      <c r="F178" s="38">
        <v>1</v>
      </c>
      <c r="G178" s="38">
        <f>VLOOKUP(B178,Tabela3[[#All],[descrição]:[fonte]],4,FALSE)</f>
        <v>220</v>
      </c>
      <c r="H178" s="288">
        <f>G178*F178</f>
        <v>220</v>
      </c>
    </row>
    <row r="179" spans="2:8">
      <c r="B179" s="300" t="s">
        <v>384</v>
      </c>
      <c r="C179" s="301"/>
      <c r="D179" s="301"/>
      <c r="E179" s="301"/>
      <c r="F179" s="301"/>
      <c r="G179" s="301"/>
      <c r="H179" s="473">
        <f>D24</f>
        <v>1</v>
      </c>
    </row>
    <row r="180" spans="2:8" ht="15.75" thickBot="1">
      <c r="B180" s="303" t="s">
        <v>854</v>
      </c>
      <c r="C180" s="304"/>
      <c r="D180" s="304"/>
      <c r="E180" s="304"/>
      <c r="F180" s="304"/>
      <c r="G180" s="304"/>
      <c r="H180" s="305">
        <f>H179*H154</f>
        <v>3442.54</v>
      </c>
    </row>
    <row r="181" spans="2:8" ht="14.25" customHeight="1" thickBot="1"/>
    <row r="182" spans="2:8" ht="15.75" thickBot="1">
      <c r="B182" s="348" t="s">
        <v>598</v>
      </c>
      <c r="C182" s="312"/>
      <c r="D182" s="312"/>
      <c r="E182" s="312"/>
      <c r="F182" s="312"/>
      <c r="G182" s="312"/>
      <c r="H182" s="349">
        <f>H180+H151+H122+H93</f>
        <v>16827.72</v>
      </c>
    </row>
    <row r="184" spans="2:8">
      <c r="B184" s="309" t="s">
        <v>1007</v>
      </c>
    </row>
    <row r="185" spans="2:8">
      <c r="B185" s="311" t="s">
        <v>563</v>
      </c>
      <c r="C185" s="312"/>
      <c r="D185" s="312"/>
      <c r="E185" s="312" t="s">
        <v>490</v>
      </c>
      <c r="F185" s="312" t="s">
        <v>561</v>
      </c>
      <c r="G185" s="312" t="s">
        <v>599</v>
      </c>
      <c r="H185" s="324" t="s">
        <v>600</v>
      </c>
    </row>
    <row r="186" spans="2:8">
      <c r="B186" s="311"/>
      <c r="C186" s="312"/>
      <c r="D186" s="312"/>
      <c r="E186" s="358"/>
      <c r="F186" s="312"/>
      <c r="G186" s="358"/>
      <c r="H186" s="324"/>
    </row>
    <row r="187" spans="2:8" ht="15.75" thickBot="1"/>
    <row r="188" spans="2:8" ht="15.75" thickBot="1">
      <c r="B188" s="348" t="s">
        <v>602</v>
      </c>
      <c r="C188" s="312"/>
      <c r="D188" s="312"/>
      <c r="E188" s="312"/>
      <c r="F188" s="312"/>
      <c r="G188" s="312"/>
      <c r="H188" s="349"/>
    </row>
    <row r="190" spans="2:8">
      <c r="B190" s="309" t="s">
        <v>1008</v>
      </c>
    </row>
    <row r="191" spans="2:8">
      <c r="B191" s="311" t="s">
        <v>563</v>
      </c>
      <c r="C191" s="312"/>
      <c r="D191" s="312"/>
      <c r="E191" s="312" t="s">
        <v>490</v>
      </c>
      <c r="F191" s="312"/>
      <c r="G191" s="312"/>
      <c r="H191" s="324" t="s">
        <v>600</v>
      </c>
    </row>
    <row r="192" spans="2:8">
      <c r="B192" s="357" t="s">
        <v>725</v>
      </c>
      <c r="C192" s="312"/>
      <c r="D192" s="312"/>
      <c r="E192" s="358" t="s">
        <v>616</v>
      </c>
      <c r="F192" s="312"/>
      <c r="G192" s="312"/>
      <c r="H192" s="465">
        <f>TRUNC(H196+H199+H202,2)</f>
        <v>10495.46</v>
      </c>
    </row>
    <row r="193" spans="2:8">
      <c r="B193" s="315" t="s">
        <v>882</v>
      </c>
      <c r="C193" s="316"/>
      <c r="E193" s="350" t="s">
        <v>601</v>
      </c>
      <c r="F193" s="316"/>
      <c r="G193" s="316"/>
      <c r="H193" s="328">
        <f>VLOOKUP(B192,Tabela1[[#All],[ITENS PARA ORÇAMENTO]:[MEDIANA]],11,FALSE)</f>
        <v>500000</v>
      </c>
    </row>
    <row r="194" spans="2:8">
      <c r="B194" s="318" t="s">
        <v>605</v>
      </c>
      <c r="E194" s="353" t="s">
        <v>615</v>
      </c>
      <c r="H194" s="331">
        <f>G35/12</f>
        <v>5</v>
      </c>
    </row>
    <row r="195" spans="2:8">
      <c r="B195" s="318" t="s">
        <v>606</v>
      </c>
      <c r="E195" s="353" t="s">
        <v>615</v>
      </c>
      <c r="H195" s="331">
        <v>0</v>
      </c>
    </row>
    <row r="196" spans="2:8">
      <c r="B196" s="348" t="s">
        <v>607</v>
      </c>
      <c r="C196" s="312"/>
      <c r="D196" s="312"/>
      <c r="E196" s="358" t="s">
        <v>616</v>
      </c>
      <c r="F196" s="312"/>
      <c r="G196" s="312"/>
      <c r="H196" s="359">
        <f>TRUNC((H193-H198)/H194/12,2)</f>
        <v>5833.33</v>
      </c>
    </row>
    <row r="197" spans="2:8">
      <c r="B197" s="318" t="s">
        <v>608</v>
      </c>
      <c r="E197" s="353" t="s">
        <v>480</v>
      </c>
      <c r="H197" s="360">
        <v>0.3</v>
      </c>
    </row>
    <row r="198" spans="2:8">
      <c r="B198" s="318" t="s">
        <v>609</v>
      </c>
      <c r="E198" s="353" t="s">
        <v>477</v>
      </c>
      <c r="H198" s="331">
        <f>H197*H193</f>
        <v>150000</v>
      </c>
    </row>
    <row r="199" spans="2:8">
      <c r="B199" s="348" t="s">
        <v>610</v>
      </c>
      <c r="C199" s="312"/>
      <c r="D199" s="312"/>
      <c r="E199" s="358" t="s">
        <v>616</v>
      </c>
      <c r="F199" s="312"/>
      <c r="G199" s="312"/>
      <c r="H199" s="359">
        <f>TRUNC(((1+H200)^(1/12)-1)*H201,2)</f>
        <v>495.47</v>
      </c>
    </row>
    <row r="200" spans="2:8">
      <c r="B200" s="318" t="s">
        <v>612</v>
      </c>
      <c r="E200" s="353" t="s">
        <v>480</v>
      </c>
      <c r="H200" s="328">
        <f>VLOOKUP(B200,Tabela1[[#All],[ITENS PARA ORÇAMENTO]:[MEDIANA]],11,FALSE)</f>
        <v>0.02</v>
      </c>
    </row>
    <row r="201" spans="2:8">
      <c r="B201" s="318" t="s">
        <v>611</v>
      </c>
      <c r="E201" s="353" t="s">
        <v>477</v>
      </c>
      <c r="H201" s="361">
        <f>((H194+1)*H193)/(2*H194)</f>
        <v>300000</v>
      </c>
    </row>
    <row r="202" spans="2:8">
      <c r="B202" s="348" t="s">
        <v>613</v>
      </c>
      <c r="C202" s="312"/>
      <c r="D202" s="312"/>
      <c r="E202" s="358" t="s">
        <v>616</v>
      </c>
      <c r="F202" s="362" t="s">
        <v>874</v>
      </c>
      <c r="G202" s="363">
        <v>0.5</v>
      </c>
      <c r="H202" s="359">
        <f>TRUNC(H193*G202/(H194*12),2)</f>
        <v>4166.66</v>
      </c>
    </row>
    <row r="203" spans="2:8">
      <c r="B203" s="348" t="s">
        <v>384</v>
      </c>
      <c r="C203" s="312"/>
      <c r="E203" s="358"/>
      <c r="F203" s="312"/>
      <c r="G203" s="312"/>
      <c r="H203" s="483">
        <f>H35</f>
        <v>1</v>
      </c>
    </row>
    <row r="204" spans="2:8">
      <c r="B204" s="348" t="s">
        <v>244</v>
      </c>
      <c r="C204" s="312"/>
      <c r="D204" s="312"/>
      <c r="E204" s="358" t="s">
        <v>616</v>
      </c>
      <c r="F204" s="312"/>
      <c r="G204" s="312"/>
      <c r="H204" s="359">
        <f>TRUNC(H203*H192,2)</f>
        <v>10495.46</v>
      </c>
    </row>
    <row r="205" spans="2:8" ht="15.75" thickBot="1"/>
    <row r="206" spans="2:8" ht="15.75" thickBot="1">
      <c r="B206" s="348" t="s">
        <v>636</v>
      </c>
      <c r="C206" s="312"/>
      <c r="D206" s="312"/>
      <c r="E206" s="312"/>
      <c r="F206" s="312"/>
      <c r="G206" s="312"/>
      <c r="H206" s="349">
        <f>H204</f>
        <v>10495.46</v>
      </c>
    </row>
    <row r="208" spans="2:8">
      <c r="B208" s="309" t="s">
        <v>1009</v>
      </c>
    </row>
    <row r="209" spans="2:8">
      <c r="B209" s="311" t="s">
        <v>563</v>
      </c>
      <c r="C209" s="312"/>
      <c r="D209" s="312"/>
      <c r="E209" s="312" t="s">
        <v>490</v>
      </c>
      <c r="F209" s="312" t="s">
        <v>561</v>
      </c>
      <c r="G209" s="312" t="s">
        <v>599</v>
      </c>
      <c r="H209" s="324" t="s">
        <v>600</v>
      </c>
    </row>
    <row r="210" spans="2:8">
      <c r="B210" s="315" t="str">
        <f t="shared" ref="B210:B222" si="1">B40</f>
        <v>Jaqueta com reflexivo</v>
      </c>
      <c r="C210" s="316"/>
      <c r="D210" s="316"/>
      <c r="E210" s="350" t="s">
        <v>601</v>
      </c>
      <c r="F210" s="466">
        <f t="shared" ref="F210:F222" si="2">H40</f>
        <v>0.41</v>
      </c>
      <c r="G210" s="330">
        <f>VLOOKUP(B210,Tabela1[[#All],[ITENS PARA ORÇAMENTO]:[MEDIANA]],11,FALSE)</f>
        <v>132.91</v>
      </c>
      <c r="H210" s="352">
        <f>TRUNC(F210*G210,2)</f>
        <v>54.49</v>
      </c>
    </row>
    <row r="211" spans="2:8">
      <c r="B211" s="318" t="str">
        <f t="shared" si="1"/>
        <v>Calça de Brim</v>
      </c>
      <c r="E211" s="353" t="s">
        <v>601</v>
      </c>
      <c r="F211" s="467">
        <f t="shared" si="2"/>
        <v>1.25</v>
      </c>
      <c r="G211" s="330">
        <f>VLOOKUP(B211,Tabela1[[#All],[ITENS PARA ORÇAMENTO]:[MEDIANA]],11,FALSE)</f>
        <v>43.86</v>
      </c>
      <c r="H211" s="354">
        <f t="shared" ref="H211:H222" si="3">TRUNC(F211*G211,2)</f>
        <v>54.82</v>
      </c>
    </row>
    <row r="212" spans="2:8">
      <c r="B212" s="318" t="str">
        <f t="shared" si="1"/>
        <v>Camiseta manga longa com faixa reflexiva</v>
      </c>
      <c r="E212" s="353" t="s">
        <v>601</v>
      </c>
      <c r="F212" s="467">
        <f t="shared" si="2"/>
        <v>1.25</v>
      </c>
      <c r="G212" s="330">
        <f>VLOOKUP(B212,Tabela1[[#All],[ITENS PARA ORÇAMENTO]:[MEDIANA]],11,FALSE)</f>
        <v>43.02</v>
      </c>
      <c r="H212" s="354">
        <f t="shared" si="3"/>
        <v>53.77</v>
      </c>
    </row>
    <row r="213" spans="2:8">
      <c r="B213" s="318" t="str">
        <f t="shared" si="1"/>
        <v>Boné de Brim</v>
      </c>
      <c r="E213" s="353" t="s">
        <v>601</v>
      </c>
      <c r="F213" s="467">
        <f t="shared" si="2"/>
        <v>0.83</v>
      </c>
      <c r="G213" s="330">
        <f>VLOOKUP(B213,Tabela1[[#All],[ITENS PARA ORÇAMENTO]:[MEDIANA]],11,FALSE)</f>
        <v>17.59</v>
      </c>
      <c r="H213" s="354">
        <f t="shared" si="3"/>
        <v>14.59</v>
      </c>
    </row>
    <row r="214" spans="2:8">
      <c r="B214" s="318" t="str">
        <f t="shared" si="1"/>
        <v>Botina De Segurança C/ Ponta E Biqueira Com Sola Antiderrapante</v>
      </c>
      <c r="E214" s="353" t="s">
        <v>601</v>
      </c>
      <c r="F214" s="467">
        <f t="shared" si="2"/>
        <v>1.25</v>
      </c>
      <c r="G214" s="330">
        <f>VLOOKUP(B214,Tabela1[[#All],[ITENS PARA ORÇAMENTO]:[MEDIANA]],11,FALSE)</f>
        <v>57.7</v>
      </c>
      <c r="H214" s="354">
        <f t="shared" si="3"/>
        <v>72.12</v>
      </c>
    </row>
    <row r="215" spans="2:8">
      <c r="B215" s="318" t="str">
        <f t="shared" si="1"/>
        <v>Capa de chuva amarela com reflexivo</v>
      </c>
      <c r="E215" s="353" t="s">
        <v>601</v>
      </c>
      <c r="F215" s="467">
        <f t="shared" si="2"/>
        <v>0.83</v>
      </c>
      <c r="G215" s="330">
        <f>VLOOKUP(B215,Tabela1[[#All],[ITENS PARA ORÇAMENTO]:[MEDIANA]],11,FALSE)</f>
        <v>23</v>
      </c>
      <c r="H215" s="354">
        <f t="shared" si="3"/>
        <v>19.09</v>
      </c>
    </row>
    <row r="216" spans="2:8">
      <c r="B216" s="318" t="str">
        <f t="shared" si="1"/>
        <v>Colete reflexivo</v>
      </c>
      <c r="E216" s="353" t="s">
        <v>601</v>
      </c>
      <c r="F216" s="467">
        <f t="shared" si="2"/>
        <v>0.83</v>
      </c>
      <c r="G216" s="330">
        <f>VLOOKUP(B216,Tabela1[[#All],[ITENS PARA ORÇAMENTO]:[MEDIANA]],11,FALSE)</f>
        <v>19.989999999999998</v>
      </c>
      <c r="H216" s="354">
        <f t="shared" si="3"/>
        <v>16.59</v>
      </c>
    </row>
    <row r="217" spans="2:8">
      <c r="B217" s="318" t="str">
        <f t="shared" si="1"/>
        <v>Luva Tricotada com revestimento Nitrílico</v>
      </c>
      <c r="E217" s="353" t="s">
        <v>601</v>
      </c>
      <c r="F217" s="467">
        <f t="shared" si="2"/>
        <v>3.33</v>
      </c>
      <c r="G217" s="330">
        <f>VLOOKUP(B217,Tabela1[[#All],[ITENS PARA ORÇAMENTO]:[MEDIANA]],11,FALSE)</f>
        <v>9.99</v>
      </c>
      <c r="H217" s="354">
        <f t="shared" si="3"/>
        <v>33.26</v>
      </c>
    </row>
    <row r="218" spans="2:8">
      <c r="B218" s="318" t="str">
        <f t="shared" si="1"/>
        <v>Recipiente térmico para água (5L)</v>
      </c>
      <c r="E218" s="353" t="s">
        <v>601</v>
      </c>
      <c r="F218" s="467">
        <f t="shared" si="2"/>
        <v>0.06</v>
      </c>
      <c r="G218" s="330">
        <f>VLOOKUP(B218,Tabela1[[#All],[ITENS PARA ORÇAMENTO]:[MEDIANA]],11,FALSE)</f>
        <v>29.86</v>
      </c>
      <c r="H218" s="354">
        <f t="shared" si="3"/>
        <v>1.79</v>
      </c>
    </row>
    <row r="219" spans="2:8">
      <c r="B219" s="318" t="str">
        <f t="shared" si="1"/>
        <v>Protetor solar FPS 30</v>
      </c>
      <c r="E219" s="353" t="s">
        <v>601</v>
      </c>
      <c r="F219" s="467">
        <f t="shared" si="2"/>
        <v>5</v>
      </c>
      <c r="G219" s="330">
        <f>VLOOKUP(B219,Tabela1[[#All],[ITENS PARA ORÇAMENTO]:[MEDIANA]],11,FALSE)</f>
        <v>9.65</v>
      </c>
      <c r="H219" s="354">
        <f t="shared" si="3"/>
        <v>48.25</v>
      </c>
    </row>
    <row r="220" spans="2:8">
      <c r="B220" s="318" t="str">
        <f t="shared" si="1"/>
        <v>Óculos de Proteção</v>
      </c>
      <c r="E220" s="353" t="s">
        <v>601</v>
      </c>
      <c r="F220" s="467">
        <f t="shared" si="2"/>
        <v>0.08</v>
      </c>
      <c r="G220" s="330">
        <f>VLOOKUP(B220,Tabela1[[#All],[ITENS PARA ORÇAMENTO]:[MEDIANA]],11,FALSE)</f>
        <v>6.66</v>
      </c>
      <c r="H220" s="354">
        <f t="shared" si="3"/>
        <v>0.53</v>
      </c>
    </row>
    <row r="221" spans="2:8">
      <c r="B221" s="318" t="str">
        <f t="shared" si="1"/>
        <v>Máscara tripla</v>
      </c>
      <c r="E221" s="353" t="s">
        <v>601</v>
      </c>
      <c r="F221" s="467">
        <f t="shared" si="2"/>
        <v>0.08</v>
      </c>
      <c r="G221" s="330">
        <f>VLOOKUP(B221,Tabela1[[#All],[ITENS PARA ORÇAMENTO]:[MEDIANA]],11,FALSE)</f>
        <v>1.1299999999999999</v>
      </c>
      <c r="H221" s="354">
        <f t="shared" si="3"/>
        <v>0.09</v>
      </c>
    </row>
    <row r="222" spans="2:8">
      <c r="B222" s="320" t="str">
        <f t="shared" si="1"/>
        <v>Protetor auricular</v>
      </c>
      <c r="C222" s="321"/>
      <c r="D222" s="321"/>
      <c r="E222" s="355" t="s">
        <v>601</v>
      </c>
      <c r="F222" s="468">
        <f t="shared" si="2"/>
        <v>0.08</v>
      </c>
      <c r="G222" s="333">
        <f>VLOOKUP(B222,Tabela1[[#All],[ITENS PARA ORÇAMENTO]:[MEDIANA]],11,FALSE)</f>
        <v>5.83</v>
      </c>
      <c r="H222" s="356">
        <f t="shared" si="3"/>
        <v>0.46</v>
      </c>
    </row>
    <row r="223" spans="2:8" ht="15.75" thickBot="1">
      <c r="B223" s="337" t="s">
        <v>595</v>
      </c>
    </row>
    <row r="224" spans="2:8" ht="15.75" thickBot="1">
      <c r="B224" s="348" t="s">
        <v>614</v>
      </c>
      <c r="C224" s="312"/>
      <c r="D224" s="312"/>
      <c r="E224" s="312"/>
      <c r="F224" s="312"/>
      <c r="G224" s="312"/>
      <c r="H224" s="349">
        <f>SUM(H210:H222)</f>
        <v>369.84999999999991</v>
      </c>
    </row>
    <row r="226" spans="2:8">
      <c r="B226" s="309" t="s">
        <v>1010</v>
      </c>
    </row>
    <row r="227" spans="2:8" ht="15.75" thickBot="1">
      <c r="B227" s="309" t="s">
        <v>1011</v>
      </c>
    </row>
    <row r="228" spans="2:8">
      <c r="B228" s="1509" t="s">
        <v>732</v>
      </c>
      <c r="C228" s="1510"/>
      <c r="D228" s="1510"/>
      <c r="E228" s="1511"/>
      <c r="F228" s="433">
        <f>VLOOKUP(B228,Tabela13[[#All],[Descrição]:[FONTE]],2,FALSE)</f>
        <v>0</v>
      </c>
      <c r="G228" s="434" t="s">
        <v>814</v>
      </c>
      <c r="H228" s="435">
        <f>TRUNC(H236+H247+H251+H255+H262+H267+H279,2)</f>
        <v>16301.62</v>
      </c>
    </row>
    <row r="229" spans="2:8">
      <c r="B229" s="1512" t="s">
        <v>799</v>
      </c>
      <c r="C229" s="1513"/>
      <c r="D229" s="1513"/>
      <c r="E229" s="1514"/>
      <c r="F229" s="97" t="s">
        <v>477</v>
      </c>
      <c r="G229" s="353"/>
      <c r="H229" s="100">
        <f>VLOOKUP(B228,Tabela13[[#All],[Descrição]:[FONTE]],3,FALSE)</f>
        <v>275000</v>
      </c>
    </row>
    <row r="230" spans="2:8">
      <c r="B230" s="1493" t="s">
        <v>800</v>
      </c>
      <c r="C230" s="1494"/>
      <c r="D230" s="1494"/>
      <c r="E230" s="1495"/>
      <c r="F230" s="97" t="s">
        <v>615</v>
      </c>
      <c r="G230" s="353"/>
      <c r="H230" s="100">
        <f>VLOOKUP(B228,Tabela13[[#All],[Descrição]:[FONTE]],4,FALSE)</f>
        <v>6</v>
      </c>
    </row>
    <row r="231" spans="2:8">
      <c r="B231" s="1493" t="s">
        <v>801</v>
      </c>
      <c r="C231" s="1494"/>
      <c r="D231" s="1494"/>
      <c r="E231" s="1495"/>
      <c r="F231" s="97" t="s">
        <v>615</v>
      </c>
      <c r="G231" s="353"/>
      <c r="H231" s="100">
        <f>VLOOKUP(B228,Tabela13[[#All],[Descrição]:[FONTE]],5,FALSE)</f>
        <v>0</v>
      </c>
    </row>
    <row r="232" spans="2:8">
      <c r="B232" s="1493" t="s">
        <v>802</v>
      </c>
      <c r="C232" s="1494"/>
      <c r="D232" s="1494"/>
      <c r="E232" s="1495"/>
      <c r="F232" s="97" t="s">
        <v>803</v>
      </c>
      <c r="G232" s="353"/>
      <c r="H232" s="100">
        <f>VLOOKUP(B228,Tabela13[[#All],[Descrição]:[FONTE]],8,FALSE)</f>
        <v>2000</v>
      </c>
    </row>
    <row r="233" spans="2:8">
      <c r="B233" s="1493" t="s">
        <v>804</v>
      </c>
      <c r="C233" s="1494"/>
      <c r="D233" s="1494"/>
      <c r="E233" s="1495"/>
      <c r="F233" s="97" t="s">
        <v>703</v>
      </c>
      <c r="G233" s="353"/>
      <c r="H233" s="100">
        <f>VLOOKUP(B228,Tabela13[[#All],[Descrição]:[FONTE]],9,FALSE)</f>
        <v>3000</v>
      </c>
    </row>
    <row r="234" spans="2:8">
      <c r="B234" s="1493" t="s">
        <v>805</v>
      </c>
      <c r="C234" s="1494"/>
      <c r="D234" s="1494"/>
      <c r="E234" s="1495"/>
      <c r="F234" s="97" t="s">
        <v>806</v>
      </c>
      <c r="G234" s="353"/>
      <c r="H234" s="100">
        <f>VLOOKUP(B228,Tabela13[[#All],[Descrição]:[FONTE]],11,FALSE)</f>
        <v>0.6</v>
      </c>
    </row>
    <row r="235" spans="2:8">
      <c r="B235" s="1493" t="s">
        <v>807</v>
      </c>
      <c r="C235" s="1494"/>
      <c r="D235" s="1494"/>
      <c r="E235" s="1495"/>
      <c r="F235" s="102" t="s">
        <v>808</v>
      </c>
      <c r="G235" s="355"/>
      <c r="H235" s="103">
        <f>VLOOKUP(B228,Tabela13[[#All],[Descrição]:[FONTE]],7,FALSE)</f>
        <v>226</v>
      </c>
    </row>
    <row r="236" spans="2:8" ht="15.75">
      <c r="B236" s="1496" t="s">
        <v>757</v>
      </c>
      <c r="C236" s="1497"/>
      <c r="D236" s="1497"/>
      <c r="E236" s="1498"/>
      <c r="F236" s="125" t="s">
        <v>814</v>
      </c>
      <c r="G236" s="293"/>
      <c r="H236" s="488">
        <f>IFERROR(TRUNC(H244+H246,2),0)</f>
        <v>259.08999999999997</v>
      </c>
    </row>
    <row r="237" spans="2:8">
      <c r="B237" s="1490" t="s">
        <v>733</v>
      </c>
      <c r="C237" s="1491"/>
      <c r="D237" s="1491"/>
      <c r="E237" s="1492"/>
      <c r="F237" s="475"/>
      <c r="G237" s="321"/>
      <c r="H237" s="484"/>
    </row>
    <row r="238" spans="2:8">
      <c r="B238" s="1512" t="s">
        <v>809</v>
      </c>
      <c r="C238" s="1513"/>
      <c r="D238" s="1513"/>
      <c r="E238" s="1514"/>
      <c r="F238" s="97" t="s">
        <v>477</v>
      </c>
      <c r="G238" s="353"/>
      <c r="H238" s="100">
        <f>IFERROR(VLOOKUP(B237,Tabela13[[#All],[Descrição]:[FONTE]],3,FALSE),0)</f>
        <v>24000</v>
      </c>
    </row>
    <row r="239" spans="2:8">
      <c r="B239" s="1493" t="s">
        <v>800</v>
      </c>
      <c r="C239" s="1494"/>
      <c r="D239" s="1494"/>
      <c r="E239" s="1495"/>
      <c r="F239" s="97" t="s">
        <v>615</v>
      </c>
      <c r="G239" s="353"/>
      <c r="H239" s="100">
        <f>IFERROR(VLOOKUP(B237,Tabela13[[#All],[Descrição]:[FONTE]],4,FALSE),0)</f>
        <v>6</v>
      </c>
    </row>
    <row r="240" spans="2:8">
      <c r="B240" s="1493" t="s">
        <v>801</v>
      </c>
      <c r="C240" s="1494"/>
      <c r="D240" s="1494"/>
      <c r="E240" s="1495"/>
      <c r="F240" s="97" t="s">
        <v>615</v>
      </c>
      <c r="G240" s="353"/>
      <c r="H240" s="100">
        <f>IFERROR(VLOOKUP(B237,Tabela13[[#All],[Descrição]:[FONTE]],5,FALSE),0)</f>
        <v>0</v>
      </c>
    </row>
    <row r="241" spans="2:8">
      <c r="B241" s="1493" t="s">
        <v>810</v>
      </c>
      <c r="C241" s="1494"/>
      <c r="D241" s="1494"/>
      <c r="E241" s="1495"/>
      <c r="F241" s="97" t="s">
        <v>480</v>
      </c>
      <c r="G241" s="353"/>
      <c r="H241" s="437">
        <f>IFERROR(VLOOKUP(B237,Tabela13[[#All],[Descrição]:[FONTE]],6,FALSE),"")</f>
        <v>0.3</v>
      </c>
    </row>
    <row r="242" spans="2:8">
      <c r="B242" s="1493" t="s">
        <v>811</v>
      </c>
      <c r="C242" s="1494"/>
      <c r="D242" s="1494"/>
      <c r="E242" s="1495"/>
      <c r="F242" s="97" t="s">
        <v>477</v>
      </c>
      <c r="G242" s="353"/>
      <c r="H242" s="100">
        <f>IFERROR(H241*H238,0)</f>
        <v>7200</v>
      </c>
    </row>
    <row r="243" spans="2:8">
      <c r="B243" s="1493" t="s">
        <v>812</v>
      </c>
      <c r="C243" s="1494"/>
      <c r="D243" s="1494"/>
      <c r="E243" s="1495"/>
      <c r="F243" s="97" t="s">
        <v>477</v>
      </c>
      <c r="G243" s="353"/>
      <c r="H243" s="100">
        <f>IFERROR((H238-H242)/H239,0)</f>
        <v>2800</v>
      </c>
    </row>
    <row r="244" spans="2:8">
      <c r="B244" s="1493" t="s">
        <v>813</v>
      </c>
      <c r="C244" s="1494"/>
      <c r="D244" s="1494"/>
      <c r="E244" s="1495"/>
      <c r="F244" s="97" t="s">
        <v>814</v>
      </c>
      <c r="G244" s="353"/>
      <c r="H244" s="100">
        <f>IFERROR(H243/12,0)</f>
        <v>233.33333333333334</v>
      </c>
    </row>
    <row r="245" spans="2:8">
      <c r="B245" s="1493" t="s">
        <v>815</v>
      </c>
      <c r="C245" s="1494"/>
      <c r="D245" s="1494"/>
      <c r="E245" s="1495"/>
      <c r="F245" s="97" t="s">
        <v>477</v>
      </c>
      <c r="G245" s="353"/>
      <c r="H245" s="100">
        <f>(((H238-H242)*(H239-H240))/(2*(H239-H240)))+H242</f>
        <v>15600</v>
      </c>
    </row>
    <row r="246" spans="2:8">
      <c r="B246" s="1493" t="s">
        <v>816</v>
      </c>
      <c r="C246" s="1494"/>
      <c r="D246" s="1494"/>
      <c r="E246" s="1495"/>
      <c r="F246" s="102" t="s">
        <v>814</v>
      </c>
      <c r="G246" s="355"/>
      <c r="H246" s="103">
        <f>IFERROR(H245*(((1+H252)^(1/12))-1),0)</f>
        <v>25.764668309955496</v>
      </c>
    </row>
    <row r="247" spans="2:8">
      <c r="B247" s="1501" t="s">
        <v>817</v>
      </c>
      <c r="C247" s="1502"/>
      <c r="D247" s="1502"/>
      <c r="E247" s="1502"/>
      <c r="F247" s="175" t="s">
        <v>814</v>
      </c>
      <c r="G247" s="438"/>
      <c r="H247" s="439">
        <f>TRUNC(H250,2)</f>
        <v>2673.61</v>
      </c>
    </row>
    <row r="248" spans="2:8">
      <c r="B248" s="1512" t="s">
        <v>810</v>
      </c>
      <c r="C248" s="1513"/>
      <c r="D248" s="1513"/>
      <c r="E248" s="1514"/>
      <c r="F248" s="112" t="s">
        <v>480</v>
      </c>
      <c r="G248" s="350"/>
      <c r="H248" s="440">
        <f>VLOOKUP(B228,Tabela13[[#All],[Descrição]:[FONTE]],6,FALSE)</f>
        <v>0.3</v>
      </c>
    </row>
    <row r="249" spans="2:8">
      <c r="B249" s="1493" t="s">
        <v>811</v>
      </c>
      <c r="C249" s="1494"/>
      <c r="D249" s="1494"/>
      <c r="E249" s="1495"/>
      <c r="F249" s="97" t="s">
        <v>477</v>
      </c>
      <c r="G249" s="353"/>
      <c r="H249" s="100">
        <f>H248*H229</f>
        <v>82500</v>
      </c>
    </row>
    <row r="250" spans="2:8">
      <c r="B250" s="1515" t="s">
        <v>817</v>
      </c>
      <c r="C250" s="1516"/>
      <c r="D250" s="1516"/>
      <c r="E250" s="1517"/>
      <c r="F250" s="102" t="s">
        <v>616</v>
      </c>
      <c r="G250" s="355"/>
      <c r="H250" s="441">
        <f>((H229-H249)/((H230*12)))</f>
        <v>2673.6111111111113</v>
      </c>
    </row>
    <row r="251" spans="2:8">
      <c r="B251" s="1501" t="s">
        <v>839</v>
      </c>
      <c r="C251" s="1502"/>
      <c r="D251" s="1502"/>
      <c r="E251" s="1503"/>
      <c r="F251" s="156" t="s">
        <v>814</v>
      </c>
      <c r="G251" s="438"/>
      <c r="H251" s="439">
        <f>TRUNC(H254,2)</f>
        <v>321.70999999999998</v>
      </c>
    </row>
    <row r="252" spans="2:8">
      <c r="B252" s="1512" t="s">
        <v>778</v>
      </c>
      <c r="C252" s="1513"/>
      <c r="D252" s="1513"/>
      <c r="E252" s="1514"/>
      <c r="F252" s="112" t="s">
        <v>480</v>
      </c>
      <c r="G252" s="350"/>
      <c r="H252" s="353">
        <f>VLOOKUP(B252,Tabela1[[#All],[ITENS PARA ORÇAMENTO]:[MEDIANA]],11,FALSE)</f>
        <v>0.02</v>
      </c>
    </row>
    <row r="253" spans="2:8">
      <c r="B253" s="1493" t="s">
        <v>815</v>
      </c>
      <c r="C253" s="1494"/>
      <c r="D253" s="1494"/>
      <c r="E253" s="1495"/>
      <c r="F253" s="97" t="s">
        <v>477</v>
      </c>
      <c r="G253" s="99"/>
      <c r="H253" s="100">
        <f>((((H230-H231)+1)*(H229-H249))/(2*(H230-H231)))+H249</f>
        <v>194791.66666666669</v>
      </c>
    </row>
    <row r="254" spans="2:8">
      <c r="B254" s="1515" t="s">
        <v>818</v>
      </c>
      <c r="C254" s="1516"/>
      <c r="D254" s="1516"/>
      <c r="E254" s="1517"/>
      <c r="F254" s="102" t="s">
        <v>616</v>
      </c>
      <c r="G254" s="101"/>
      <c r="H254" s="103">
        <f>((1+H252)^(1/12)-1)*(H253)</f>
        <v>321.71427443654369</v>
      </c>
    </row>
    <row r="255" spans="2:8">
      <c r="B255" s="1501" t="s">
        <v>840</v>
      </c>
      <c r="C255" s="1502"/>
      <c r="D255" s="1502"/>
      <c r="E255" s="1503"/>
      <c r="F255" s="156" t="s">
        <v>814</v>
      </c>
      <c r="G255" s="442"/>
      <c r="H255" s="436">
        <f>TRUNC(H261,2)</f>
        <v>1027.31</v>
      </c>
    </row>
    <row r="256" spans="2:8">
      <c r="B256" s="1512" t="s">
        <v>819</v>
      </c>
      <c r="C256" s="1513"/>
      <c r="D256" s="1513"/>
      <c r="E256" s="1514"/>
      <c r="F256" s="112" t="s">
        <v>814</v>
      </c>
      <c r="G256" s="443">
        <f>IFERROR((H245+H253),IFERROR(H253,H245))</f>
        <v>210391.66666666669</v>
      </c>
      <c r="H256" s="198">
        <f>(H257*G256)</f>
        <v>4207.8333333333339</v>
      </c>
    </row>
    <row r="257" spans="2:8">
      <c r="B257" s="1493" t="s">
        <v>766</v>
      </c>
      <c r="C257" s="1494"/>
      <c r="D257" s="1494"/>
      <c r="E257" s="1495"/>
      <c r="F257" s="97" t="s">
        <v>480</v>
      </c>
      <c r="G257" s="444"/>
      <c r="H257" s="437">
        <f>VLOOKUP(B257,Tabela13[[#All],[Descrição]:[FONTE]],17,FALSE)</f>
        <v>0.02</v>
      </c>
    </row>
    <row r="258" spans="2:8">
      <c r="B258" s="1493" t="s">
        <v>820</v>
      </c>
      <c r="C258" s="1494"/>
      <c r="D258" s="1494"/>
      <c r="E258" s="1495"/>
      <c r="F258" s="97" t="s">
        <v>477</v>
      </c>
      <c r="G258" s="444"/>
      <c r="H258" s="100">
        <f>VLOOKUP(B228,Tabela13[[#All],[Descrição]:[FONTE]],14,FALSE)</f>
        <v>100</v>
      </c>
    </row>
    <row r="259" spans="2:8">
      <c r="B259" s="1493" t="s">
        <v>821</v>
      </c>
      <c r="C259" s="1494"/>
      <c r="D259" s="1494"/>
      <c r="E259" s="1495"/>
      <c r="F259" s="97" t="s">
        <v>477</v>
      </c>
      <c r="G259" s="444"/>
      <c r="H259" s="100">
        <f>VLOOKUP(B228,Tabela13[[#All],[Descrição]:[FONTE]],15,FALSE)</f>
        <v>20</v>
      </c>
    </row>
    <row r="260" spans="2:8">
      <c r="B260" s="1493" t="s">
        <v>822</v>
      </c>
      <c r="C260" s="1494"/>
      <c r="D260" s="1494"/>
      <c r="E260" s="1495"/>
      <c r="F260" s="97" t="s">
        <v>477</v>
      </c>
      <c r="G260" s="445"/>
      <c r="H260" s="100">
        <f>VLOOKUP(B228,Tabela13[[#All],[Descrição]:[FONTE]],16,FALSE)</f>
        <v>8000</v>
      </c>
    </row>
    <row r="261" spans="2:8">
      <c r="B261" s="1493" t="s">
        <v>823</v>
      </c>
      <c r="C261" s="1494"/>
      <c r="D261" s="1494"/>
      <c r="E261" s="1495"/>
      <c r="F261" s="102" t="s">
        <v>616</v>
      </c>
      <c r="G261" s="446"/>
      <c r="H261" s="103">
        <f>(H256+H258+H259+H260)/12</f>
        <v>1027.3194444444446</v>
      </c>
    </row>
    <row r="262" spans="2:8">
      <c r="B262" s="1501" t="s">
        <v>841</v>
      </c>
      <c r="C262" s="1502"/>
      <c r="D262" s="1502"/>
      <c r="E262" s="1503"/>
      <c r="F262" s="156" t="s">
        <v>814</v>
      </c>
      <c r="G262" s="175"/>
      <c r="H262" s="439">
        <f>TRUNC(H265+H266,2)</f>
        <v>7595.28</v>
      </c>
    </row>
    <row r="263" spans="2:8">
      <c r="B263" s="1518" t="s">
        <v>772</v>
      </c>
      <c r="C263" s="1519"/>
      <c r="D263" s="1519"/>
      <c r="E263" s="1520"/>
      <c r="F263" s="112" t="s">
        <v>477</v>
      </c>
      <c r="G263" s="125"/>
      <c r="H263" s="198">
        <f>VLOOKUP(B263,Tabela13[[#All],[Descrição]:[FONTE]],17,FALSE)</f>
        <v>3.8359999999999999</v>
      </c>
    </row>
    <row r="264" spans="2:8">
      <c r="B264" s="1493" t="s">
        <v>824</v>
      </c>
      <c r="C264" s="1494"/>
      <c r="D264" s="1494"/>
      <c r="E264" s="1495"/>
      <c r="F264" s="97" t="s">
        <v>825</v>
      </c>
      <c r="G264" s="447">
        <f>H234</f>
        <v>0.6</v>
      </c>
      <c r="H264" s="100">
        <f>G264*H263</f>
        <v>2.3015999999999996</v>
      </c>
    </row>
    <row r="265" spans="2:8">
      <c r="B265" s="1493" t="s">
        <v>826</v>
      </c>
      <c r="C265" s="1494"/>
      <c r="D265" s="1494"/>
      <c r="E265" s="1495"/>
      <c r="F265" s="97" t="s">
        <v>814</v>
      </c>
      <c r="G265" s="447">
        <f>H233</f>
        <v>3000</v>
      </c>
      <c r="H265" s="100">
        <f>H264*G265</f>
        <v>6904.7999999999993</v>
      </c>
    </row>
    <row r="266" spans="2:8">
      <c r="B266" s="1493" t="s">
        <v>827</v>
      </c>
      <c r="C266" s="1494"/>
      <c r="D266" s="1494"/>
      <c r="E266" s="1495"/>
      <c r="F266" s="102" t="s">
        <v>814</v>
      </c>
      <c r="G266" s="470">
        <v>0.1</v>
      </c>
      <c r="H266" s="103">
        <f>H265*G266</f>
        <v>690.48</v>
      </c>
    </row>
    <row r="267" spans="2:8">
      <c r="B267" s="1501" t="s">
        <v>842</v>
      </c>
      <c r="C267" s="1502"/>
      <c r="D267" s="1502"/>
      <c r="E267" s="1503"/>
      <c r="F267" s="156" t="s">
        <v>814</v>
      </c>
      <c r="G267" s="471"/>
      <c r="H267" s="439">
        <f>TRUNC(H277*H278,2)</f>
        <v>987.12</v>
      </c>
    </row>
    <row r="268" spans="2:8">
      <c r="B268" s="1512" t="s">
        <v>779</v>
      </c>
      <c r="C268" s="1513"/>
      <c r="D268" s="1513"/>
      <c r="E268" s="1514"/>
      <c r="F268" s="112" t="s">
        <v>477</v>
      </c>
      <c r="G268" s="350"/>
      <c r="H268" s="100">
        <f>VLOOKUP(B268,Tabela13[[#All],[Descrição]:[FONTE]],17,FALSE)</f>
        <v>1557</v>
      </c>
    </row>
    <row r="269" spans="2:8">
      <c r="B269" s="1493" t="s">
        <v>783</v>
      </c>
      <c r="C269" s="1494"/>
      <c r="D269" s="1494"/>
      <c r="E269" s="1495"/>
      <c r="F269" s="97" t="s">
        <v>477</v>
      </c>
      <c r="G269" s="353"/>
      <c r="H269" s="100">
        <f>VLOOKUP(B269,Tabela13[[#All],[Descrição]:[FONTE]],17,FALSE)</f>
        <v>101.64</v>
      </c>
    </row>
    <row r="270" spans="2:8">
      <c r="B270" s="1493" t="s">
        <v>781</v>
      </c>
      <c r="C270" s="1494"/>
      <c r="D270" s="1494"/>
      <c r="E270" s="1495"/>
      <c r="F270" s="97" t="s">
        <v>477</v>
      </c>
      <c r="G270" s="353"/>
      <c r="H270" s="100">
        <f>VLOOKUP(B270,Tabela13[[#All],[Descrição]:[FONTE]],17,FALSE)</f>
        <v>101.64</v>
      </c>
    </row>
    <row r="271" spans="2:8">
      <c r="B271" s="1493" t="s">
        <v>828</v>
      </c>
      <c r="C271" s="1494"/>
      <c r="D271" s="1494"/>
      <c r="E271" s="1495"/>
      <c r="F271" s="97" t="s">
        <v>829</v>
      </c>
      <c r="G271" s="353"/>
      <c r="H271" s="199">
        <f>VLOOKUP(B228,Tabela13[[#All],[Descrição]:[FONTE]],13,FALSE)</f>
        <v>10</v>
      </c>
    </row>
    <row r="272" spans="2:8">
      <c r="B272" s="1493" t="s">
        <v>830</v>
      </c>
      <c r="C272" s="1494"/>
      <c r="D272" s="1494"/>
      <c r="E272" s="1495"/>
      <c r="F272" s="97" t="s">
        <v>829</v>
      </c>
      <c r="G272" s="353"/>
      <c r="H272" s="200">
        <f>IFERROR(VLOOKUP(B237,Tabela13[[#All],[Descrição]:[FONTE]],13,FALSE),0)</f>
        <v>0</v>
      </c>
    </row>
    <row r="273" spans="2:8">
      <c r="B273" s="1493" t="s">
        <v>782</v>
      </c>
      <c r="C273" s="1494"/>
      <c r="D273" s="1494"/>
      <c r="E273" s="1495"/>
      <c r="F273" s="97" t="s">
        <v>477</v>
      </c>
      <c r="G273" s="353"/>
      <c r="H273" s="100">
        <f>VLOOKUP(B273,Tabela13[[#All],[Descrição]:[FONTE]],17,FALSE)</f>
        <v>520</v>
      </c>
    </row>
    <row r="274" spans="2:8">
      <c r="B274" s="1493" t="s">
        <v>831</v>
      </c>
      <c r="C274" s="1494"/>
      <c r="D274" s="1494"/>
      <c r="E274" s="1495"/>
      <c r="F274" s="97" t="s">
        <v>832</v>
      </c>
      <c r="G274" s="353"/>
      <c r="H274" s="100">
        <f>VLOOKUP(B268,Tabela13[[#All],[Descrição]:[FONTE]],4,FALSE)</f>
        <v>30000</v>
      </c>
    </row>
    <row r="275" spans="2:8">
      <c r="B275" s="1493" t="s">
        <v>833</v>
      </c>
      <c r="C275" s="1494"/>
      <c r="D275" s="1494"/>
      <c r="E275" s="1495"/>
      <c r="F275" s="97" t="s">
        <v>832</v>
      </c>
      <c r="G275" s="353"/>
      <c r="H275" s="100">
        <f>VLOOKUP(B273,Tabela13[[#All],[Descrição]:[FONTE]],4,FALSE)</f>
        <v>50000</v>
      </c>
    </row>
    <row r="276" spans="2:8">
      <c r="B276" s="1493" t="s">
        <v>834</v>
      </c>
      <c r="C276" s="1494"/>
      <c r="D276" s="1494"/>
      <c r="E276" s="1495"/>
      <c r="F276" s="97" t="s">
        <v>480</v>
      </c>
      <c r="G276" s="353"/>
      <c r="H276" s="437">
        <v>0.2</v>
      </c>
    </row>
    <row r="277" spans="2:8">
      <c r="B277" s="1493" t="s">
        <v>835</v>
      </c>
      <c r="C277" s="1494"/>
      <c r="D277" s="1494"/>
      <c r="E277" s="1495"/>
      <c r="F277" s="97" t="s">
        <v>825</v>
      </c>
      <c r="G277" s="353"/>
      <c r="H277" s="100">
        <f>(((1+H276)*(H268+H269+H270)*(H271+H272))+(H273*(H271+H272)))/(H274+H275)</f>
        <v>0.329042</v>
      </c>
    </row>
    <row r="278" spans="2:8">
      <c r="B278" s="1493" t="s">
        <v>836</v>
      </c>
      <c r="C278" s="1494"/>
      <c r="D278" s="1494"/>
      <c r="E278" s="1495"/>
      <c r="F278" s="102" t="s">
        <v>704</v>
      </c>
      <c r="G278" s="355"/>
      <c r="H278" s="448">
        <f>G265</f>
        <v>3000</v>
      </c>
    </row>
    <row r="279" spans="2:8">
      <c r="B279" s="1501" t="s">
        <v>843</v>
      </c>
      <c r="C279" s="1502"/>
      <c r="D279" s="1502"/>
      <c r="E279" s="1503"/>
      <c r="F279" s="449" t="s">
        <v>814</v>
      </c>
      <c r="G279" s="450"/>
      <c r="H279" s="439">
        <f>TRUNC(H281,2)</f>
        <v>3437.5</v>
      </c>
    </row>
    <row r="280" spans="2:8">
      <c r="B280" s="1512" t="s">
        <v>837</v>
      </c>
      <c r="C280" s="1513"/>
      <c r="D280" s="1513"/>
      <c r="E280" s="1514"/>
      <c r="F280" s="112"/>
      <c r="G280" s="350"/>
      <c r="H280" s="198">
        <f>VLOOKUP(B228,Tabela13[[#All],[Descrição]:[FONTE]],12,FALSE)</f>
        <v>0.9</v>
      </c>
    </row>
    <row r="281" spans="2:8">
      <c r="B281" s="1515" t="s">
        <v>838</v>
      </c>
      <c r="C281" s="1516"/>
      <c r="D281" s="1516"/>
      <c r="E281" s="1517"/>
      <c r="F281" s="97" t="s">
        <v>616</v>
      </c>
      <c r="G281" s="353"/>
      <c r="H281" s="100">
        <f>(H229*H280)/(H230*12)</f>
        <v>3437.5</v>
      </c>
    </row>
    <row r="282" spans="2:8">
      <c r="B282" s="476" t="s">
        <v>845</v>
      </c>
      <c r="C282" s="477"/>
      <c r="D282" s="477"/>
      <c r="E282" s="477"/>
      <c r="F282" s="450"/>
      <c r="G282" s="450"/>
      <c r="H282" s="451">
        <f>H57</f>
        <v>1</v>
      </c>
    </row>
    <row r="283" spans="2:8" ht="15.75" thickBot="1">
      <c r="B283" s="1507" t="s">
        <v>844</v>
      </c>
      <c r="C283" s="1508"/>
      <c r="D283" s="1508"/>
      <c r="E283" s="1508"/>
      <c r="F283" s="452"/>
      <c r="G283" s="452"/>
      <c r="H283" s="453">
        <f>H282*H228</f>
        <v>16301.62</v>
      </c>
    </row>
    <row r="284" spans="2:8" ht="15.75" thickBot="1"/>
    <row r="285" spans="2:8" ht="15.75" thickBot="1">
      <c r="B285" s="348" t="s">
        <v>669</v>
      </c>
      <c r="C285" s="312"/>
      <c r="D285" s="312"/>
      <c r="E285" s="312"/>
      <c r="F285" s="312"/>
      <c r="G285" s="312"/>
      <c r="H285" s="349">
        <f>H283</f>
        <v>16301.62</v>
      </c>
    </row>
    <row r="287" spans="2:8" ht="15.75" thickBot="1">
      <c r="B287" s="309" t="s">
        <v>872</v>
      </c>
    </row>
    <row r="288" spans="2:8" ht="15.75" thickBot="1">
      <c r="B288" s="348" t="s">
        <v>873</v>
      </c>
      <c r="C288" s="312"/>
      <c r="D288" s="312"/>
      <c r="E288" s="312"/>
      <c r="F288" s="312"/>
      <c r="G288" s="312"/>
      <c r="H288" s="349">
        <f>H285+H224+H206+H182+H188</f>
        <v>43994.65</v>
      </c>
    </row>
    <row r="290" spans="2:8">
      <c r="B290" s="309" t="s">
        <v>1012</v>
      </c>
    </row>
    <row r="291" spans="2:8">
      <c r="B291" s="315" t="str">
        <f>B182</f>
        <v>Custo mensal com mão-de-obra (R$/mês)</v>
      </c>
      <c r="C291" s="316"/>
      <c r="D291" s="316"/>
      <c r="E291" s="316"/>
      <c r="F291" s="316"/>
      <c r="G291" s="316"/>
      <c r="H291" s="485">
        <f>H182</f>
        <v>16827.72</v>
      </c>
    </row>
    <row r="292" spans="2:8">
      <c r="B292" s="318" t="str">
        <f>B188</f>
        <v>Custo mensal com ferramentas (R$/mês)</v>
      </c>
      <c r="H292" s="486">
        <f>H188</f>
        <v>0</v>
      </c>
    </row>
    <row r="293" spans="2:8">
      <c r="B293" s="318" t="str">
        <f>B206</f>
        <v>Custo mensal com equipamentos (R$/mês)</v>
      </c>
      <c r="H293" s="486">
        <f>H206</f>
        <v>10495.46</v>
      </c>
    </row>
    <row r="294" spans="2:8">
      <c r="B294" s="318" t="str">
        <f>B224</f>
        <v>Custo mensal com EPI's (R$/mês)</v>
      </c>
      <c r="H294" s="486">
        <f>H224</f>
        <v>369.84999999999991</v>
      </c>
    </row>
    <row r="295" spans="2:8" ht="15.75" thickBot="1">
      <c r="B295" s="348" t="s">
        <v>873</v>
      </c>
      <c r="C295" s="312"/>
      <c r="D295" s="312"/>
      <c r="E295" s="312"/>
      <c r="F295" s="312"/>
      <c r="G295" s="312"/>
      <c r="H295" s="493">
        <f>SUM(H291:H294)</f>
        <v>27693.03</v>
      </c>
    </row>
    <row r="297" spans="2:8">
      <c r="B297" s="309" t="s">
        <v>1013</v>
      </c>
    </row>
    <row r="298" spans="2:8">
      <c r="B298" s="315" t="s">
        <v>924</v>
      </c>
      <c r="C298" s="316"/>
      <c r="D298" s="316"/>
      <c r="E298" s="316"/>
      <c r="F298" s="365">
        <f>H295</f>
        <v>27693.03</v>
      </c>
    </row>
    <row r="299" spans="2:8">
      <c r="B299" s="320" t="s">
        <v>926</v>
      </c>
      <c r="C299" s="321"/>
      <c r="D299" s="321"/>
      <c r="F299" s="366">
        <f>ANEXO_IIId_BDI!$D$16</f>
        <v>0.32340000000000002</v>
      </c>
    </row>
    <row r="300" spans="2:8">
      <c r="B300" s="364" t="s">
        <v>925</v>
      </c>
      <c r="C300" s="321"/>
      <c r="D300" s="321"/>
      <c r="E300" s="312"/>
      <c r="F300" s="367">
        <f>TRUNC(F298*(1+F299),2)</f>
        <v>36648.949999999997</v>
      </c>
    </row>
    <row r="302" spans="2:8">
      <c r="B302" s="309" t="s">
        <v>1014</v>
      </c>
    </row>
    <row r="303" spans="2:8">
      <c r="B303" s="315" t="s">
        <v>925</v>
      </c>
      <c r="C303" s="316"/>
      <c r="D303" s="316"/>
      <c r="E303" s="316"/>
      <c r="F303" s="365">
        <f>F300</f>
        <v>36648.949999999997</v>
      </c>
    </row>
    <row r="304" spans="2:8">
      <c r="B304" s="320" t="s">
        <v>938</v>
      </c>
      <c r="C304" s="321"/>
      <c r="D304" s="321"/>
      <c r="E304" s="321"/>
      <c r="F304" s="368">
        <f>F6</f>
        <v>1027.3848</v>
      </c>
    </row>
    <row r="305" spans="2:7">
      <c r="B305" s="364" t="s">
        <v>939</v>
      </c>
      <c r="C305" s="321"/>
      <c r="D305" s="321"/>
      <c r="E305" s="312"/>
      <c r="F305" s="367">
        <f>TRUNC(F303/F304,2)</f>
        <v>35.67</v>
      </c>
      <c r="G305" s="313"/>
    </row>
  </sheetData>
  <mergeCells count="55">
    <mergeCell ref="B263:E263"/>
    <mergeCell ref="B264:E264"/>
    <mergeCell ref="B265:E265"/>
    <mergeCell ref="B266:E266"/>
    <mergeCell ref="B267:E267"/>
    <mergeCell ref="B268:E268"/>
    <mergeCell ref="B269:E269"/>
    <mergeCell ref="B270:E270"/>
    <mergeCell ref="B271:E271"/>
    <mergeCell ref="B272:E272"/>
    <mergeCell ref="B273:E273"/>
    <mergeCell ref="B274:E274"/>
    <mergeCell ref="B275:E275"/>
    <mergeCell ref="B276:E276"/>
    <mergeCell ref="B277:E277"/>
    <mergeCell ref="B278:E278"/>
    <mergeCell ref="B279:E279"/>
    <mergeCell ref="B280:E280"/>
    <mergeCell ref="B281:E281"/>
    <mergeCell ref="B283:E283"/>
    <mergeCell ref="B248:E248"/>
    <mergeCell ref="B249:E249"/>
    <mergeCell ref="B250:E250"/>
    <mergeCell ref="B251:E251"/>
    <mergeCell ref="B252:E252"/>
    <mergeCell ref="B260:E260"/>
    <mergeCell ref="B261:E261"/>
    <mergeCell ref="B262:E262"/>
    <mergeCell ref="B253:E253"/>
    <mergeCell ref="B254:E254"/>
    <mergeCell ref="B255:E255"/>
    <mergeCell ref="B256:E256"/>
    <mergeCell ref="B257:E257"/>
    <mergeCell ref="B258:E258"/>
    <mergeCell ref="B259:E259"/>
    <mergeCell ref="B238:E238"/>
    <mergeCell ref="B239:E239"/>
    <mergeCell ref="B240:E240"/>
    <mergeCell ref="B241:E241"/>
    <mergeCell ref="B242:E242"/>
    <mergeCell ref="B243:E243"/>
    <mergeCell ref="B244:E244"/>
    <mergeCell ref="B245:E245"/>
    <mergeCell ref="B246:E246"/>
    <mergeCell ref="B247:E247"/>
    <mergeCell ref="B228:E228"/>
    <mergeCell ref="B229:E229"/>
    <mergeCell ref="B230:E230"/>
    <mergeCell ref="B231:E231"/>
    <mergeCell ref="B232:E232"/>
    <mergeCell ref="B233:E233"/>
    <mergeCell ref="B234:E234"/>
    <mergeCell ref="B235:E235"/>
    <mergeCell ref="B236:E236"/>
    <mergeCell ref="B237:E237"/>
  </mergeCells>
  <pageMargins left="0.511811024" right="0.511811024" top="0.78740157499999996" bottom="0.78740157499999996" header="0.31496062000000002" footer="0.31496062000000002"/>
  <pageSetup paperSize="9" fitToHeight="0" orientation="portrait" r:id="rId1"/>
  <headerFooter>
    <oddHeader>&amp;CProduto 3.4 – Estudos e Projetos para a solução definida – Versão Parcial</oddHead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U193"/>
  <sheetViews>
    <sheetView showGridLines="0" view="pageBreakPreview" zoomScale="70" zoomScaleNormal="90" zoomScaleSheetLayoutView="70" zoomScalePageLayoutView="85" workbookViewId="0">
      <selection activeCell="P211" sqref="P211"/>
    </sheetView>
  </sheetViews>
  <sheetFormatPr defaultColWidth="9.140625" defaultRowHeight="15"/>
  <cols>
    <col min="1" max="1" width="9.140625" style="307"/>
    <col min="2" max="2" width="13.42578125" style="307" customWidth="1"/>
    <col min="3" max="3" width="17.42578125" style="307" customWidth="1"/>
    <col min="4" max="4" width="15.28515625" style="307" customWidth="1"/>
    <col min="5" max="5" width="17.85546875" style="307" customWidth="1"/>
    <col min="6" max="6" width="14.28515625" style="307" customWidth="1"/>
    <col min="7" max="7" width="13" style="307" customWidth="1"/>
    <col min="8" max="8" width="12.42578125" style="307" bestFit="1" customWidth="1"/>
    <col min="9" max="10" width="10" style="307" bestFit="1" customWidth="1"/>
    <col min="11" max="11" width="9.140625" style="307"/>
    <col min="12" max="12" width="9.140625" style="318"/>
    <col min="13" max="15" width="9.140625" style="307"/>
    <col min="16" max="16" width="11.42578125" style="307" bestFit="1" customWidth="1"/>
    <col min="17" max="21" width="9.140625" style="307"/>
    <col min="22" max="22" width="11.42578125" style="307" bestFit="1" customWidth="1"/>
    <col min="23" max="16384" width="9.140625" style="307"/>
  </cols>
  <sheetData>
    <row r="1" spans="1:12">
      <c r="A1" s="316"/>
      <c r="B1" s="316"/>
      <c r="C1" s="316"/>
      <c r="D1" s="316"/>
      <c r="E1" s="316"/>
      <c r="F1" s="316"/>
      <c r="G1" s="316"/>
      <c r="H1" s="316"/>
      <c r="I1" s="316"/>
    </row>
    <row r="2" spans="1:12" ht="18.75">
      <c r="B2" s="306" t="s">
        <v>1251</v>
      </c>
      <c r="I2" s="779"/>
    </row>
    <row r="3" spans="1:12" ht="18.75">
      <c r="B3" s="306"/>
    </row>
    <row r="4" spans="1:12">
      <c r="B4" s="309" t="s">
        <v>949</v>
      </c>
      <c r="G4" s="308" t="s">
        <v>891</v>
      </c>
      <c r="H4" s="307">
        <v>25.33</v>
      </c>
    </row>
    <row r="5" spans="1:12">
      <c r="L5" s="883"/>
    </row>
    <row r="6" spans="1:12">
      <c r="B6" s="307" t="s">
        <v>695</v>
      </c>
      <c r="E6" s="533">
        <v>12929.94</v>
      </c>
      <c r="F6" s="307" t="s">
        <v>696</v>
      </c>
      <c r="H6" s="509"/>
    </row>
    <row r="8" spans="1:12">
      <c r="B8" s="726" t="s">
        <v>573</v>
      </c>
      <c r="C8" s="726"/>
      <c r="D8" s="726"/>
      <c r="E8" s="728">
        <v>2250</v>
      </c>
      <c r="F8" s="726" t="s">
        <v>1157</v>
      </c>
      <c r="L8" s="879" t="s">
        <v>1203</v>
      </c>
    </row>
    <row r="9" spans="1:12" ht="15.75" thickBot="1"/>
    <row r="10" spans="1:12" ht="15.75" thickBot="1">
      <c r="B10" s="311" t="s">
        <v>1156</v>
      </c>
      <c r="C10" s="312"/>
      <c r="D10" s="312"/>
      <c r="E10" s="323">
        <f>ROUND(E6/E8,0)</f>
        <v>6</v>
      </c>
      <c r="F10" s="835"/>
    </row>
    <row r="11" spans="1:12">
      <c r="E11" s="851"/>
      <c r="L11" s="73"/>
    </row>
    <row r="12" spans="1:12">
      <c r="B12" s="834" t="s">
        <v>1109</v>
      </c>
      <c r="C12" s="834"/>
      <c r="D12" s="834"/>
      <c r="E12" s="834">
        <v>60</v>
      </c>
      <c r="F12" s="834" t="s">
        <v>1108</v>
      </c>
      <c r="L12" s="73"/>
    </row>
    <row r="13" spans="1:12">
      <c r="B13" s="726" t="s">
        <v>1117</v>
      </c>
      <c r="C13" s="726"/>
      <c r="D13" s="726"/>
      <c r="E13" s="726">
        <v>0.5</v>
      </c>
      <c r="F13" s="726" t="s">
        <v>846</v>
      </c>
      <c r="L13" s="73"/>
    </row>
    <row r="14" spans="1:12" ht="15.75" thickBot="1">
      <c r="B14" s="726"/>
      <c r="C14" s="726"/>
      <c r="D14" s="726"/>
      <c r="E14" s="726"/>
      <c r="L14" s="73"/>
    </row>
    <row r="15" spans="1:12" ht="15.75" thickBot="1">
      <c r="B15" s="311" t="s">
        <v>1182</v>
      </c>
      <c r="C15" s="562"/>
      <c r="D15" s="562"/>
      <c r="E15" s="852">
        <f>TRUNC(E6*H4*12/E13/1000*E12/1000,2)</f>
        <v>471.62</v>
      </c>
      <c r="F15" s="370"/>
    </row>
    <row r="17" spans="2:12">
      <c r="B17" s="309" t="s">
        <v>950</v>
      </c>
    </row>
    <row r="19" spans="2:12">
      <c r="B19" s="726" t="s">
        <v>1145</v>
      </c>
      <c r="C19" s="726"/>
      <c r="D19" s="726"/>
      <c r="E19" s="726">
        <f>1/20</f>
        <v>0.05</v>
      </c>
      <c r="F19" s="726" t="s">
        <v>1150</v>
      </c>
      <c r="L19" s="879" t="s">
        <v>1203</v>
      </c>
    </row>
    <row r="20" spans="2:12">
      <c r="B20" s="726" t="s">
        <v>576</v>
      </c>
      <c r="C20" s="726"/>
      <c r="D20" s="726"/>
      <c r="E20" s="841">
        <v>0</v>
      </c>
      <c r="F20" s="726"/>
    </row>
    <row r="21" spans="2:12" ht="15.75" thickBot="1"/>
    <row r="22" spans="2:12" ht="29.25" customHeight="1">
      <c r="B22" s="1521" t="s">
        <v>1148</v>
      </c>
      <c r="C22" s="1522"/>
      <c r="D22" s="1523"/>
      <c r="E22" s="838">
        <f>E10</f>
        <v>6</v>
      </c>
    </row>
    <row r="23" spans="2:12">
      <c r="B23" s="311" t="s">
        <v>1140</v>
      </c>
      <c r="C23" s="312"/>
      <c r="D23" s="324"/>
      <c r="E23" s="839">
        <f>ROUNDUP(E22*E19,0)</f>
        <v>1</v>
      </c>
    </row>
    <row r="24" spans="2:12" ht="15.75" thickBot="1">
      <c r="B24" s="311" t="s">
        <v>555</v>
      </c>
      <c r="C24" s="312"/>
      <c r="D24" s="324"/>
      <c r="E24" s="840">
        <f>E20</f>
        <v>0</v>
      </c>
    </row>
    <row r="25" spans="2:12" ht="15.75" thickBot="1">
      <c r="B25" s="729" t="s">
        <v>1180</v>
      </c>
      <c r="C25" s="312"/>
      <c r="D25" s="324"/>
      <c r="E25" s="323">
        <f>SUM(E22:E24)</f>
        <v>7</v>
      </c>
    </row>
    <row r="27" spans="2:12">
      <c r="B27" s="309" t="s">
        <v>951</v>
      </c>
    </row>
    <row r="29" spans="2:12" ht="15.75" thickBot="1">
      <c r="B29" s="309" t="s">
        <v>565</v>
      </c>
    </row>
    <row r="30" spans="2:12">
      <c r="B30" s="348" t="s">
        <v>900</v>
      </c>
      <c r="C30" s="732"/>
      <c r="D30" s="732"/>
      <c r="E30" s="348" t="s">
        <v>901</v>
      </c>
      <c r="F30" s="732"/>
      <c r="G30" s="359"/>
      <c r="H30" s="733" t="s">
        <v>584</v>
      </c>
    </row>
    <row r="31" spans="2:12">
      <c r="B31" s="315" t="s">
        <v>423</v>
      </c>
      <c r="C31" s="316"/>
      <c r="D31" s="316"/>
      <c r="E31" s="806">
        <v>12</v>
      </c>
      <c r="F31" s="340" t="s">
        <v>1149</v>
      </c>
      <c r="G31" s="316"/>
      <c r="H31" s="342">
        <f>TRUNC(E31*$E$22/12,2)</f>
        <v>6</v>
      </c>
      <c r="L31" s="879" t="s">
        <v>1203</v>
      </c>
    </row>
    <row r="32" spans="2:12">
      <c r="B32" s="318" t="s">
        <v>427</v>
      </c>
      <c r="E32" s="748">
        <v>0</v>
      </c>
      <c r="F32" s="343" t="s">
        <v>1150</v>
      </c>
      <c r="H32" s="319">
        <f>TRUNC(E32*$E$22/12,2)</f>
        <v>0</v>
      </c>
      <c r="L32" s="879" t="s">
        <v>1203</v>
      </c>
    </row>
    <row r="33" spans="2:12">
      <c r="B33" s="318" t="s">
        <v>597</v>
      </c>
      <c r="E33" s="748">
        <v>1</v>
      </c>
      <c r="F33" s="343" t="s">
        <v>700</v>
      </c>
      <c r="H33" s="319">
        <f>TRUNC(E33*$E$39/12,2)</f>
        <v>0.08</v>
      </c>
      <c r="L33" s="879" t="s">
        <v>1203</v>
      </c>
    </row>
    <row r="34" spans="2:12" ht="15.75" thickBot="1">
      <c r="B34" s="320" t="s">
        <v>698</v>
      </c>
      <c r="C34" s="321"/>
      <c r="D34" s="321"/>
      <c r="E34" s="843">
        <v>10</v>
      </c>
      <c r="F34" s="494" t="s">
        <v>1151</v>
      </c>
      <c r="G34" s="321"/>
      <c r="H34" s="335">
        <f>TRUNC(E34*E22*H4,2)</f>
        <v>1519.8</v>
      </c>
      <c r="L34" s="879" t="s">
        <v>1203</v>
      </c>
    </row>
    <row r="35" spans="2:12">
      <c r="B35" s="337" t="s">
        <v>595</v>
      </c>
    </row>
    <row r="36" spans="2:12">
      <c r="B36" s="337"/>
    </row>
    <row r="37" spans="2:12" ht="15.75" thickBot="1">
      <c r="B37" s="309" t="s">
        <v>547</v>
      </c>
    </row>
    <row r="38" spans="2:12">
      <c r="B38" s="348" t="s">
        <v>900</v>
      </c>
      <c r="C38" s="732"/>
      <c r="D38" s="732"/>
      <c r="E38" s="348" t="s">
        <v>901</v>
      </c>
      <c r="F38" s="732"/>
      <c r="G38" s="747" t="s">
        <v>1163</v>
      </c>
      <c r="H38" s="733" t="s">
        <v>384</v>
      </c>
    </row>
    <row r="39" spans="2:12" ht="15.75" thickBot="1">
      <c r="B39" s="311" t="s">
        <v>699</v>
      </c>
      <c r="C39" s="312"/>
      <c r="D39" s="312"/>
      <c r="E39" s="844">
        <v>1</v>
      </c>
      <c r="F39" s="495" t="s">
        <v>239</v>
      </c>
      <c r="G39" s="496">
        <v>36</v>
      </c>
      <c r="H39" s="497">
        <f>TRUNC((E39*(E22/2)),2)</f>
        <v>3</v>
      </c>
      <c r="L39" s="879" t="s">
        <v>1201</v>
      </c>
    </row>
    <row r="40" spans="2:12">
      <c r="B40" s="337" t="s">
        <v>595</v>
      </c>
    </row>
    <row r="41" spans="2:12">
      <c r="B41" s="337"/>
    </row>
    <row r="42" spans="2:12" ht="15.75" thickBot="1">
      <c r="B42" s="309" t="s">
        <v>442</v>
      </c>
    </row>
    <row r="43" spans="2:12">
      <c r="B43" s="348" t="s">
        <v>900</v>
      </c>
      <c r="C43" s="732"/>
      <c r="D43" s="732"/>
      <c r="E43" s="348" t="s">
        <v>901</v>
      </c>
      <c r="F43" s="732"/>
      <c r="G43" s="359"/>
      <c r="H43" s="733" t="s">
        <v>584</v>
      </c>
    </row>
    <row r="44" spans="2:12">
      <c r="B44" s="315" t="s">
        <v>566</v>
      </c>
      <c r="C44" s="316"/>
      <c r="D44" s="316"/>
      <c r="E44" s="738">
        <v>1</v>
      </c>
      <c r="F44" s="340" t="s">
        <v>701</v>
      </c>
      <c r="H44" s="319">
        <f t="shared" ref="H44:H52" si="0">TRUNC(E44*$E$25/12,2)</f>
        <v>0.57999999999999996</v>
      </c>
      <c r="L44" s="879" t="s">
        <v>1222</v>
      </c>
    </row>
    <row r="45" spans="2:12">
      <c r="B45" s="318" t="s">
        <v>492</v>
      </c>
      <c r="E45" s="739">
        <v>3</v>
      </c>
      <c r="F45" s="343" t="s">
        <v>701</v>
      </c>
      <c r="H45" s="319">
        <f t="shared" si="0"/>
        <v>1.75</v>
      </c>
      <c r="L45" s="879" t="s">
        <v>1201</v>
      </c>
    </row>
    <row r="46" spans="2:12">
      <c r="B46" s="318" t="s">
        <v>493</v>
      </c>
      <c r="E46" s="739">
        <v>3</v>
      </c>
      <c r="F46" s="343" t="s">
        <v>701</v>
      </c>
      <c r="H46" s="319">
        <f t="shared" si="0"/>
        <v>1.75</v>
      </c>
      <c r="L46" s="879" t="s">
        <v>1201</v>
      </c>
    </row>
    <row r="47" spans="2:12">
      <c r="B47" s="318" t="s">
        <v>494</v>
      </c>
      <c r="E47" s="739">
        <v>2</v>
      </c>
      <c r="F47" s="343" t="s">
        <v>701</v>
      </c>
      <c r="H47" s="319">
        <f t="shared" si="0"/>
        <v>1.1599999999999999</v>
      </c>
      <c r="L47" s="879" t="s">
        <v>1201</v>
      </c>
    </row>
    <row r="48" spans="2:12">
      <c r="B48" s="318" t="s">
        <v>502</v>
      </c>
      <c r="E48" s="739">
        <v>3</v>
      </c>
      <c r="F48" s="343" t="s">
        <v>702</v>
      </c>
      <c r="H48" s="319">
        <f t="shared" si="0"/>
        <v>1.75</v>
      </c>
      <c r="L48" s="879" t="s">
        <v>1201</v>
      </c>
    </row>
    <row r="49" spans="2:12">
      <c r="B49" s="318" t="s">
        <v>496</v>
      </c>
      <c r="E49" s="739">
        <v>2</v>
      </c>
      <c r="F49" s="343" t="s">
        <v>701</v>
      </c>
      <c r="H49" s="319">
        <f t="shared" si="0"/>
        <v>1.1599999999999999</v>
      </c>
      <c r="L49" s="879" t="s">
        <v>1201</v>
      </c>
    </row>
    <row r="50" spans="2:12">
      <c r="B50" s="318" t="s">
        <v>497</v>
      </c>
      <c r="E50" s="739">
        <v>2</v>
      </c>
      <c r="F50" s="343" t="s">
        <v>701</v>
      </c>
      <c r="H50" s="319">
        <f t="shared" si="0"/>
        <v>1.1599999999999999</v>
      </c>
      <c r="L50" s="880" t="s">
        <v>1223</v>
      </c>
    </row>
    <row r="51" spans="2:12">
      <c r="B51" s="318" t="s">
        <v>498</v>
      </c>
      <c r="E51" s="739">
        <v>8</v>
      </c>
      <c r="F51" s="343" t="s">
        <v>702</v>
      </c>
      <c r="H51" s="319">
        <f t="shared" si="0"/>
        <v>4.66</v>
      </c>
      <c r="L51" s="879" t="s">
        <v>1201</v>
      </c>
    </row>
    <row r="52" spans="2:12" ht="15.75" thickBot="1">
      <c r="B52" s="320" t="s">
        <v>499</v>
      </c>
      <c r="C52" s="321"/>
      <c r="D52" s="321"/>
      <c r="E52" s="740">
        <v>12</v>
      </c>
      <c r="F52" s="355" t="s">
        <v>701</v>
      </c>
      <c r="G52" s="321"/>
      <c r="H52" s="335">
        <f t="shared" si="0"/>
        <v>7</v>
      </c>
      <c r="L52" s="880" t="s">
        <v>1221</v>
      </c>
    </row>
    <row r="53" spans="2:12">
      <c r="B53" s="336" t="s">
        <v>595</v>
      </c>
    </row>
    <row r="54" spans="2:12">
      <c r="B54" s="337"/>
    </row>
    <row r="55" spans="2:12" ht="15.75" thickBot="1">
      <c r="B55" s="309" t="s">
        <v>1160</v>
      </c>
    </row>
    <row r="56" spans="2:12">
      <c r="B56" s="348" t="s">
        <v>900</v>
      </c>
      <c r="C56" s="732"/>
      <c r="D56" s="732"/>
      <c r="E56" s="348" t="s">
        <v>901</v>
      </c>
      <c r="F56" s="732"/>
      <c r="G56" s="359"/>
      <c r="H56" s="733" t="s">
        <v>584</v>
      </c>
    </row>
    <row r="57" spans="2:12">
      <c r="B57" s="318" t="s">
        <v>604</v>
      </c>
      <c r="E57" s="738">
        <v>0.16700000000000001</v>
      </c>
      <c r="F57" s="343" t="s">
        <v>701</v>
      </c>
      <c r="H57" s="319">
        <f>TRUNC(E57*$E$25/12,2)</f>
        <v>0.09</v>
      </c>
      <c r="L57" s="879" t="s">
        <v>1203</v>
      </c>
    </row>
    <row r="58" spans="2:12">
      <c r="B58" s="1418" t="s">
        <v>1038</v>
      </c>
      <c r="C58" s="1419"/>
      <c r="D58" s="1419"/>
      <c r="E58" s="845">
        <v>0.53600000000000003</v>
      </c>
      <c r="F58" s="764" t="s">
        <v>1171</v>
      </c>
      <c r="G58" s="551"/>
      <c r="H58" s="855">
        <f>TRUNC(E58*$E$22/12,2)</f>
        <v>0.26</v>
      </c>
      <c r="L58" s="879" t="s">
        <v>1225</v>
      </c>
    </row>
    <row r="59" spans="2:12">
      <c r="B59" s="337"/>
    </row>
    <row r="60" spans="2:12" ht="15.75">
      <c r="B60" s="347" t="s">
        <v>952</v>
      </c>
    </row>
    <row r="62" spans="2:12">
      <c r="B62" s="309" t="s">
        <v>953</v>
      </c>
    </row>
    <row r="64" spans="2:12" ht="15.75" thickBot="1">
      <c r="B64" s="309" t="s">
        <v>1134</v>
      </c>
    </row>
    <row r="65" spans="2:9">
      <c r="B65" s="655" t="s">
        <v>1128</v>
      </c>
      <c r="C65" s="656"/>
      <c r="D65" s="656"/>
      <c r="E65" s="656"/>
      <c r="F65" s="656"/>
      <c r="G65" s="657"/>
      <c r="H65" s="658">
        <f>H81+H83+H87+H89</f>
        <v>3271.46</v>
      </c>
      <c r="I65" s="313"/>
    </row>
    <row r="66" spans="2:9">
      <c r="B66" s="659" t="str">
        <f>CONCATENATE("Salário - ",B65)</f>
        <v>Salário - Agente de limpeza pública e serviços gerais</v>
      </c>
      <c r="C66" s="660"/>
      <c r="D66" s="661"/>
      <c r="E66" s="662" t="s">
        <v>466</v>
      </c>
      <c r="F66" s="662">
        <v>1</v>
      </c>
      <c r="G66" s="626">
        <f>VLOOKUP(B66,Tabela3[[#All],[descrição]:[fonte]],4,FALSE)</f>
        <v>1115.69</v>
      </c>
      <c r="H66" s="663">
        <f>TRUNC(F66*G66,2)</f>
        <v>1115.69</v>
      </c>
    </row>
    <row r="67" spans="2:9">
      <c r="B67" s="664" t="s">
        <v>855</v>
      </c>
      <c r="C67" s="665"/>
      <c r="D67" s="665"/>
      <c r="E67" s="666" t="s">
        <v>466</v>
      </c>
      <c r="F67" s="666">
        <v>1</v>
      </c>
      <c r="G67" s="626">
        <f>VLOOKUP(B67,Tabela3[[#All],[descrição]:[fonte]],4,FALSE)</f>
        <v>1045</v>
      </c>
      <c r="H67" s="667"/>
    </row>
    <row r="68" spans="2:9">
      <c r="B68" s="664" t="s">
        <v>468</v>
      </c>
      <c r="C68" s="665"/>
      <c r="D68" s="665"/>
      <c r="E68" s="666" t="s">
        <v>469</v>
      </c>
      <c r="F68" s="668"/>
      <c r="G68" s="669"/>
      <c r="H68" s="670"/>
    </row>
    <row r="69" spans="2:9">
      <c r="B69" s="664"/>
      <c r="C69" s="665"/>
      <c r="D69" s="665"/>
      <c r="E69" s="666" t="s">
        <v>470</v>
      </c>
      <c r="F69" s="626">
        <f>F68*8/7</f>
        <v>0</v>
      </c>
      <c r="G69" s="671">
        <f>G66/220*0.2</f>
        <v>1.0142636363636366</v>
      </c>
      <c r="H69" s="667">
        <f>TRUNC(F69*G69,2)</f>
        <v>0</v>
      </c>
    </row>
    <row r="70" spans="2:9">
      <c r="B70" s="664" t="s">
        <v>471</v>
      </c>
      <c r="C70" s="665"/>
      <c r="D70" s="665"/>
      <c r="E70" s="666" t="s">
        <v>472</v>
      </c>
      <c r="F70" s="668"/>
      <c r="G70" s="626">
        <f>G66/220*2</f>
        <v>10.142636363636365</v>
      </c>
      <c r="H70" s="667">
        <f>TRUNC(F70*G70,2)</f>
        <v>0</v>
      </c>
    </row>
    <row r="71" spans="2:9">
      <c r="B71" s="664" t="s">
        <v>473</v>
      </c>
      <c r="C71" s="665"/>
      <c r="D71" s="665"/>
      <c r="E71" s="666" t="s">
        <v>469</v>
      </c>
      <c r="F71" s="668"/>
      <c r="G71" s="626"/>
      <c r="H71" s="667"/>
    </row>
    <row r="72" spans="2:9">
      <c r="B72" s="664"/>
      <c r="C72" s="665"/>
      <c r="D72" s="665"/>
      <c r="E72" s="666" t="s">
        <v>470</v>
      </c>
      <c r="F72" s="626">
        <f>F71*8/7</f>
        <v>0</v>
      </c>
      <c r="G72" s="626">
        <f>G66/220*2*1.2</f>
        <v>12.171163636363637</v>
      </c>
      <c r="H72" s="667">
        <f>TRUNC(F72*G72,2)</f>
        <v>0</v>
      </c>
    </row>
    <row r="73" spans="2:9">
      <c r="B73" s="664" t="s">
        <v>474</v>
      </c>
      <c r="C73" s="665"/>
      <c r="D73" s="665"/>
      <c r="E73" s="666" t="s">
        <v>472</v>
      </c>
      <c r="F73" s="668"/>
      <c r="G73" s="626">
        <f>G66/220*1.5</f>
        <v>7.6069772727272742</v>
      </c>
      <c r="H73" s="667">
        <f>TRUNC(F73*G73,2)</f>
        <v>0</v>
      </c>
    </row>
    <row r="74" spans="2:9">
      <c r="B74" s="664" t="s">
        <v>475</v>
      </c>
      <c r="C74" s="665"/>
      <c r="D74" s="665"/>
      <c r="E74" s="666" t="s">
        <v>469</v>
      </c>
      <c r="F74" s="668"/>
      <c r="G74" s="626"/>
      <c r="H74" s="667"/>
    </row>
    <row r="75" spans="2:9">
      <c r="B75" s="664"/>
      <c r="C75" s="665"/>
      <c r="D75" s="665"/>
      <c r="E75" s="666" t="s">
        <v>470</v>
      </c>
      <c r="F75" s="626">
        <f>F74*8/7</f>
        <v>0</v>
      </c>
      <c r="G75" s="626">
        <f>G66/220*1.5*1.2</f>
        <v>9.128372727272728</v>
      </c>
      <c r="H75" s="667">
        <f>TRUNC(F75*G75,2)</f>
        <v>0</v>
      </c>
    </row>
    <row r="76" spans="2:9">
      <c r="B76" s="664" t="s">
        <v>476</v>
      </c>
      <c r="C76" s="665"/>
      <c r="D76" s="665"/>
      <c r="E76" s="666" t="s">
        <v>477</v>
      </c>
      <c r="F76" s="669"/>
      <c r="G76" s="626">
        <f>TRUNC(((52+9)/304)*(SUM(H70:H75)),2)</f>
        <v>0</v>
      </c>
      <c r="H76" s="667">
        <f>G76</f>
        <v>0</v>
      </c>
    </row>
    <row r="77" spans="2:9">
      <c r="B77" s="664" t="s">
        <v>478</v>
      </c>
      <c r="C77" s="665"/>
      <c r="D77" s="665"/>
      <c r="E77" s="666"/>
      <c r="F77" s="672">
        <v>1</v>
      </c>
      <c r="G77" s="626"/>
      <c r="H77" s="667"/>
    </row>
    <row r="78" spans="2:9">
      <c r="B78" s="664" t="s">
        <v>479</v>
      </c>
      <c r="C78" s="665"/>
      <c r="D78" s="665"/>
      <c r="E78" s="666" t="s">
        <v>480</v>
      </c>
      <c r="F78" s="673">
        <f>VLOOKUP(B66,Tabela3[[#All],[descrição]:[fonte]],3,FALSE)</f>
        <v>40</v>
      </c>
      <c r="G78" s="626">
        <f>IF(F77=2,SUM(H66:H76),IF(F77=1,SUM(H66:H76)*G67/G66,0))</f>
        <v>1045</v>
      </c>
      <c r="H78" s="667">
        <f>TRUNC(F78*G78/100,2)</f>
        <v>418</v>
      </c>
    </row>
    <row r="79" spans="2:9">
      <c r="B79" s="674" t="s">
        <v>481</v>
      </c>
      <c r="C79" s="665"/>
      <c r="D79" s="665"/>
      <c r="E79" s="675"/>
      <c r="F79" s="675"/>
      <c r="G79" s="676"/>
      <c r="H79" s="677">
        <f>SUM(H66:H78)</f>
        <v>1533.69</v>
      </c>
    </row>
    <row r="80" spans="2:9">
      <c r="B80" s="678" t="s">
        <v>482</v>
      </c>
      <c r="C80" s="679"/>
      <c r="D80" s="680"/>
      <c r="E80" s="681" t="s">
        <v>480</v>
      </c>
      <c r="F80" s="682">
        <f>VLOOKUP(B80,Tabela3[[#All],[descrição]:[fonte]],4,FALSE)</f>
        <v>70.489999999999995</v>
      </c>
      <c r="G80" s="682">
        <f>H79</f>
        <v>1533.69</v>
      </c>
      <c r="H80" s="683">
        <f>TRUNC(G80*F80/100,2)</f>
        <v>1081.0899999999999</v>
      </c>
    </row>
    <row r="81" spans="2:8">
      <c r="B81" s="684" t="s">
        <v>861</v>
      </c>
      <c r="C81" s="665"/>
      <c r="D81" s="665"/>
      <c r="E81" s="685"/>
      <c r="F81" s="685"/>
      <c r="G81" s="686"/>
      <c r="H81" s="687">
        <f>TRUNC(H79+H80,2)</f>
        <v>2614.7800000000002</v>
      </c>
    </row>
    <row r="82" spans="2:8">
      <c r="B82" s="688" t="s">
        <v>483</v>
      </c>
      <c r="C82" s="336"/>
      <c r="D82" s="336"/>
      <c r="E82" s="336"/>
      <c r="F82" s="336"/>
      <c r="G82" s="336"/>
      <c r="H82" s="689"/>
    </row>
    <row r="83" spans="2:8">
      <c r="B83" s="690" t="s">
        <v>860</v>
      </c>
      <c r="C83" s="691"/>
      <c r="D83" s="692"/>
      <c r="E83" s="693" t="s">
        <v>484</v>
      </c>
      <c r="F83" s="694">
        <v>1</v>
      </c>
      <c r="G83" s="694">
        <f>H86</f>
        <v>132.72</v>
      </c>
      <c r="H83" s="695">
        <f>TRUNC(G83*F83,2)</f>
        <v>132.72</v>
      </c>
    </row>
    <row r="84" spans="2:8">
      <c r="B84" s="664" t="s">
        <v>485</v>
      </c>
      <c r="C84" s="665"/>
      <c r="D84" s="665"/>
      <c r="E84" s="666" t="s">
        <v>477</v>
      </c>
      <c r="F84" s="626">
        <v>1</v>
      </c>
      <c r="G84" s="626">
        <f>VLOOKUP(B84,Tabela3[[#All],[descrição]:[fonte]],4,FALSE)</f>
        <v>3.95</v>
      </c>
      <c r="H84" s="667"/>
    </row>
    <row r="85" spans="2:8">
      <c r="B85" s="664" t="s">
        <v>486</v>
      </c>
      <c r="C85" s="665"/>
      <c r="D85" s="665"/>
      <c r="E85" s="666" t="s">
        <v>487</v>
      </c>
      <c r="F85" s="626">
        <f>$H$4</f>
        <v>25.33</v>
      </c>
      <c r="G85" s="626"/>
      <c r="H85" s="667"/>
    </row>
    <row r="86" spans="2:8">
      <c r="B86" s="696" t="str">
        <f>CONCATENATE("Vale Transporte - ",B65)</f>
        <v>Vale Transporte - Agente de limpeza pública e serviços gerais</v>
      </c>
      <c r="C86" s="665"/>
      <c r="D86" s="665"/>
      <c r="E86" s="697" t="s">
        <v>488</v>
      </c>
      <c r="F86" s="698">
        <f>F85*2*1</f>
        <v>50.66</v>
      </c>
      <c r="G86" s="698">
        <f>IF(TRUNC(IFERROR(((G84)-((G66*0.06)/(F85*2))),"-"),2)&lt;=0,0,TRUNC(IFERROR(((G84)-((G66*0.06)/(F85*2))),"-"),2))</f>
        <v>2.62</v>
      </c>
      <c r="H86" s="699">
        <f>TRUNC(IFERROR(F86*G86,"-"),2)</f>
        <v>132.72</v>
      </c>
    </row>
    <row r="87" spans="2:8">
      <c r="B87" s="690" t="s">
        <v>859</v>
      </c>
      <c r="C87" s="691"/>
      <c r="D87" s="692"/>
      <c r="E87" s="693" t="s">
        <v>484</v>
      </c>
      <c r="F87" s="694">
        <v>1</v>
      </c>
      <c r="G87" s="694">
        <f>H88</f>
        <v>303.95999999999998</v>
      </c>
      <c r="H87" s="695">
        <f>G87*F87</f>
        <v>303.95999999999998</v>
      </c>
    </row>
    <row r="88" spans="2:8">
      <c r="B88" s="700" t="s">
        <v>489</v>
      </c>
      <c r="C88" s="701"/>
      <c r="D88" s="702"/>
      <c r="E88" s="703" t="s">
        <v>490</v>
      </c>
      <c r="F88" s="694">
        <f>F85</f>
        <v>25.33</v>
      </c>
      <c r="G88" s="694">
        <f>VLOOKUP(B88,Tabela3[[#All],[descrição]:[fonte]],4,FALSE)</f>
        <v>12</v>
      </c>
      <c r="H88" s="704">
        <f>TRUNC(F88*G88,2)</f>
        <v>303.95999999999998</v>
      </c>
    </row>
    <row r="89" spans="2:8">
      <c r="B89" s="705" t="s">
        <v>491</v>
      </c>
      <c r="C89" s="706"/>
      <c r="D89" s="707"/>
      <c r="E89" s="675" t="s">
        <v>484</v>
      </c>
      <c r="F89" s="626">
        <v>1</v>
      </c>
      <c r="G89" s="626">
        <f>VLOOKUP(B89,Tabela3[[#All],[descrição]:[fonte]],4,FALSE)</f>
        <v>220</v>
      </c>
      <c r="H89" s="677">
        <f>G89*F89</f>
        <v>220</v>
      </c>
    </row>
    <row r="90" spans="2:8">
      <c r="B90" s="708" t="s">
        <v>384</v>
      </c>
      <c r="C90" s="709"/>
      <c r="D90" s="709"/>
      <c r="E90" s="709"/>
      <c r="F90" s="709"/>
      <c r="G90" s="709"/>
      <c r="H90" s="847">
        <f>E22</f>
        <v>6</v>
      </c>
    </row>
    <row r="91" spans="2:8" ht="15.75" thickBot="1">
      <c r="B91" s="710" t="s">
        <v>854</v>
      </c>
      <c r="C91" s="711"/>
      <c r="D91" s="711"/>
      <c r="E91" s="711"/>
      <c r="F91" s="711"/>
      <c r="G91" s="711"/>
      <c r="H91" s="712">
        <f>H90*H65</f>
        <v>19628.760000000002</v>
      </c>
    </row>
    <row r="93" spans="2:8" ht="15.75" thickBot="1">
      <c r="B93" s="309" t="s">
        <v>1133</v>
      </c>
    </row>
    <row r="94" spans="2:8">
      <c r="B94" s="655" t="s">
        <v>1132</v>
      </c>
      <c r="C94" s="656"/>
      <c r="D94" s="656"/>
      <c r="E94" s="656"/>
      <c r="F94" s="656"/>
      <c r="G94" s="657"/>
      <c r="H94" s="658">
        <f>H110+H112+H116+H118</f>
        <v>3490.1499999999996</v>
      </c>
    </row>
    <row r="95" spans="2:8">
      <c r="B95" s="659" t="str">
        <f>CONCATENATE("Salário - ",B94)</f>
        <v>Salário - Encarregado de equipe</v>
      </c>
      <c r="C95" s="660"/>
      <c r="D95" s="661"/>
      <c r="E95" s="662" t="s">
        <v>466</v>
      </c>
      <c r="F95" s="662">
        <v>1</v>
      </c>
      <c r="G95" s="626">
        <f>VLOOKUP(B95,Tabela3[[#All],[descrição]:[fonte]],4,FALSE)</f>
        <v>1465.14</v>
      </c>
      <c r="H95" s="663">
        <f>TRUNC(F95*G95,2)</f>
        <v>1465.14</v>
      </c>
    </row>
    <row r="96" spans="2:8">
      <c r="B96" s="664" t="s">
        <v>855</v>
      </c>
      <c r="C96" s="665"/>
      <c r="D96" s="665"/>
      <c r="E96" s="666" t="s">
        <v>466</v>
      </c>
      <c r="F96" s="666">
        <v>1</v>
      </c>
      <c r="G96" s="626">
        <f>VLOOKUP(B96,Tabela3[[#All],[descrição]:[fonte]],4,FALSE)</f>
        <v>1045</v>
      </c>
      <c r="H96" s="667"/>
    </row>
    <row r="97" spans="2:8">
      <c r="B97" s="664" t="s">
        <v>468</v>
      </c>
      <c r="C97" s="665"/>
      <c r="D97" s="665"/>
      <c r="E97" s="666" t="s">
        <v>469</v>
      </c>
      <c r="F97" s="668"/>
      <c r="G97" s="669"/>
      <c r="H97" s="670"/>
    </row>
    <row r="98" spans="2:8">
      <c r="B98" s="664"/>
      <c r="C98" s="665"/>
      <c r="D98" s="665"/>
      <c r="E98" s="666" t="s">
        <v>470</v>
      </c>
      <c r="F98" s="626">
        <f>F97*8/7</f>
        <v>0</v>
      </c>
      <c r="G98" s="671">
        <f>G95/220*0.2</f>
        <v>1.3319454545454548</v>
      </c>
      <c r="H98" s="667">
        <f>TRUNC(F98*G98,2)</f>
        <v>0</v>
      </c>
    </row>
    <row r="99" spans="2:8">
      <c r="B99" s="664" t="s">
        <v>471</v>
      </c>
      <c r="C99" s="665"/>
      <c r="D99" s="665"/>
      <c r="E99" s="666" t="s">
        <v>472</v>
      </c>
      <c r="F99" s="668"/>
      <c r="G99" s="626">
        <f>G95/220*2</f>
        <v>13.319454545454546</v>
      </c>
      <c r="H99" s="667">
        <f>TRUNC(F99*G99,2)</f>
        <v>0</v>
      </c>
    </row>
    <row r="100" spans="2:8">
      <c r="B100" s="664" t="s">
        <v>473</v>
      </c>
      <c r="C100" s="665"/>
      <c r="D100" s="665"/>
      <c r="E100" s="666" t="s">
        <v>469</v>
      </c>
      <c r="F100" s="668"/>
      <c r="G100" s="626"/>
      <c r="H100" s="667"/>
    </row>
    <row r="101" spans="2:8">
      <c r="B101" s="664"/>
      <c r="C101" s="665"/>
      <c r="D101" s="665"/>
      <c r="E101" s="666" t="s">
        <v>470</v>
      </c>
      <c r="F101" s="626">
        <f>F100*8/7</f>
        <v>0</v>
      </c>
      <c r="G101" s="626">
        <f>G95/220*2*1.2</f>
        <v>15.983345454545454</v>
      </c>
      <c r="H101" s="667">
        <f>TRUNC(F101*G101,2)</f>
        <v>0</v>
      </c>
    </row>
    <row r="102" spans="2:8">
      <c r="B102" s="664" t="s">
        <v>474</v>
      </c>
      <c r="C102" s="665"/>
      <c r="D102" s="665"/>
      <c r="E102" s="666" t="s">
        <v>472</v>
      </c>
      <c r="F102" s="668"/>
      <c r="G102" s="626">
        <f>G95/220*1.5</f>
        <v>9.989590909090909</v>
      </c>
      <c r="H102" s="667">
        <f>TRUNC(F102*G102,2)</f>
        <v>0</v>
      </c>
    </row>
    <row r="103" spans="2:8">
      <c r="B103" s="664" t="s">
        <v>475</v>
      </c>
      <c r="C103" s="665"/>
      <c r="D103" s="665"/>
      <c r="E103" s="666" t="s">
        <v>469</v>
      </c>
      <c r="F103" s="668"/>
      <c r="G103" s="626"/>
      <c r="H103" s="667"/>
    </row>
    <row r="104" spans="2:8">
      <c r="B104" s="664"/>
      <c r="C104" s="665"/>
      <c r="D104" s="665"/>
      <c r="E104" s="666" t="s">
        <v>470</v>
      </c>
      <c r="F104" s="626">
        <f>F103*8/7</f>
        <v>0</v>
      </c>
      <c r="G104" s="626">
        <f>G95/220*1.5*1.2</f>
        <v>11.987509090909091</v>
      </c>
      <c r="H104" s="667">
        <f>TRUNC(F104*G104,2)</f>
        <v>0</v>
      </c>
    </row>
    <row r="105" spans="2:8">
      <c r="B105" s="664" t="s">
        <v>476</v>
      </c>
      <c r="C105" s="665"/>
      <c r="D105" s="665"/>
      <c r="E105" s="666" t="s">
        <v>477</v>
      </c>
      <c r="F105" s="669"/>
      <c r="G105" s="626">
        <f>TRUNC(((52+9)/304)*(SUM(H99:H104)),2)</f>
        <v>0</v>
      </c>
      <c r="H105" s="667">
        <f>G105</f>
        <v>0</v>
      </c>
    </row>
    <row r="106" spans="2:8">
      <c r="B106" s="664" t="s">
        <v>478</v>
      </c>
      <c r="C106" s="665"/>
      <c r="D106" s="665"/>
      <c r="E106" s="666"/>
      <c r="F106" s="672">
        <v>1</v>
      </c>
      <c r="G106" s="626"/>
      <c r="H106" s="667"/>
    </row>
    <row r="107" spans="2:8">
      <c r="B107" s="664" t="s">
        <v>479</v>
      </c>
      <c r="C107" s="665"/>
      <c r="D107" s="665"/>
      <c r="E107" s="666" t="s">
        <v>480</v>
      </c>
      <c r="F107" s="673">
        <f>VLOOKUP(B95,Tabela3[[#All],[descrição]:[fonte]],3,FALSE)</f>
        <v>20</v>
      </c>
      <c r="G107" s="626">
        <f>IF(F106=2,SUM(H95:H105),IF(F106=1,SUM(H95:H105)*G96/G95,0))</f>
        <v>1045</v>
      </c>
      <c r="H107" s="667">
        <f>TRUNC(F107*G107/100,2)</f>
        <v>209</v>
      </c>
    </row>
    <row r="108" spans="2:8">
      <c r="B108" s="674" t="s">
        <v>481</v>
      </c>
      <c r="C108" s="665"/>
      <c r="D108" s="665"/>
      <c r="E108" s="675"/>
      <c r="F108" s="675"/>
      <c r="G108" s="676"/>
      <c r="H108" s="677">
        <f>SUM(H95:H107)</f>
        <v>1674.14</v>
      </c>
    </row>
    <row r="109" spans="2:8">
      <c r="B109" s="678" t="s">
        <v>482</v>
      </c>
      <c r="C109" s="679"/>
      <c r="D109" s="680"/>
      <c r="E109" s="681" t="s">
        <v>480</v>
      </c>
      <c r="F109" s="682">
        <f>VLOOKUP(B109,Tabela3[[#All],[descrição]:[fonte]],4,FALSE)</f>
        <v>70.489999999999995</v>
      </c>
      <c r="G109" s="682">
        <f>H108</f>
        <v>1674.14</v>
      </c>
      <c r="H109" s="683">
        <f>TRUNC(G109*F109/100,2)</f>
        <v>1180.0999999999999</v>
      </c>
    </row>
    <row r="110" spans="2:8">
      <c r="B110" s="684" t="s">
        <v>861</v>
      </c>
      <c r="C110" s="665"/>
      <c r="D110" s="665"/>
      <c r="E110" s="685"/>
      <c r="F110" s="685"/>
      <c r="G110" s="686"/>
      <c r="H110" s="687">
        <f>TRUNC(H108+H109,2)</f>
        <v>2854.24</v>
      </c>
    </row>
    <row r="111" spans="2:8">
      <c r="B111" s="688" t="s">
        <v>483</v>
      </c>
      <c r="C111" s="336"/>
      <c r="D111" s="336"/>
      <c r="E111" s="336"/>
      <c r="F111" s="336"/>
      <c r="G111" s="336"/>
      <c r="H111" s="689"/>
    </row>
    <row r="112" spans="2:8">
      <c r="B112" s="690" t="s">
        <v>860</v>
      </c>
      <c r="C112" s="691"/>
      <c r="D112" s="692"/>
      <c r="E112" s="693" t="s">
        <v>484</v>
      </c>
      <c r="F112" s="694">
        <v>1</v>
      </c>
      <c r="G112" s="694">
        <f>H115</f>
        <v>111.95</v>
      </c>
      <c r="H112" s="695">
        <f>TRUNC(G112*F112,2)</f>
        <v>111.95</v>
      </c>
    </row>
    <row r="113" spans="2:8">
      <c r="B113" s="664" t="s">
        <v>485</v>
      </c>
      <c r="C113" s="665"/>
      <c r="D113" s="665"/>
      <c r="E113" s="666" t="s">
        <v>477</v>
      </c>
      <c r="F113" s="626">
        <v>1</v>
      </c>
      <c r="G113" s="626">
        <f>VLOOKUP(B113,Tabela3[[#All],[descrição]:[fonte]],4,FALSE)</f>
        <v>3.95</v>
      </c>
      <c r="H113" s="667"/>
    </row>
    <row r="114" spans="2:8">
      <c r="B114" s="664" t="s">
        <v>486</v>
      </c>
      <c r="C114" s="665"/>
      <c r="D114" s="665"/>
      <c r="E114" s="666" t="s">
        <v>487</v>
      </c>
      <c r="F114" s="626">
        <f>$H$4</f>
        <v>25.33</v>
      </c>
      <c r="G114" s="626"/>
      <c r="H114" s="667"/>
    </row>
    <row r="115" spans="2:8">
      <c r="B115" s="696" t="str">
        <f>CONCATENATE("Vale Transporte - ",B94)</f>
        <v>Vale Transporte - Encarregado de equipe</v>
      </c>
      <c r="C115" s="665"/>
      <c r="D115" s="665"/>
      <c r="E115" s="697" t="s">
        <v>488</v>
      </c>
      <c r="F115" s="698">
        <f>F114*2*1</f>
        <v>50.66</v>
      </c>
      <c r="G115" s="698">
        <f>IF(TRUNC(IFERROR(((G113)-((G95*0.06)/(F114*2))),"-"),2)&lt;=0,0,TRUNC(IFERROR(((G113)-((G95*0.06)/(F114*2))),"-"),2))</f>
        <v>2.21</v>
      </c>
      <c r="H115" s="699">
        <f>TRUNC(IFERROR(F115*G115,"-"),2)</f>
        <v>111.95</v>
      </c>
    </row>
    <row r="116" spans="2:8">
      <c r="B116" s="690" t="s">
        <v>859</v>
      </c>
      <c r="C116" s="691"/>
      <c r="D116" s="692"/>
      <c r="E116" s="693" t="s">
        <v>484</v>
      </c>
      <c r="F116" s="694">
        <v>1</v>
      </c>
      <c r="G116" s="694">
        <f>H117</f>
        <v>303.95999999999998</v>
      </c>
      <c r="H116" s="695">
        <f>G116*F116</f>
        <v>303.95999999999998</v>
      </c>
    </row>
    <row r="117" spans="2:8">
      <c r="B117" s="700" t="s">
        <v>489</v>
      </c>
      <c r="C117" s="701"/>
      <c r="D117" s="702"/>
      <c r="E117" s="703" t="s">
        <v>490</v>
      </c>
      <c r="F117" s="694">
        <f>F114</f>
        <v>25.33</v>
      </c>
      <c r="G117" s="694">
        <f>VLOOKUP(B117,Tabela3[[#All],[descrição]:[fonte]],4,FALSE)</f>
        <v>12</v>
      </c>
      <c r="H117" s="704">
        <f>TRUNC(F117*G117,2)</f>
        <v>303.95999999999998</v>
      </c>
    </row>
    <row r="118" spans="2:8">
      <c r="B118" s="705" t="s">
        <v>491</v>
      </c>
      <c r="C118" s="706"/>
      <c r="D118" s="707"/>
      <c r="E118" s="675" t="s">
        <v>484</v>
      </c>
      <c r="F118" s="626">
        <v>1</v>
      </c>
      <c r="G118" s="626">
        <f>VLOOKUP(B118,Tabela3[[#All],[descrição]:[fonte]],4,FALSE)</f>
        <v>220</v>
      </c>
      <c r="H118" s="677">
        <f>G118*F118</f>
        <v>220</v>
      </c>
    </row>
    <row r="119" spans="2:8">
      <c r="B119" s="708" t="s">
        <v>384</v>
      </c>
      <c r="C119" s="709"/>
      <c r="D119" s="709"/>
      <c r="E119" s="709"/>
      <c r="F119" s="709"/>
      <c r="G119" s="709"/>
      <c r="H119" s="847">
        <f>E23</f>
        <v>1</v>
      </c>
    </row>
    <row r="120" spans="2:8" ht="15.75" thickBot="1">
      <c r="B120" s="710" t="s">
        <v>854</v>
      </c>
      <c r="C120" s="711"/>
      <c r="D120" s="711"/>
      <c r="E120" s="711"/>
      <c r="F120" s="711"/>
      <c r="G120" s="711"/>
      <c r="H120" s="712">
        <f>H119*H94</f>
        <v>3490.1499999999996</v>
      </c>
    </row>
    <row r="121" spans="2:8" ht="15.75" thickBot="1">
      <c r="B121" s="713"/>
      <c r="C121" s="713"/>
      <c r="D121" s="714"/>
      <c r="E121" s="714"/>
      <c r="F121" s="714"/>
      <c r="G121" s="715"/>
      <c r="H121" s="715"/>
    </row>
    <row r="122" spans="2:8" ht="15.75" thickBot="1">
      <c r="B122" s="348" t="s">
        <v>598</v>
      </c>
      <c r="C122" s="312"/>
      <c r="D122" s="312"/>
      <c r="E122" s="312"/>
      <c r="F122" s="312"/>
      <c r="G122" s="312"/>
      <c r="H122" s="349">
        <f>H120+H91</f>
        <v>23118.910000000003</v>
      </c>
    </row>
    <row r="124" spans="2:8">
      <c r="B124" s="309" t="s">
        <v>954</v>
      </c>
    </row>
    <row r="125" spans="2:8" ht="30">
      <c r="B125" s="645" t="s">
        <v>900</v>
      </c>
      <c r="C125" s="646"/>
      <c r="D125" s="648"/>
      <c r="E125" s="649" t="s">
        <v>1164</v>
      </c>
      <c r="F125" s="650" t="s">
        <v>1165</v>
      </c>
      <c r="G125" s="649" t="s">
        <v>1166</v>
      </c>
      <c r="H125" s="651" t="s">
        <v>1167</v>
      </c>
    </row>
    <row r="126" spans="2:8">
      <c r="B126" s="315" t="str">
        <f>B31</f>
        <v>vassourão</v>
      </c>
      <c r="C126" s="316"/>
      <c r="D126" s="316"/>
      <c r="E126" s="350" t="s">
        <v>601</v>
      </c>
      <c r="F126" s="466">
        <f>H31</f>
        <v>6</v>
      </c>
      <c r="G126" s="330">
        <f>VLOOKUP(B126,Tabela1[[#All],[ITENS PARA ORÇAMENTO]:[MEDIANA]],11,FALSE)</f>
        <v>28.49</v>
      </c>
      <c r="H126" s="351">
        <f>TRUNC(G126*F126,2)</f>
        <v>170.94</v>
      </c>
    </row>
    <row r="127" spans="2:8">
      <c r="B127" s="318" t="str">
        <f>B32</f>
        <v>vassoura de aço</v>
      </c>
      <c r="E127" s="353" t="s">
        <v>601</v>
      </c>
      <c r="F127" s="467">
        <f>H32</f>
        <v>0</v>
      </c>
      <c r="G127" s="330">
        <f>VLOOKUP(B127,Tabela1[[#All],[ITENS PARA ORÇAMENTO]:[MEDIANA]],11,FALSE)</f>
        <v>28.44</v>
      </c>
      <c r="H127" s="464">
        <f>TRUNC(G127*F127,2)</f>
        <v>0</v>
      </c>
    </row>
    <row r="128" spans="2:8">
      <c r="B128" s="318" t="str">
        <f>B33</f>
        <v>pá</v>
      </c>
      <c r="E128" s="353" t="s">
        <v>601</v>
      </c>
      <c r="F128" s="467">
        <f>H33</f>
        <v>0.08</v>
      </c>
      <c r="G128" s="330">
        <f>VLOOKUP(B128,Tabela1[[#All],[ITENS PARA ORÇAMENTO]:[MEDIANA]],11,FALSE)</f>
        <v>42.5</v>
      </c>
      <c r="H128" s="464">
        <f>TRUNC(G128*F128,2)</f>
        <v>3.4</v>
      </c>
    </row>
    <row r="129" spans="2:21">
      <c r="B129" s="320" t="str">
        <f>B34</f>
        <v>sacos plásticos</v>
      </c>
      <c r="C129" s="321"/>
      <c r="D129" s="321"/>
      <c r="E129" s="355" t="s">
        <v>601</v>
      </c>
      <c r="F129" s="468">
        <f>H34</f>
        <v>1519.8</v>
      </c>
      <c r="G129" s="333">
        <f>VLOOKUP(B129,Tabela1[[#All],[ITENS PARA ORÇAMENTO]:[MEDIANA]],11,FALSE)</f>
        <v>0.4</v>
      </c>
      <c r="H129" s="368">
        <f>TRUNC(G129*F129,2)</f>
        <v>607.91999999999996</v>
      </c>
    </row>
    <row r="130" spans="2:21" ht="15.75" thickBot="1">
      <c r="B130" s="336" t="s">
        <v>595</v>
      </c>
    </row>
    <row r="131" spans="2:21" ht="15.75" thickBot="1">
      <c r="B131" s="348" t="s">
        <v>602</v>
      </c>
      <c r="C131" s="312"/>
      <c r="D131" s="312"/>
      <c r="E131" s="312"/>
      <c r="F131" s="312"/>
      <c r="G131" s="312"/>
      <c r="H131" s="349">
        <f>SUM(H126:H129)</f>
        <v>782.26</v>
      </c>
    </row>
    <row r="133" spans="2:21">
      <c r="B133" s="309" t="s">
        <v>1300</v>
      </c>
      <c r="D133" s="881"/>
      <c r="E133" s="213"/>
      <c r="F133" s="213"/>
      <c r="G133" s="213"/>
      <c r="H133" s="213"/>
      <c r="I133" s="213"/>
      <c r="J133" s="222"/>
      <c r="K133" s="222"/>
      <c r="L133" s="883"/>
    </row>
    <row r="134" spans="2:21">
      <c r="B134" s="570" t="s">
        <v>900</v>
      </c>
      <c r="C134" s="571"/>
      <c r="D134" s="571"/>
      <c r="E134" s="571" t="s">
        <v>1164</v>
      </c>
      <c r="F134" s="571"/>
      <c r="G134" s="571"/>
      <c r="H134" s="750" t="s">
        <v>1168</v>
      </c>
    </row>
    <row r="135" spans="2:21">
      <c r="B135" s="357" t="s">
        <v>240</v>
      </c>
      <c r="C135" s="312"/>
      <c r="D135" s="312"/>
      <c r="E135" s="358" t="s">
        <v>616</v>
      </c>
      <c r="F135" s="312"/>
      <c r="G135" s="312"/>
      <c r="H135" s="465">
        <f>TRUNC(H139+H142+H145,2)</f>
        <v>25.86</v>
      </c>
    </row>
    <row r="136" spans="2:21">
      <c r="B136" s="315" t="s">
        <v>882</v>
      </c>
      <c r="C136" s="316"/>
      <c r="E136" s="350" t="s">
        <v>601</v>
      </c>
      <c r="F136" s="316"/>
      <c r="G136" s="316"/>
      <c r="H136" s="891">
        <f>VLOOKUP(B135,Tabela1[[#All],[ITENS PARA ORÇAMENTO]:[MEDIANA]],11,FALSE)</f>
        <v>748</v>
      </c>
    </row>
    <row r="137" spans="2:21">
      <c r="B137" s="318" t="s">
        <v>875</v>
      </c>
      <c r="E137" s="353" t="s">
        <v>615</v>
      </c>
      <c r="H137" s="331">
        <f>G39/12</f>
        <v>3</v>
      </c>
      <c r="L137" s="879" t="s">
        <v>1233</v>
      </c>
      <c r="M137" s="222"/>
      <c r="N137" s="222"/>
      <c r="O137" s="222"/>
      <c r="P137" s="222"/>
      <c r="Q137" s="222"/>
      <c r="R137" s="222"/>
      <c r="S137" s="222"/>
      <c r="T137" s="222"/>
      <c r="U137" s="222"/>
    </row>
    <row r="138" spans="2:21">
      <c r="B138" s="318" t="s">
        <v>742</v>
      </c>
      <c r="E138" s="353" t="s">
        <v>615</v>
      </c>
      <c r="H138" s="331">
        <v>0</v>
      </c>
      <c r="L138" s="879"/>
      <c r="M138" s="222"/>
      <c r="N138" s="222"/>
      <c r="O138" s="222"/>
      <c r="P138" s="222"/>
      <c r="Q138" s="222"/>
      <c r="R138" s="222"/>
      <c r="S138" s="222"/>
      <c r="T138" s="222"/>
      <c r="U138" s="222"/>
    </row>
    <row r="139" spans="2:21">
      <c r="B139" s="348" t="s">
        <v>876</v>
      </c>
      <c r="C139" s="312"/>
      <c r="D139" s="312"/>
      <c r="E139" s="358" t="s">
        <v>616</v>
      </c>
      <c r="F139" s="312"/>
      <c r="G139" s="312"/>
      <c r="H139" s="359">
        <f>TRUNC((H136-H141)/H137/12,2)</f>
        <v>14.54</v>
      </c>
      <c r="L139" s="879" t="s">
        <v>1230</v>
      </c>
      <c r="M139" s="222"/>
      <c r="N139" s="222"/>
      <c r="O139" s="222"/>
      <c r="P139" s="222"/>
      <c r="Q139" s="222"/>
      <c r="R139" s="222"/>
      <c r="S139" s="222"/>
      <c r="T139" s="222"/>
      <c r="U139" s="222"/>
    </row>
    <row r="140" spans="2:21">
      <c r="B140" s="318" t="s">
        <v>877</v>
      </c>
      <c r="E140" s="353" t="s">
        <v>480</v>
      </c>
      <c r="H140" s="360">
        <v>0.3</v>
      </c>
      <c r="I140" s="547"/>
      <c r="L140" s="886" t="s">
        <v>1235</v>
      </c>
      <c r="M140" s="222"/>
      <c r="N140" s="222"/>
      <c r="O140" s="222"/>
      <c r="P140" s="222"/>
      <c r="Q140" s="222"/>
      <c r="R140" s="222"/>
      <c r="S140" s="222"/>
      <c r="T140" s="222"/>
      <c r="U140" s="222"/>
    </row>
    <row r="141" spans="2:21">
      <c r="B141" s="318" t="s">
        <v>878</v>
      </c>
      <c r="E141" s="353" t="s">
        <v>477</v>
      </c>
      <c r="H141" s="331">
        <f>H140*H136</f>
        <v>224.4</v>
      </c>
      <c r="J141" s="498"/>
      <c r="K141" s="499"/>
      <c r="L141" s="879"/>
      <c r="M141" s="222"/>
      <c r="N141" s="222"/>
      <c r="O141" s="222"/>
      <c r="P141" s="222"/>
      <c r="Q141" s="222"/>
      <c r="R141" s="222"/>
      <c r="S141" s="222"/>
      <c r="T141" s="222"/>
      <c r="U141" s="222"/>
    </row>
    <row r="142" spans="2:21">
      <c r="B142" s="348" t="s">
        <v>879</v>
      </c>
      <c r="C142" s="312"/>
      <c r="D142" s="312"/>
      <c r="E142" s="358" t="s">
        <v>616</v>
      </c>
      <c r="F142" s="312"/>
      <c r="G142" s="312"/>
      <c r="H142" s="359">
        <f>TRUNC(((1+H143)^(1/12)-1)*H144,2)</f>
        <v>0.94</v>
      </c>
      <c r="L142" s="879" t="s">
        <v>1230</v>
      </c>
      <c r="M142" s="222"/>
      <c r="N142" s="222"/>
      <c r="O142" s="222"/>
      <c r="P142" s="222"/>
      <c r="Q142" s="222"/>
      <c r="R142" s="222"/>
      <c r="S142" s="222"/>
      <c r="T142" s="222"/>
      <c r="U142" s="222"/>
    </row>
    <row r="143" spans="2:21">
      <c r="B143" s="318" t="s">
        <v>880</v>
      </c>
      <c r="E143" s="353" t="s">
        <v>480</v>
      </c>
      <c r="H143" s="328">
        <f>VLOOKUP(B143,Tabela1[[#All],[ITENS PARA ORÇAMENTO]:[MEDIANA]],11,FALSE)</f>
        <v>0.02</v>
      </c>
      <c r="L143" s="879" t="s">
        <v>1232</v>
      </c>
      <c r="M143" s="222"/>
      <c r="N143" s="222"/>
      <c r="O143" s="222"/>
      <c r="P143" s="222"/>
      <c r="Q143" s="222"/>
      <c r="R143" s="222"/>
      <c r="S143" s="222"/>
      <c r="T143" s="222"/>
      <c r="U143" s="222"/>
    </row>
    <row r="144" spans="2:21">
      <c r="B144" s="318" t="s">
        <v>881</v>
      </c>
      <c r="E144" s="353" t="s">
        <v>477</v>
      </c>
      <c r="H144" s="361">
        <f>H141+((((H137-H138)+1)*(H136-H141))/(2*(H137-H138)))</f>
        <v>573.4666666666667</v>
      </c>
      <c r="L144" s="879" t="s">
        <v>1230</v>
      </c>
      <c r="M144" s="222"/>
      <c r="N144" s="222"/>
      <c r="O144" s="222"/>
      <c r="P144" s="222"/>
      <c r="Q144" s="222"/>
      <c r="R144" s="222"/>
      <c r="S144" s="222"/>
      <c r="T144" s="222"/>
      <c r="U144" s="222"/>
    </row>
    <row r="145" spans="1:21">
      <c r="B145" s="348" t="s">
        <v>843</v>
      </c>
      <c r="C145" s="312"/>
      <c r="D145" s="312"/>
      <c r="E145" s="358" t="s">
        <v>829</v>
      </c>
      <c r="F145" s="362" t="s">
        <v>874</v>
      </c>
      <c r="G145" s="363">
        <v>0.5</v>
      </c>
      <c r="H145" s="359">
        <f>TRUNC(H136*G145/(H137*12),2)</f>
        <v>10.38</v>
      </c>
      <c r="L145" s="879" t="s">
        <v>1231</v>
      </c>
      <c r="M145" s="222"/>
      <c r="N145" s="222"/>
      <c r="O145" s="222"/>
      <c r="P145" s="222"/>
      <c r="Q145" s="222"/>
      <c r="R145" s="222"/>
      <c r="S145" s="222"/>
      <c r="T145" s="222" t="s">
        <v>1234</v>
      </c>
      <c r="U145" s="222"/>
    </row>
    <row r="146" spans="1:21">
      <c r="B146" s="348" t="s">
        <v>384</v>
      </c>
      <c r="C146" s="312"/>
      <c r="E146" s="358"/>
      <c r="F146" s="312"/>
      <c r="G146" s="312"/>
      <c r="H146" s="483">
        <f>H39</f>
        <v>3</v>
      </c>
    </row>
    <row r="147" spans="1:21">
      <c r="B147" s="348" t="s">
        <v>244</v>
      </c>
      <c r="C147" s="312"/>
      <c r="D147" s="312"/>
      <c r="E147" s="358" t="s">
        <v>616</v>
      </c>
      <c r="F147" s="312"/>
      <c r="G147" s="312"/>
      <c r="H147" s="359">
        <f>TRUNC(H146*H135,2)</f>
        <v>77.58</v>
      </c>
    </row>
    <row r="148" spans="1:21" ht="15.75" thickBot="1">
      <c r="A148" s="337"/>
      <c r="B148" s="337" t="s">
        <v>595</v>
      </c>
    </row>
    <row r="149" spans="1:21" ht="15.75" thickBot="1">
      <c r="B149" s="348" t="s">
        <v>636</v>
      </c>
      <c r="C149" s="312"/>
      <c r="D149" s="312"/>
      <c r="E149" s="312"/>
      <c r="F149" s="312"/>
      <c r="G149" s="312"/>
      <c r="H149" s="349">
        <f>H147</f>
        <v>77.58</v>
      </c>
    </row>
    <row r="151" spans="1:21">
      <c r="B151" s="309" t="s">
        <v>955</v>
      </c>
    </row>
    <row r="152" spans="1:21" ht="30">
      <c r="B152" s="645" t="s">
        <v>900</v>
      </c>
      <c r="C152" s="646"/>
      <c r="D152" s="648"/>
      <c r="E152" s="649" t="s">
        <v>1164</v>
      </c>
      <c r="F152" s="650" t="s">
        <v>1165</v>
      </c>
      <c r="G152" s="649" t="s">
        <v>1166</v>
      </c>
      <c r="H152" s="651" t="s">
        <v>1167</v>
      </c>
    </row>
    <row r="153" spans="1:21">
      <c r="B153" s="315" t="str">
        <f t="shared" ref="B153:B161" si="1">B44</f>
        <v>Jaqueta com reflexivo</v>
      </c>
      <c r="C153" s="316"/>
      <c r="D153" s="316"/>
      <c r="E153" s="350" t="s">
        <v>601</v>
      </c>
      <c r="F153" s="459">
        <f t="shared" ref="F153:F161" si="2">H44</f>
        <v>0.57999999999999996</v>
      </c>
      <c r="G153" s="353">
        <f>VLOOKUP(B153,Tabela1[[#All],[ITENS PARA ORÇAMENTO]:[MEDIANA]],11,FALSE)</f>
        <v>132.91</v>
      </c>
      <c r="H153" s="365">
        <f>TRUNC(G153*F153,2)</f>
        <v>77.08</v>
      </c>
    </row>
    <row r="154" spans="1:21">
      <c r="B154" s="318" t="str">
        <f t="shared" si="1"/>
        <v>Calça de Brim</v>
      </c>
      <c r="E154" s="353" t="s">
        <v>601</v>
      </c>
      <c r="F154" s="313">
        <f t="shared" si="2"/>
        <v>1.75</v>
      </c>
      <c r="G154" s="353">
        <f>VLOOKUP(B154,Tabela1[[#All],[ITENS PARA ORÇAMENTO]:[MEDIANA]],11,FALSE)</f>
        <v>43.86</v>
      </c>
      <c r="H154" s="500">
        <f t="shared" ref="H154:H161" si="3">TRUNC(G154*F154,2)</f>
        <v>76.75</v>
      </c>
    </row>
    <row r="155" spans="1:21">
      <c r="B155" s="318" t="str">
        <f t="shared" si="1"/>
        <v>Camiseta manga longa com faixa reflexiva</v>
      </c>
      <c r="E155" s="353" t="s">
        <v>601</v>
      </c>
      <c r="F155" s="313">
        <f t="shared" si="2"/>
        <v>1.75</v>
      </c>
      <c r="G155" s="353">
        <f>VLOOKUP(B155,Tabela1[[#All],[ITENS PARA ORÇAMENTO]:[MEDIANA]],11,FALSE)</f>
        <v>43.02</v>
      </c>
      <c r="H155" s="500">
        <f t="shared" si="3"/>
        <v>75.28</v>
      </c>
    </row>
    <row r="156" spans="1:21">
      <c r="B156" s="318" t="str">
        <f t="shared" si="1"/>
        <v>Boné de Brim</v>
      </c>
      <c r="E156" s="353" t="s">
        <v>601</v>
      </c>
      <c r="F156" s="313">
        <f t="shared" si="2"/>
        <v>1.1599999999999999</v>
      </c>
      <c r="G156" s="353">
        <f>VLOOKUP(B156,Tabela1[[#All],[ITENS PARA ORÇAMENTO]:[MEDIANA]],11,FALSE)</f>
        <v>17.59</v>
      </c>
      <c r="H156" s="500">
        <f t="shared" si="3"/>
        <v>20.399999999999999</v>
      </c>
    </row>
    <row r="157" spans="1:21">
      <c r="B157" s="318" t="str">
        <f t="shared" si="1"/>
        <v>Botina De Segurança C/ Ponta E Biqueira Com Sola Antiderrapante</v>
      </c>
      <c r="E157" s="353" t="s">
        <v>495</v>
      </c>
      <c r="F157" s="313">
        <f t="shared" si="2"/>
        <v>1.75</v>
      </c>
      <c r="G157" s="353">
        <f>VLOOKUP(B157,Tabela1[[#All],[ITENS PARA ORÇAMENTO]:[MEDIANA]],11,FALSE)</f>
        <v>57.7</v>
      </c>
      <c r="H157" s="500">
        <f t="shared" si="3"/>
        <v>100.97</v>
      </c>
    </row>
    <row r="158" spans="1:21">
      <c r="B158" s="318" t="str">
        <f t="shared" si="1"/>
        <v>Capa de chuva amarela com reflexivo</v>
      </c>
      <c r="E158" s="353" t="s">
        <v>601</v>
      </c>
      <c r="F158" s="313">
        <f t="shared" si="2"/>
        <v>1.1599999999999999</v>
      </c>
      <c r="G158" s="353">
        <f>VLOOKUP(B158,Tabela1[[#All],[ITENS PARA ORÇAMENTO]:[MEDIANA]],11,FALSE)</f>
        <v>23</v>
      </c>
      <c r="H158" s="500">
        <f t="shared" si="3"/>
        <v>26.68</v>
      </c>
    </row>
    <row r="159" spans="1:21">
      <c r="B159" s="318" t="str">
        <f t="shared" si="1"/>
        <v>Colete reflexivo</v>
      </c>
      <c r="E159" s="353" t="s">
        <v>601</v>
      </c>
      <c r="F159" s="313">
        <f t="shared" si="2"/>
        <v>1.1599999999999999</v>
      </c>
      <c r="G159" s="353">
        <f>VLOOKUP(B159,Tabela1[[#All],[ITENS PARA ORÇAMENTO]:[MEDIANA]],11,FALSE)</f>
        <v>19.989999999999998</v>
      </c>
      <c r="H159" s="500">
        <f t="shared" si="3"/>
        <v>23.18</v>
      </c>
    </row>
    <row r="160" spans="1:21">
      <c r="B160" s="318" t="str">
        <f t="shared" si="1"/>
        <v>Luva Tricotada com revestimento Nitrílico</v>
      </c>
      <c r="E160" s="353" t="s">
        <v>495</v>
      </c>
      <c r="F160" s="313">
        <f t="shared" si="2"/>
        <v>4.66</v>
      </c>
      <c r="G160" s="353">
        <f>VLOOKUP(B160,Tabela1[[#All],[ITENS PARA ORÇAMENTO]:[MEDIANA]],11,FALSE)</f>
        <v>9.99</v>
      </c>
      <c r="H160" s="500">
        <f t="shared" si="3"/>
        <v>46.55</v>
      </c>
    </row>
    <row r="161" spans="2:8">
      <c r="B161" s="320" t="str">
        <f t="shared" si="1"/>
        <v>Protetor solar FPS 30</v>
      </c>
      <c r="C161" s="321"/>
      <c r="D161" s="321"/>
      <c r="E161" s="355" t="s">
        <v>601</v>
      </c>
      <c r="F161" s="501">
        <f t="shared" si="2"/>
        <v>7</v>
      </c>
      <c r="G161" s="501">
        <f>VLOOKUP(B161,Tabela1[[#All],[ITENS PARA ORÇAMENTO]:[MEDIANA]],11,FALSE)</f>
        <v>9.65</v>
      </c>
      <c r="H161" s="502">
        <f t="shared" si="3"/>
        <v>67.55</v>
      </c>
    </row>
    <row r="162" spans="2:8" ht="15.75" thickBot="1">
      <c r="B162" s="337" t="s">
        <v>595</v>
      </c>
    </row>
    <row r="163" spans="2:8" ht="15.75" thickBot="1">
      <c r="B163" s="348" t="s">
        <v>614</v>
      </c>
      <c r="C163" s="312"/>
      <c r="D163" s="312"/>
      <c r="E163" s="312"/>
      <c r="F163" s="312"/>
      <c r="G163" s="312"/>
      <c r="H163" s="349">
        <f>SUM(H153:H161)</f>
        <v>514.44000000000005</v>
      </c>
    </row>
    <row r="164" spans="2:8">
      <c r="B164" s="309"/>
      <c r="H164" s="412"/>
    </row>
    <row r="165" spans="2:8">
      <c r="B165" s="309" t="s">
        <v>1197</v>
      </c>
      <c r="H165" s="412"/>
    </row>
    <row r="166" spans="2:8" ht="30">
      <c r="B166" s="645" t="s">
        <v>900</v>
      </c>
      <c r="C166" s="646"/>
      <c r="D166" s="648"/>
      <c r="E166" s="649" t="s">
        <v>1164</v>
      </c>
      <c r="F166" s="650" t="s">
        <v>1165</v>
      </c>
      <c r="G166" s="649" t="s">
        <v>1166</v>
      </c>
      <c r="H166" s="651" t="s">
        <v>1167</v>
      </c>
    </row>
    <row r="167" spans="2:8">
      <c r="B167" s="848" t="str">
        <f>B57</f>
        <v>Recipiente térmico para água (5L)</v>
      </c>
      <c r="C167" s="340"/>
      <c r="D167" s="326"/>
      <c r="E167" s="350" t="s">
        <v>601</v>
      </c>
      <c r="F167" s="849">
        <f>H57</f>
        <v>0.09</v>
      </c>
      <c r="G167" s="254">
        <f>VLOOKUP(B167,Tabela1[[ITENS PARA ORÇAMENTO]:[MEDIANA]],11,FALSE)</f>
        <v>29.86</v>
      </c>
      <c r="H167" s="653">
        <f>G167*F167</f>
        <v>2.6873999999999998</v>
      </c>
    </row>
    <row r="168" spans="2:8">
      <c r="B168" s="741" t="str">
        <f>B58</f>
        <v>Cone de sinalização</v>
      </c>
      <c r="C168" s="346"/>
      <c r="D168" s="332"/>
      <c r="E168" s="355" t="s">
        <v>601</v>
      </c>
      <c r="F168" s="850">
        <f>H58</f>
        <v>0.26</v>
      </c>
      <c r="G168" s="259">
        <f>VLOOKUP(B168,Tabela1[[ITENS PARA ORÇAMENTO]:[MEDIANA]],11,FALSE)</f>
        <v>27.5</v>
      </c>
      <c r="H168" s="260">
        <f>G168*F168</f>
        <v>7.15</v>
      </c>
    </row>
    <row r="169" spans="2:8" ht="15.75" thickBot="1">
      <c r="B169" s="337" t="s">
        <v>595</v>
      </c>
      <c r="H169" s="412"/>
    </row>
    <row r="170" spans="2:8" ht="15.75" thickBot="1">
      <c r="B170" s="348" t="s">
        <v>1174</v>
      </c>
      <c r="C170" s="312"/>
      <c r="D170" s="312"/>
      <c r="E170" s="312"/>
      <c r="F170" s="312"/>
      <c r="G170" s="312"/>
      <c r="H170" s="349">
        <f>SUM(H167:H168)</f>
        <v>9.8374000000000006</v>
      </c>
    </row>
    <row r="172" spans="2:8">
      <c r="B172" s="309" t="s">
        <v>956</v>
      </c>
    </row>
    <row r="173" spans="2:8">
      <c r="B173" s="563" t="str">
        <f>B122</f>
        <v>Custo mensal com mão-de-obra (R$/mês)</v>
      </c>
      <c r="C173" s="564"/>
      <c r="D173" s="564"/>
      <c r="E173" s="564"/>
      <c r="F173" s="564"/>
      <c r="G173" s="564"/>
      <c r="H173" s="531">
        <f>H122</f>
        <v>23118.910000000003</v>
      </c>
    </row>
    <row r="174" spans="2:8">
      <c r="B174" s="565" t="str">
        <f>B131</f>
        <v>Custo mensal com ferramentas (R$/mês)</v>
      </c>
      <c r="C174" s="370"/>
      <c r="D174" s="370"/>
      <c r="E174" s="370"/>
      <c r="F174" s="370"/>
      <c r="G174" s="370"/>
      <c r="H174" s="532">
        <f>H131</f>
        <v>782.26</v>
      </c>
    </row>
    <row r="175" spans="2:8">
      <c r="B175" s="565" t="str">
        <f>B149</f>
        <v>Custo mensal com equipamentos (R$/mês)</v>
      </c>
      <c r="C175" s="370"/>
      <c r="D175" s="370"/>
      <c r="E175" s="370"/>
      <c r="F175" s="370"/>
      <c r="G175" s="370"/>
      <c r="H175" s="532">
        <f>H149</f>
        <v>77.58</v>
      </c>
    </row>
    <row r="176" spans="2:8">
      <c r="B176" s="565" t="str">
        <f>B163</f>
        <v>Custo mensal com EPI's (R$/mês)</v>
      </c>
      <c r="C176" s="370"/>
      <c r="D176" s="370"/>
      <c r="E176" s="370"/>
      <c r="F176" s="370"/>
      <c r="G176" s="370"/>
      <c r="H176" s="532">
        <f>H163</f>
        <v>514.44000000000005</v>
      </c>
    </row>
    <row r="177" spans="2:8" ht="15.75" thickBot="1">
      <c r="B177" s="565" t="str">
        <f>B170</f>
        <v>Custo mensal com EPC's (R$/mês)</v>
      </c>
      <c r="C177" s="370"/>
      <c r="D177" s="370"/>
      <c r="E177" s="370"/>
      <c r="F177" s="370"/>
      <c r="G177" s="370"/>
      <c r="H177" s="532">
        <f>H170</f>
        <v>9.8374000000000006</v>
      </c>
    </row>
    <row r="178" spans="2:8" ht="15.75" thickBot="1">
      <c r="B178" s="348" t="s">
        <v>873</v>
      </c>
      <c r="C178" s="312"/>
      <c r="D178" s="312"/>
      <c r="E178" s="312"/>
      <c r="F178" s="312"/>
      <c r="G178" s="312"/>
      <c r="H178" s="871">
        <f>SUM(H173:H177)</f>
        <v>24503.027400000003</v>
      </c>
    </row>
    <row r="180" spans="2:8">
      <c r="B180" s="215" t="s">
        <v>1218</v>
      </c>
      <c r="C180" s="213"/>
      <c r="D180" s="213"/>
      <c r="E180" s="213"/>
      <c r="F180" s="213"/>
      <c r="G180" s="213"/>
    </row>
    <row r="181" spans="2:8">
      <c r="B181" s="557" t="s">
        <v>1212</v>
      </c>
      <c r="C181" s="558"/>
      <c r="D181" s="558"/>
      <c r="E181" s="558"/>
      <c r="F181" s="558"/>
      <c r="G181" s="558"/>
      <c r="H181" s="866">
        <f>H178</f>
        <v>24503.027400000003</v>
      </c>
    </row>
    <row r="182" spans="2:8" ht="15.75" thickBot="1">
      <c r="B182" s="559" t="s">
        <v>1210</v>
      </c>
      <c r="C182" s="213"/>
      <c r="D182" s="213"/>
      <c r="E182" s="213"/>
      <c r="F182" s="213"/>
      <c r="G182" s="213"/>
      <c r="H182" s="867">
        <f>TRUNC(E25*'6.ADM'!F334,2)</f>
        <v>4634.5600000000004</v>
      </c>
    </row>
    <row r="183" spans="2:8" ht="15.75" thickBot="1">
      <c r="B183" s="570" t="s">
        <v>873</v>
      </c>
      <c r="C183" s="555"/>
      <c r="D183" s="555"/>
      <c r="E183" s="555"/>
      <c r="F183" s="555"/>
      <c r="G183" s="555"/>
      <c r="H183" s="870">
        <f>TRUNC(SUM(H181:H182),2)</f>
        <v>29137.58</v>
      </c>
    </row>
    <row r="185" spans="2:8">
      <c r="B185" s="309" t="s">
        <v>1219</v>
      </c>
    </row>
    <row r="186" spans="2:8">
      <c r="B186" s="315" t="s">
        <v>924</v>
      </c>
      <c r="C186" s="316"/>
      <c r="D186" s="316"/>
      <c r="E186" s="316"/>
      <c r="F186" s="365">
        <f>H183</f>
        <v>29137.58</v>
      </c>
    </row>
    <row r="187" spans="2:8">
      <c r="B187" s="320" t="s">
        <v>926</v>
      </c>
      <c r="C187" s="321"/>
      <c r="D187" s="321"/>
      <c r="F187" s="366">
        <f>ANEXO_IIId_BDI!$D$16</f>
        <v>0.32340000000000002</v>
      </c>
    </row>
    <row r="188" spans="2:8">
      <c r="B188" s="364" t="s">
        <v>925</v>
      </c>
      <c r="C188" s="321"/>
      <c r="D188" s="321"/>
      <c r="E188" s="312"/>
      <c r="F188" s="367">
        <f>TRUNC(F186*(1+F187),2)</f>
        <v>38560.67</v>
      </c>
    </row>
    <row r="190" spans="2:8">
      <c r="B190" s="309" t="s">
        <v>1220</v>
      </c>
    </row>
    <row r="191" spans="2:8">
      <c r="B191" s="315" t="s">
        <v>925</v>
      </c>
      <c r="C191" s="316"/>
      <c r="D191" s="316"/>
      <c r="E191" s="316"/>
      <c r="F191" s="365">
        <f>F188</f>
        <v>38560.67</v>
      </c>
    </row>
    <row r="192" spans="2:8">
      <c r="B192" s="320" t="s">
        <v>932</v>
      </c>
      <c r="C192" s="321"/>
      <c r="D192" s="321"/>
      <c r="E192" s="321"/>
      <c r="F192" s="368">
        <f>E6*H4</f>
        <v>327515.38020000001</v>
      </c>
    </row>
    <row r="193" spans="2:7">
      <c r="B193" s="364" t="s">
        <v>933</v>
      </c>
      <c r="C193" s="321"/>
      <c r="D193" s="321"/>
      <c r="E193" s="312"/>
      <c r="F193" s="367">
        <f>TRUNC(F191/F192,2)</f>
        <v>0.11</v>
      </c>
      <c r="G193" s="313"/>
    </row>
  </sheetData>
  <mergeCells count="2">
    <mergeCell ref="B22:D22"/>
    <mergeCell ref="B58:D58"/>
  </mergeCells>
  <pageMargins left="0.78740157480314965" right="0.78740157480314965" top="1.1811023622047245" bottom="0.78740157480314965" header="0.31496062992125984" footer="0.31496062992125984"/>
  <pageSetup paperSize="9" scale="82" fitToHeight="0" orientation="portrait" r:id="rId1"/>
  <rowBreaks count="5" manualBreakCount="5">
    <brk id="26" min="1" max="7" man="1"/>
    <brk id="59" min="1" max="7" man="1"/>
    <brk id="92" min="1" max="7" man="1"/>
    <brk id="123" min="1" max="7" man="1"/>
    <brk id="150" min="1" max="7" man="1"/>
  </rowBreaks>
  <legacyDrawing r:id="rId2"/>
  <legacyDrawingHF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8D448-AE1E-4982-B91C-4A9D6B672F2D}">
  <dimension ref="C3:L107"/>
  <sheetViews>
    <sheetView showGridLines="0" view="pageBreakPreview" zoomScaleNormal="100" zoomScaleSheetLayoutView="100" workbookViewId="0">
      <selection activeCell="G11" sqref="G11"/>
    </sheetView>
  </sheetViews>
  <sheetFormatPr defaultRowHeight="15"/>
  <cols>
    <col min="2" max="2" width="2.28515625" customWidth="1"/>
    <col min="3" max="3" width="5.7109375" style="954" customWidth="1"/>
    <col min="4" max="4" width="37.140625" style="954" customWidth="1"/>
    <col min="5" max="5" width="10.140625" style="954" customWidth="1"/>
    <col min="6" max="6" width="7" customWidth="1"/>
    <col min="7" max="7" width="11.7109375" customWidth="1"/>
    <col min="8" max="8" width="12.140625" customWidth="1"/>
    <col min="9" max="9" width="12.42578125" bestFit="1" customWidth="1"/>
    <col min="10" max="10" width="2" customWidth="1"/>
    <col min="12" max="12" width="10.5703125" bestFit="1" customWidth="1"/>
  </cols>
  <sheetData>
    <row r="3" spans="3:12">
      <c r="C3" s="1524" t="s">
        <v>1533</v>
      </c>
      <c r="D3" s="1524"/>
      <c r="E3" s="1524"/>
      <c r="F3" s="1524"/>
      <c r="G3" s="1524"/>
      <c r="H3" s="1524"/>
      <c r="I3" s="1524"/>
    </row>
    <row r="4" spans="3:12" ht="15.75" thickBot="1"/>
    <row r="5" spans="3:12" ht="25.5" customHeight="1">
      <c r="C5" s="1381" t="s">
        <v>1454</v>
      </c>
      <c r="D5" s="1383" t="s">
        <v>1521</v>
      </c>
      <c r="E5" s="1383" t="s">
        <v>1522</v>
      </c>
      <c r="F5" s="1383" t="s">
        <v>1530</v>
      </c>
      <c r="G5" s="1383" t="s">
        <v>1531</v>
      </c>
      <c r="H5" s="1383" t="s">
        <v>1528</v>
      </c>
      <c r="I5" s="1383" t="s">
        <v>1529</v>
      </c>
    </row>
    <row r="6" spans="3:12" ht="42" customHeight="1" thickBot="1">
      <c r="C6" s="1378">
        <v>1</v>
      </c>
      <c r="D6" s="1379" t="s">
        <v>1504</v>
      </c>
      <c r="E6" s="1380" t="s">
        <v>1044</v>
      </c>
      <c r="F6" s="1380">
        <v>1</v>
      </c>
      <c r="G6" s="1382">
        <f>ANEXO_IIIa_COLETA_TRANSP_SEDE!F292</f>
        <v>176935.37</v>
      </c>
      <c r="H6" s="1382">
        <f>G6*F6</f>
        <v>176935.37</v>
      </c>
      <c r="I6" s="1382">
        <f>H6*12</f>
        <v>2123224.44</v>
      </c>
    </row>
    <row r="7" spans="3:12" ht="42" customHeight="1" thickBot="1">
      <c r="C7" s="1384">
        <v>2</v>
      </c>
      <c r="D7" s="1385" t="s">
        <v>1532</v>
      </c>
      <c r="E7" s="1386" t="s">
        <v>1524</v>
      </c>
      <c r="F7" s="1386">
        <v>7</v>
      </c>
      <c r="G7" s="1387">
        <f>ANEXO_IIIb_CONTEINERES!F92</f>
        <v>327.02</v>
      </c>
      <c r="H7" s="1387">
        <f>G7*F7</f>
        <v>2289.14</v>
      </c>
      <c r="I7" s="1387">
        <f>H7*12</f>
        <v>27469.68</v>
      </c>
    </row>
    <row r="8" spans="3:12" ht="48.75" thickBot="1">
      <c r="C8" s="1388">
        <v>3</v>
      </c>
      <c r="D8" s="1389" t="s">
        <v>1505</v>
      </c>
      <c r="E8" s="1388" t="s">
        <v>1523</v>
      </c>
      <c r="F8" s="1390">
        <f>ANEXO_IIIc_COLETA_DISTRITOS!H6</f>
        <v>4.33</v>
      </c>
      <c r="G8" s="1391">
        <f>ANEXO_IIIc_COLETA_DISTRITOS!F103</f>
        <v>613.21</v>
      </c>
      <c r="H8" s="1391">
        <f>TRUNC(G8*F8,2)</f>
        <v>2655.19</v>
      </c>
      <c r="I8" s="1391">
        <f>H8*12</f>
        <v>31862.28</v>
      </c>
    </row>
    <row r="9" spans="3:12" ht="15.75" thickBot="1">
      <c r="C9" s="1392"/>
      <c r="D9" s="1393" t="s">
        <v>244</v>
      </c>
      <c r="E9" s="1392"/>
      <c r="F9" s="1392"/>
      <c r="G9" s="1392"/>
      <c r="H9" s="1394">
        <f>SUM(H6:H8)</f>
        <v>181879.7</v>
      </c>
      <c r="I9" s="1394">
        <f>SUM(I6:I8)</f>
        <v>2182556.4</v>
      </c>
    </row>
    <row r="10" spans="3:12">
      <c r="C10"/>
      <c r="D10"/>
      <c r="E10"/>
      <c r="L10" s="63"/>
    </row>
    <row r="11" spans="3:12">
      <c r="C11"/>
      <c r="D11"/>
      <c r="E11"/>
    </row>
    <row r="12" spans="3:12">
      <c r="C12"/>
      <c r="D12"/>
      <c r="E12"/>
    </row>
    <row r="13" spans="3:12">
      <c r="C13"/>
      <c r="D13"/>
      <c r="E13"/>
    </row>
    <row r="14" spans="3:12">
      <c r="C14"/>
      <c r="D14"/>
      <c r="E14"/>
    </row>
    <row r="15" spans="3:12">
      <c r="C15"/>
      <c r="D15"/>
      <c r="E15"/>
    </row>
    <row r="16" spans="3:12">
      <c r="C16"/>
      <c r="D16"/>
      <c r="E16"/>
    </row>
    <row r="17" customFormat="1"/>
    <row r="18" customFormat="1"/>
    <row r="19" customFormat="1" ht="6.75" customHeight="1"/>
    <row r="20" customFormat="1"/>
    <row r="21" customFormat="1"/>
    <row r="22" customFormat="1"/>
    <row r="23" customFormat="1"/>
    <row r="24" customFormat="1"/>
    <row r="25" customFormat="1"/>
    <row r="26" customFormat="1"/>
    <row r="27" customFormat="1"/>
    <row r="28" customFormat="1"/>
    <row r="29" customFormat="1"/>
    <row r="30" customFormat="1"/>
    <row r="31" customFormat="1"/>
    <row r="32" customFormat="1" ht="6.75" customHeight="1"/>
    <row r="33" spans="3:5">
      <c r="C33"/>
      <c r="D33"/>
      <c r="E33"/>
    </row>
    <row r="34" spans="3:5">
      <c r="C34"/>
      <c r="D34"/>
      <c r="E34"/>
    </row>
    <row r="35" spans="3:5">
      <c r="C35"/>
      <c r="D35"/>
      <c r="E35"/>
    </row>
    <row r="36" spans="3:5">
      <c r="C36"/>
      <c r="D36"/>
      <c r="E36"/>
    </row>
    <row r="37" spans="3:5">
      <c r="C37"/>
      <c r="D37"/>
      <c r="E37"/>
    </row>
    <row r="38" spans="3:5">
      <c r="C38"/>
      <c r="D38"/>
      <c r="E38"/>
    </row>
    <row r="39" spans="3:5">
      <c r="C39"/>
      <c r="D39"/>
      <c r="E39"/>
    </row>
    <row r="40" spans="3:5" ht="6.75" customHeight="1">
      <c r="C40"/>
      <c r="D40"/>
      <c r="E40"/>
    </row>
    <row r="41" spans="3:5">
      <c r="C41"/>
      <c r="D41"/>
      <c r="E41"/>
    </row>
    <row r="42" spans="3:5">
      <c r="C42"/>
      <c r="D42"/>
      <c r="E42"/>
    </row>
    <row r="43" spans="3:5">
      <c r="C43"/>
      <c r="D43"/>
      <c r="E43"/>
    </row>
    <row r="44" spans="3:5">
      <c r="C44"/>
      <c r="D44"/>
      <c r="E44"/>
    </row>
    <row r="45" spans="3:5" ht="6.75" customHeight="1">
      <c r="C45"/>
      <c r="D45"/>
      <c r="E45"/>
    </row>
    <row r="46" spans="3:5">
      <c r="C46"/>
      <c r="D46"/>
      <c r="E46"/>
    </row>
    <row r="47" spans="3:5">
      <c r="C47"/>
      <c r="D47"/>
      <c r="E47"/>
    </row>
    <row r="48" spans="3:5">
      <c r="E48" s="1008"/>
    </row>
    <row r="49" spans="5:5">
      <c r="E49" s="1008"/>
    </row>
    <row r="50" spans="5:5">
      <c r="E50" s="1008"/>
    </row>
    <row r="51" spans="5:5">
      <c r="E51" s="1008"/>
    </row>
    <row r="52" spans="5:5">
      <c r="E52" s="1008"/>
    </row>
    <row r="53" spans="5:5">
      <c r="E53" s="1008"/>
    </row>
    <row r="54" spans="5:5">
      <c r="E54" s="1008"/>
    </row>
    <row r="55" spans="5:5">
      <c r="E55" s="1008"/>
    </row>
    <row r="56" spans="5:5">
      <c r="E56" s="1008"/>
    </row>
    <row r="57" spans="5:5">
      <c r="E57" s="1008"/>
    </row>
    <row r="58" spans="5:5">
      <c r="E58" s="1008"/>
    </row>
    <row r="59" spans="5:5">
      <c r="E59" s="1008"/>
    </row>
    <row r="60" spans="5:5">
      <c r="E60" s="1008"/>
    </row>
    <row r="61" spans="5:5">
      <c r="E61" s="1008"/>
    </row>
    <row r="62" spans="5:5">
      <c r="E62" s="1008"/>
    </row>
    <row r="63" spans="5:5">
      <c r="E63" s="1008"/>
    </row>
    <row r="64" spans="5:5">
      <c r="E64" s="1008"/>
    </row>
    <row r="65" spans="5:5">
      <c r="E65" s="1008"/>
    </row>
    <row r="66" spans="5:5">
      <c r="E66" s="1008"/>
    </row>
    <row r="67" spans="5:5">
      <c r="E67" s="1008"/>
    </row>
    <row r="68" spans="5:5">
      <c r="E68" s="1008"/>
    </row>
    <row r="69" spans="5:5">
      <c r="E69" s="1008"/>
    </row>
    <row r="70" spans="5:5">
      <c r="E70" s="1008"/>
    </row>
    <row r="71" spans="5:5">
      <c r="E71" s="1008"/>
    </row>
    <row r="72" spans="5:5">
      <c r="E72" s="1008"/>
    </row>
    <row r="73" spans="5:5">
      <c r="E73" s="1008"/>
    </row>
    <row r="74" spans="5:5">
      <c r="E74" s="1008"/>
    </row>
    <row r="75" spans="5:5">
      <c r="E75" s="1008"/>
    </row>
    <row r="76" spans="5:5">
      <c r="E76" s="1008"/>
    </row>
    <row r="77" spans="5:5">
      <c r="E77" s="1008"/>
    </row>
    <row r="78" spans="5:5">
      <c r="E78" s="1008"/>
    </row>
    <row r="79" spans="5:5">
      <c r="E79" s="1008"/>
    </row>
    <row r="80" spans="5:5">
      <c r="E80" s="1008"/>
    </row>
    <row r="81" spans="5:5">
      <c r="E81" s="1008"/>
    </row>
    <row r="82" spans="5:5">
      <c r="E82" s="1008"/>
    </row>
    <row r="83" spans="5:5">
      <c r="E83" s="1008"/>
    </row>
    <row r="84" spans="5:5">
      <c r="E84" s="1008"/>
    </row>
    <row r="85" spans="5:5">
      <c r="E85" s="1008"/>
    </row>
    <row r="86" spans="5:5">
      <c r="E86" s="1008"/>
    </row>
    <row r="87" spans="5:5">
      <c r="E87" s="1008"/>
    </row>
    <row r="88" spans="5:5">
      <c r="E88" s="1008"/>
    </row>
    <row r="89" spans="5:5">
      <c r="E89" s="1008"/>
    </row>
    <row r="90" spans="5:5">
      <c r="E90" s="1008"/>
    </row>
    <row r="91" spans="5:5">
      <c r="E91" s="1008"/>
    </row>
    <row r="92" spans="5:5">
      <c r="E92" s="1008"/>
    </row>
    <row r="93" spans="5:5">
      <c r="E93" s="1008"/>
    </row>
    <row r="94" spans="5:5">
      <c r="E94" s="1008"/>
    </row>
    <row r="95" spans="5:5">
      <c r="E95" s="1008"/>
    </row>
    <row r="96" spans="5:5">
      <c r="E96" s="1008"/>
    </row>
    <row r="97" spans="5:5">
      <c r="E97" s="1008"/>
    </row>
    <row r="98" spans="5:5">
      <c r="E98" s="1008"/>
    </row>
    <row r="99" spans="5:5">
      <c r="E99" s="1008"/>
    </row>
    <row r="100" spans="5:5">
      <c r="E100" s="1008"/>
    </row>
    <row r="101" spans="5:5">
      <c r="E101" s="1008"/>
    </row>
    <row r="102" spans="5:5">
      <c r="E102" s="1008"/>
    </row>
    <row r="103" spans="5:5">
      <c r="E103" s="1008"/>
    </row>
    <row r="104" spans="5:5">
      <c r="E104" s="1008"/>
    </row>
    <row r="105" spans="5:5">
      <c r="E105" s="1008"/>
    </row>
    <row r="106" spans="5:5">
      <c r="E106" s="1008"/>
    </row>
    <row r="107" spans="5:5">
      <c r="E107" s="1008"/>
    </row>
  </sheetData>
  <protectedRanges>
    <protectedRange sqref="E23 E25:E26 E28 E30 E34:E38" name="Intervalo1"/>
  </protectedRanges>
  <mergeCells count="1">
    <mergeCell ref="C3:I3"/>
  </mergeCells>
  <printOptions horizontalCentered="1"/>
  <pageMargins left="0.59055118110236227" right="0.39370078740157483" top="1.1811023622047245" bottom="0.78740157480314965" header="0.31496062992125984" footer="0.31496062992125984"/>
  <pageSetup paperSize="9" scale="92" orientation="portrait" r:id="rId1"/>
  <headerFooter>
    <oddHeader>&amp;L&amp;G&amp;C&amp;"Times New Roman,Negrito itálico"&amp;14Estado de Mato Grosso do Sul
Prefeitura Municipal de Cassilândia/MS
&amp;R&amp;G</oddHeader>
    <oddFooter>&amp;C&amp;"Times New Roman,Normal"&amp;10&amp;K130BB5Rua Domingos de Souza França, nº420 – Centro - (67) 3596-1301 – Cassilândia – MS</oddFooter>
  </headerFooter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8FF0B-3E7D-4F28-8DF5-0E82454A603F}">
  <sheetPr>
    <pageSetUpPr fitToPage="1"/>
  </sheetPr>
  <dimension ref="B1:AG33"/>
  <sheetViews>
    <sheetView showGridLines="0" tabSelected="1" view="pageBreakPreview" topLeftCell="A11" zoomScale="115" zoomScaleNormal="100" zoomScaleSheetLayoutView="115" workbookViewId="0">
      <selection activeCell="E23" sqref="E23"/>
    </sheetView>
  </sheetViews>
  <sheetFormatPr defaultColWidth="11.42578125" defaultRowHeight="12"/>
  <cols>
    <col min="1" max="1" width="4.7109375" style="1009" customWidth="1"/>
    <col min="2" max="2" width="6" style="1009" customWidth="1"/>
    <col min="3" max="3" width="13.42578125" style="1009" customWidth="1"/>
    <col min="4" max="4" width="42" style="1009" customWidth="1"/>
    <col min="5" max="5" width="17.140625" style="1009" customWidth="1"/>
    <col min="6" max="6" width="11.5703125" style="1014" bestFit="1" customWidth="1"/>
    <col min="7" max="7" width="13.85546875" style="1014" customWidth="1"/>
    <col min="8" max="8" width="13" style="1009" hidden="1" customWidth="1"/>
    <col min="9" max="9" width="13.140625" style="1009" customWidth="1"/>
    <col min="10" max="10" width="12.7109375" style="1009" hidden="1" customWidth="1"/>
    <col min="11" max="11" width="11.42578125" style="1009"/>
    <col min="12" max="12" width="14.28515625" style="1009" hidden="1" customWidth="1"/>
    <col min="13" max="13" width="12" style="1009" bestFit="1" customWidth="1"/>
    <col min="14" max="14" width="13" style="1009" hidden="1" customWidth="1"/>
    <col min="15" max="15" width="12" style="1009" bestFit="1" customWidth="1"/>
    <col min="16" max="16" width="13" style="1009" hidden="1" customWidth="1"/>
    <col min="17" max="17" width="10.5703125" style="1009" customWidth="1"/>
    <col min="18" max="18" width="12" style="1009" hidden="1" customWidth="1"/>
    <col min="19" max="19" width="10.85546875" style="1009" bestFit="1" customWidth="1"/>
    <col min="20" max="20" width="10.85546875" style="1009" hidden="1" customWidth="1"/>
    <col min="21" max="21" width="10.85546875" style="1009" customWidth="1"/>
    <col min="22" max="22" width="10.85546875" style="1009" hidden="1" customWidth="1"/>
    <col min="23" max="23" width="10.85546875" style="1009" customWidth="1"/>
    <col min="24" max="24" width="10.85546875" style="1009" hidden="1" customWidth="1"/>
    <col min="25" max="25" width="10.85546875" style="1009" customWidth="1"/>
    <col min="26" max="26" width="10.85546875" style="1009" hidden="1" customWidth="1"/>
    <col min="27" max="27" width="10.85546875" style="1009" customWidth="1"/>
    <col min="28" max="28" width="10.85546875" style="1009" hidden="1" customWidth="1"/>
    <col min="29" max="29" width="10.7109375" style="1009" customWidth="1"/>
    <col min="30" max="30" width="10.85546875" style="1009" hidden="1" customWidth="1"/>
    <col min="31" max="31" width="10.85546875" style="1009" customWidth="1"/>
    <col min="32" max="32" width="10.28515625" style="1009" hidden="1" customWidth="1"/>
    <col min="33" max="33" width="2.7109375" style="1009" customWidth="1"/>
    <col min="34" max="231" width="11.42578125" style="1009"/>
    <col min="232" max="232" width="4.7109375" style="1009" customWidth="1"/>
    <col min="233" max="233" width="6" style="1009" customWidth="1"/>
    <col min="234" max="234" width="13.42578125" style="1009" customWidth="1"/>
    <col min="235" max="235" width="42" style="1009" customWidth="1"/>
    <col min="236" max="243" width="0" style="1009" hidden="1" customWidth="1"/>
    <col min="244" max="244" width="17.140625" style="1009" customWidth="1"/>
    <col min="245" max="245" width="11.5703125" style="1009" bestFit="1" customWidth="1"/>
    <col min="246" max="249" width="0" style="1009" hidden="1" customWidth="1"/>
    <col min="250" max="250" width="8.7109375" style="1009" customWidth="1"/>
    <col min="251" max="251" width="5.7109375" style="1009" customWidth="1"/>
    <col min="252" max="252" width="0" style="1009" hidden="1" customWidth="1"/>
    <col min="253" max="253" width="16.28515625" style="1009" bestFit="1" customWidth="1"/>
    <col min="254" max="255" width="0" style="1009" hidden="1" customWidth="1"/>
    <col min="256" max="256" width="12.7109375" style="1009" customWidth="1"/>
    <col min="257" max="258" width="0" style="1009" hidden="1" customWidth="1"/>
    <col min="259" max="259" width="11.42578125" style="1009"/>
    <col min="260" max="261" width="0" style="1009" hidden="1" customWidth="1"/>
    <col min="262" max="262" width="14.28515625" style="1009" customWidth="1"/>
    <col min="263" max="264" width="0" style="1009" hidden="1" customWidth="1"/>
    <col min="265" max="265" width="12" style="1009" bestFit="1" customWidth="1"/>
    <col min="266" max="267" width="0" style="1009" hidden="1" customWidth="1"/>
    <col min="268" max="268" width="13" style="1009" customWidth="1"/>
    <col min="269" max="270" width="0" style="1009" hidden="1" customWidth="1"/>
    <col min="271" max="271" width="12" style="1009" bestFit="1" customWidth="1"/>
    <col min="272" max="273" width="0" style="1009" hidden="1" customWidth="1"/>
    <col min="274" max="274" width="13" style="1009" bestFit="1" customWidth="1"/>
    <col min="275" max="276" width="0" style="1009" hidden="1" customWidth="1"/>
    <col min="277" max="277" width="10.42578125" style="1009" customWidth="1"/>
    <col min="278" max="279" width="0" style="1009" hidden="1" customWidth="1"/>
    <col min="280" max="280" width="12" style="1009" bestFit="1" customWidth="1"/>
    <col min="281" max="282" width="0" style="1009" hidden="1" customWidth="1"/>
    <col min="283" max="283" width="10.85546875" style="1009" bestFit="1" customWidth="1"/>
    <col min="284" max="285" width="0" style="1009" hidden="1" customWidth="1"/>
    <col min="286" max="286" width="12" style="1009" bestFit="1" customWidth="1"/>
    <col min="287" max="288" width="0" style="1009" hidden="1" customWidth="1"/>
    <col min="289" max="487" width="11.42578125" style="1009"/>
    <col min="488" max="488" width="4.7109375" style="1009" customWidth="1"/>
    <col min="489" max="489" width="6" style="1009" customWidth="1"/>
    <col min="490" max="490" width="13.42578125" style="1009" customWidth="1"/>
    <col min="491" max="491" width="42" style="1009" customWidth="1"/>
    <col min="492" max="499" width="0" style="1009" hidden="1" customWidth="1"/>
    <col min="500" max="500" width="17.140625" style="1009" customWidth="1"/>
    <col min="501" max="501" width="11.5703125" style="1009" bestFit="1" customWidth="1"/>
    <col min="502" max="505" width="0" style="1009" hidden="1" customWidth="1"/>
    <col min="506" max="506" width="8.7109375" style="1009" customWidth="1"/>
    <col min="507" max="507" width="5.7109375" style="1009" customWidth="1"/>
    <col min="508" max="508" width="0" style="1009" hidden="1" customWidth="1"/>
    <col min="509" max="509" width="16.28515625" style="1009" bestFit="1" customWidth="1"/>
    <col min="510" max="511" width="0" style="1009" hidden="1" customWidth="1"/>
    <col min="512" max="512" width="12.7109375" style="1009" customWidth="1"/>
    <col min="513" max="514" width="0" style="1009" hidden="1" customWidth="1"/>
    <col min="515" max="515" width="11.42578125" style="1009"/>
    <col min="516" max="517" width="0" style="1009" hidden="1" customWidth="1"/>
    <col min="518" max="518" width="14.28515625" style="1009" customWidth="1"/>
    <col min="519" max="520" width="0" style="1009" hidden="1" customWidth="1"/>
    <col min="521" max="521" width="12" style="1009" bestFit="1" customWidth="1"/>
    <col min="522" max="523" width="0" style="1009" hidden="1" customWidth="1"/>
    <col min="524" max="524" width="13" style="1009" customWidth="1"/>
    <col min="525" max="526" width="0" style="1009" hidden="1" customWidth="1"/>
    <col min="527" max="527" width="12" style="1009" bestFit="1" customWidth="1"/>
    <col min="528" max="529" width="0" style="1009" hidden="1" customWidth="1"/>
    <col min="530" max="530" width="13" style="1009" bestFit="1" customWidth="1"/>
    <col min="531" max="532" width="0" style="1009" hidden="1" customWidth="1"/>
    <col min="533" max="533" width="10.42578125" style="1009" customWidth="1"/>
    <col min="534" max="535" width="0" style="1009" hidden="1" customWidth="1"/>
    <col min="536" max="536" width="12" style="1009" bestFit="1" customWidth="1"/>
    <col min="537" max="538" width="0" style="1009" hidden="1" customWidth="1"/>
    <col min="539" max="539" width="10.85546875" style="1009" bestFit="1" customWidth="1"/>
    <col min="540" max="541" width="0" style="1009" hidden="1" customWidth="1"/>
    <col min="542" max="542" width="12" style="1009" bestFit="1" customWidth="1"/>
    <col min="543" max="544" width="0" style="1009" hidden="1" customWidth="1"/>
    <col min="545" max="743" width="11.42578125" style="1009"/>
    <col min="744" max="744" width="4.7109375" style="1009" customWidth="1"/>
    <col min="745" max="745" width="6" style="1009" customWidth="1"/>
    <col min="746" max="746" width="13.42578125" style="1009" customWidth="1"/>
    <col min="747" max="747" width="42" style="1009" customWidth="1"/>
    <col min="748" max="755" width="0" style="1009" hidden="1" customWidth="1"/>
    <col min="756" max="756" width="17.140625" style="1009" customWidth="1"/>
    <col min="757" max="757" width="11.5703125" style="1009" bestFit="1" customWidth="1"/>
    <col min="758" max="761" width="0" style="1009" hidden="1" customWidth="1"/>
    <col min="762" max="762" width="8.7109375" style="1009" customWidth="1"/>
    <col min="763" max="763" width="5.7109375" style="1009" customWidth="1"/>
    <col min="764" max="764" width="0" style="1009" hidden="1" customWidth="1"/>
    <col min="765" max="765" width="16.28515625" style="1009" bestFit="1" customWidth="1"/>
    <col min="766" max="767" width="0" style="1009" hidden="1" customWidth="1"/>
    <col min="768" max="768" width="12.7109375" style="1009" customWidth="1"/>
    <col min="769" max="770" width="0" style="1009" hidden="1" customWidth="1"/>
    <col min="771" max="771" width="11.42578125" style="1009"/>
    <col min="772" max="773" width="0" style="1009" hidden="1" customWidth="1"/>
    <col min="774" max="774" width="14.28515625" style="1009" customWidth="1"/>
    <col min="775" max="776" width="0" style="1009" hidden="1" customWidth="1"/>
    <col min="777" max="777" width="12" style="1009" bestFit="1" customWidth="1"/>
    <col min="778" max="779" width="0" style="1009" hidden="1" customWidth="1"/>
    <col min="780" max="780" width="13" style="1009" customWidth="1"/>
    <col min="781" max="782" width="0" style="1009" hidden="1" customWidth="1"/>
    <col min="783" max="783" width="12" style="1009" bestFit="1" customWidth="1"/>
    <col min="784" max="785" width="0" style="1009" hidden="1" customWidth="1"/>
    <col min="786" max="786" width="13" style="1009" bestFit="1" customWidth="1"/>
    <col min="787" max="788" width="0" style="1009" hidden="1" customWidth="1"/>
    <col min="789" max="789" width="10.42578125" style="1009" customWidth="1"/>
    <col min="790" max="791" width="0" style="1009" hidden="1" customWidth="1"/>
    <col min="792" max="792" width="12" style="1009" bestFit="1" customWidth="1"/>
    <col min="793" max="794" width="0" style="1009" hidden="1" customWidth="1"/>
    <col min="795" max="795" width="10.85546875" style="1009" bestFit="1" customWidth="1"/>
    <col min="796" max="797" width="0" style="1009" hidden="1" customWidth="1"/>
    <col min="798" max="798" width="12" style="1009" bestFit="1" customWidth="1"/>
    <col min="799" max="800" width="0" style="1009" hidden="1" customWidth="1"/>
    <col min="801" max="999" width="11.42578125" style="1009"/>
    <col min="1000" max="1000" width="4.7109375" style="1009" customWidth="1"/>
    <col min="1001" max="1001" width="6" style="1009" customWidth="1"/>
    <col min="1002" max="1002" width="13.42578125" style="1009" customWidth="1"/>
    <col min="1003" max="1003" width="42" style="1009" customWidth="1"/>
    <col min="1004" max="1011" width="0" style="1009" hidden="1" customWidth="1"/>
    <col min="1012" max="1012" width="17.140625" style="1009" customWidth="1"/>
    <col min="1013" max="1013" width="11.5703125" style="1009" bestFit="1" customWidth="1"/>
    <col min="1014" max="1017" width="0" style="1009" hidden="1" customWidth="1"/>
    <col min="1018" max="1018" width="8.7109375" style="1009" customWidth="1"/>
    <col min="1019" max="1019" width="5.7109375" style="1009" customWidth="1"/>
    <col min="1020" max="1020" width="0" style="1009" hidden="1" customWidth="1"/>
    <col min="1021" max="1021" width="16.28515625" style="1009" bestFit="1" customWidth="1"/>
    <col min="1022" max="1023" width="0" style="1009" hidden="1" customWidth="1"/>
    <col min="1024" max="1024" width="12.7109375" style="1009" customWidth="1"/>
    <col min="1025" max="1026" width="0" style="1009" hidden="1" customWidth="1"/>
    <col min="1027" max="1027" width="11.42578125" style="1009"/>
    <col min="1028" max="1029" width="0" style="1009" hidden="1" customWidth="1"/>
    <col min="1030" max="1030" width="14.28515625" style="1009" customWidth="1"/>
    <col min="1031" max="1032" width="0" style="1009" hidden="1" customWidth="1"/>
    <col min="1033" max="1033" width="12" style="1009" bestFit="1" customWidth="1"/>
    <col min="1034" max="1035" width="0" style="1009" hidden="1" customWidth="1"/>
    <col min="1036" max="1036" width="13" style="1009" customWidth="1"/>
    <col min="1037" max="1038" width="0" style="1009" hidden="1" customWidth="1"/>
    <col min="1039" max="1039" width="12" style="1009" bestFit="1" customWidth="1"/>
    <col min="1040" max="1041" width="0" style="1009" hidden="1" customWidth="1"/>
    <col min="1042" max="1042" width="13" style="1009" bestFit="1" customWidth="1"/>
    <col min="1043" max="1044" width="0" style="1009" hidden="1" customWidth="1"/>
    <col min="1045" max="1045" width="10.42578125" style="1009" customWidth="1"/>
    <col min="1046" max="1047" width="0" style="1009" hidden="1" customWidth="1"/>
    <col min="1048" max="1048" width="12" style="1009" bestFit="1" customWidth="1"/>
    <col min="1049" max="1050" width="0" style="1009" hidden="1" customWidth="1"/>
    <col min="1051" max="1051" width="10.85546875" style="1009" bestFit="1" customWidth="1"/>
    <col min="1052" max="1053" width="0" style="1009" hidden="1" customWidth="1"/>
    <col min="1054" max="1054" width="12" style="1009" bestFit="1" customWidth="1"/>
    <col min="1055" max="1056" width="0" style="1009" hidden="1" customWidth="1"/>
    <col min="1057" max="1255" width="11.42578125" style="1009"/>
    <col min="1256" max="1256" width="4.7109375" style="1009" customWidth="1"/>
    <col min="1257" max="1257" width="6" style="1009" customWidth="1"/>
    <col min="1258" max="1258" width="13.42578125" style="1009" customWidth="1"/>
    <col min="1259" max="1259" width="42" style="1009" customWidth="1"/>
    <col min="1260" max="1267" width="0" style="1009" hidden="1" customWidth="1"/>
    <col min="1268" max="1268" width="17.140625" style="1009" customWidth="1"/>
    <col min="1269" max="1269" width="11.5703125" style="1009" bestFit="1" customWidth="1"/>
    <col min="1270" max="1273" width="0" style="1009" hidden="1" customWidth="1"/>
    <col min="1274" max="1274" width="8.7109375" style="1009" customWidth="1"/>
    <col min="1275" max="1275" width="5.7109375" style="1009" customWidth="1"/>
    <col min="1276" max="1276" width="0" style="1009" hidden="1" customWidth="1"/>
    <col min="1277" max="1277" width="16.28515625" style="1009" bestFit="1" customWidth="1"/>
    <col min="1278" max="1279" width="0" style="1009" hidden="1" customWidth="1"/>
    <col min="1280" max="1280" width="12.7109375" style="1009" customWidth="1"/>
    <col min="1281" max="1282" width="0" style="1009" hidden="1" customWidth="1"/>
    <col min="1283" max="1283" width="11.42578125" style="1009"/>
    <col min="1284" max="1285" width="0" style="1009" hidden="1" customWidth="1"/>
    <col min="1286" max="1286" width="14.28515625" style="1009" customWidth="1"/>
    <col min="1287" max="1288" width="0" style="1009" hidden="1" customWidth="1"/>
    <col min="1289" max="1289" width="12" style="1009" bestFit="1" customWidth="1"/>
    <col min="1290" max="1291" width="0" style="1009" hidden="1" customWidth="1"/>
    <col min="1292" max="1292" width="13" style="1009" customWidth="1"/>
    <col min="1293" max="1294" width="0" style="1009" hidden="1" customWidth="1"/>
    <col min="1295" max="1295" width="12" style="1009" bestFit="1" customWidth="1"/>
    <col min="1296" max="1297" width="0" style="1009" hidden="1" customWidth="1"/>
    <col min="1298" max="1298" width="13" style="1009" bestFit="1" customWidth="1"/>
    <col min="1299" max="1300" width="0" style="1009" hidden="1" customWidth="1"/>
    <col min="1301" max="1301" width="10.42578125" style="1009" customWidth="1"/>
    <col min="1302" max="1303" width="0" style="1009" hidden="1" customWidth="1"/>
    <col min="1304" max="1304" width="12" style="1009" bestFit="1" customWidth="1"/>
    <col min="1305" max="1306" width="0" style="1009" hidden="1" customWidth="1"/>
    <col min="1307" max="1307" width="10.85546875" style="1009" bestFit="1" customWidth="1"/>
    <col min="1308" max="1309" width="0" style="1009" hidden="1" customWidth="1"/>
    <col min="1310" max="1310" width="12" style="1009" bestFit="1" customWidth="1"/>
    <col min="1311" max="1312" width="0" style="1009" hidden="1" customWidth="1"/>
    <col min="1313" max="1511" width="11.42578125" style="1009"/>
    <col min="1512" max="1512" width="4.7109375" style="1009" customWidth="1"/>
    <col min="1513" max="1513" width="6" style="1009" customWidth="1"/>
    <col min="1514" max="1514" width="13.42578125" style="1009" customWidth="1"/>
    <col min="1515" max="1515" width="42" style="1009" customWidth="1"/>
    <col min="1516" max="1523" width="0" style="1009" hidden="1" customWidth="1"/>
    <col min="1524" max="1524" width="17.140625" style="1009" customWidth="1"/>
    <col min="1525" max="1525" width="11.5703125" style="1009" bestFit="1" customWidth="1"/>
    <col min="1526" max="1529" width="0" style="1009" hidden="1" customWidth="1"/>
    <col min="1530" max="1530" width="8.7109375" style="1009" customWidth="1"/>
    <col min="1531" max="1531" width="5.7109375" style="1009" customWidth="1"/>
    <col min="1532" max="1532" width="0" style="1009" hidden="1" customWidth="1"/>
    <col min="1533" max="1533" width="16.28515625" style="1009" bestFit="1" customWidth="1"/>
    <col min="1534" max="1535" width="0" style="1009" hidden="1" customWidth="1"/>
    <col min="1536" max="1536" width="12.7109375" style="1009" customWidth="1"/>
    <col min="1537" max="1538" width="0" style="1009" hidden="1" customWidth="1"/>
    <col min="1539" max="1539" width="11.42578125" style="1009"/>
    <col min="1540" max="1541" width="0" style="1009" hidden="1" customWidth="1"/>
    <col min="1542" max="1542" width="14.28515625" style="1009" customWidth="1"/>
    <col min="1543" max="1544" width="0" style="1009" hidden="1" customWidth="1"/>
    <col min="1545" max="1545" width="12" style="1009" bestFit="1" customWidth="1"/>
    <col min="1546" max="1547" width="0" style="1009" hidden="1" customWidth="1"/>
    <col min="1548" max="1548" width="13" style="1009" customWidth="1"/>
    <col min="1549" max="1550" width="0" style="1009" hidden="1" customWidth="1"/>
    <col min="1551" max="1551" width="12" style="1009" bestFit="1" customWidth="1"/>
    <col min="1552" max="1553" width="0" style="1009" hidden="1" customWidth="1"/>
    <col min="1554" max="1554" width="13" style="1009" bestFit="1" customWidth="1"/>
    <col min="1555" max="1556" width="0" style="1009" hidden="1" customWidth="1"/>
    <col min="1557" max="1557" width="10.42578125" style="1009" customWidth="1"/>
    <col min="1558" max="1559" width="0" style="1009" hidden="1" customWidth="1"/>
    <col min="1560" max="1560" width="12" style="1009" bestFit="1" customWidth="1"/>
    <col min="1561" max="1562" width="0" style="1009" hidden="1" customWidth="1"/>
    <col min="1563" max="1563" width="10.85546875" style="1009" bestFit="1" customWidth="1"/>
    <col min="1564" max="1565" width="0" style="1009" hidden="1" customWidth="1"/>
    <col min="1566" max="1566" width="12" style="1009" bestFit="1" customWidth="1"/>
    <col min="1567" max="1568" width="0" style="1009" hidden="1" customWidth="1"/>
    <col min="1569" max="1767" width="11.42578125" style="1009"/>
    <col min="1768" max="1768" width="4.7109375" style="1009" customWidth="1"/>
    <col min="1769" max="1769" width="6" style="1009" customWidth="1"/>
    <col min="1770" max="1770" width="13.42578125" style="1009" customWidth="1"/>
    <col min="1771" max="1771" width="42" style="1009" customWidth="1"/>
    <col min="1772" max="1779" width="0" style="1009" hidden="1" customWidth="1"/>
    <col min="1780" max="1780" width="17.140625" style="1009" customWidth="1"/>
    <col min="1781" max="1781" width="11.5703125" style="1009" bestFit="1" customWidth="1"/>
    <col min="1782" max="1785" width="0" style="1009" hidden="1" customWidth="1"/>
    <col min="1786" max="1786" width="8.7109375" style="1009" customWidth="1"/>
    <col min="1787" max="1787" width="5.7109375" style="1009" customWidth="1"/>
    <col min="1788" max="1788" width="0" style="1009" hidden="1" customWidth="1"/>
    <col min="1789" max="1789" width="16.28515625" style="1009" bestFit="1" customWidth="1"/>
    <col min="1790" max="1791" width="0" style="1009" hidden="1" customWidth="1"/>
    <col min="1792" max="1792" width="12.7109375" style="1009" customWidth="1"/>
    <col min="1793" max="1794" width="0" style="1009" hidden="1" customWidth="1"/>
    <col min="1795" max="1795" width="11.42578125" style="1009"/>
    <col min="1796" max="1797" width="0" style="1009" hidden="1" customWidth="1"/>
    <col min="1798" max="1798" width="14.28515625" style="1009" customWidth="1"/>
    <col min="1799" max="1800" width="0" style="1009" hidden="1" customWidth="1"/>
    <col min="1801" max="1801" width="12" style="1009" bestFit="1" customWidth="1"/>
    <col min="1802" max="1803" width="0" style="1009" hidden="1" customWidth="1"/>
    <col min="1804" max="1804" width="13" style="1009" customWidth="1"/>
    <col min="1805" max="1806" width="0" style="1009" hidden="1" customWidth="1"/>
    <col min="1807" max="1807" width="12" style="1009" bestFit="1" customWidth="1"/>
    <col min="1808" max="1809" width="0" style="1009" hidden="1" customWidth="1"/>
    <col min="1810" max="1810" width="13" style="1009" bestFit="1" customWidth="1"/>
    <col min="1811" max="1812" width="0" style="1009" hidden="1" customWidth="1"/>
    <col min="1813" max="1813" width="10.42578125" style="1009" customWidth="1"/>
    <col min="1814" max="1815" width="0" style="1009" hidden="1" customWidth="1"/>
    <col min="1816" max="1816" width="12" style="1009" bestFit="1" customWidth="1"/>
    <col min="1817" max="1818" width="0" style="1009" hidden="1" customWidth="1"/>
    <col min="1819" max="1819" width="10.85546875" style="1009" bestFit="1" customWidth="1"/>
    <col min="1820" max="1821" width="0" style="1009" hidden="1" customWidth="1"/>
    <col min="1822" max="1822" width="12" style="1009" bestFit="1" customWidth="1"/>
    <col min="1823" max="1824" width="0" style="1009" hidden="1" customWidth="1"/>
    <col min="1825" max="2023" width="11.42578125" style="1009"/>
    <col min="2024" max="2024" width="4.7109375" style="1009" customWidth="1"/>
    <col min="2025" max="2025" width="6" style="1009" customWidth="1"/>
    <col min="2026" max="2026" width="13.42578125" style="1009" customWidth="1"/>
    <col min="2027" max="2027" width="42" style="1009" customWidth="1"/>
    <col min="2028" max="2035" width="0" style="1009" hidden="1" customWidth="1"/>
    <col min="2036" max="2036" width="17.140625" style="1009" customWidth="1"/>
    <col min="2037" max="2037" width="11.5703125" style="1009" bestFit="1" customWidth="1"/>
    <col min="2038" max="2041" width="0" style="1009" hidden="1" customWidth="1"/>
    <col min="2042" max="2042" width="8.7109375" style="1009" customWidth="1"/>
    <col min="2043" max="2043" width="5.7109375" style="1009" customWidth="1"/>
    <col min="2044" max="2044" width="0" style="1009" hidden="1" customWidth="1"/>
    <col min="2045" max="2045" width="16.28515625" style="1009" bestFit="1" customWidth="1"/>
    <col min="2046" max="2047" width="0" style="1009" hidden="1" customWidth="1"/>
    <col min="2048" max="2048" width="12.7109375" style="1009" customWidth="1"/>
    <col min="2049" max="2050" width="0" style="1009" hidden="1" customWidth="1"/>
    <col min="2051" max="2051" width="11.42578125" style="1009"/>
    <col min="2052" max="2053" width="0" style="1009" hidden="1" customWidth="1"/>
    <col min="2054" max="2054" width="14.28515625" style="1009" customWidth="1"/>
    <col min="2055" max="2056" width="0" style="1009" hidden="1" customWidth="1"/>
    <col min="2057" max="2057" width="12" style="1009" bestFit="1" customWidth="1"/>
    <col min="2058" max="2059" width="0" style="1009" hidden="1" customWidth="1"/>
    <col min="2060" max="2060" width="13" style="1009" customWidth="1"/>
    <col min="2061" max="2062" width="0" style="1009" hidden="1" customWidth="1"/>
    <col min="2063" max="2063" width="12" style="1009" bestFit="1" customWidth="1"/>
    <col min="2064" max="2065" width="0" style="1009" hidden="1" customWidth="1"/>
    <col min="2066" max="2066" width="13" style="1009" bestFit="1" customWidth="1"/>
    <col min="2067" max="2068" width="0" style="1009" hidden="1" customWidth="1"/>
    <col min="2069" max="2069" width="10.42578125" style="1009" customWidth="1"/>
    <col min="2070" max="2071" width="0" style="1009" hidden="1" customWidth="1"/>
    <col min="2072" max="2072" width="12" style="1009" bestFit="1" customWidth="1"/>
    <col min="2073" max="2074" width="0" style="1009" hidden="1" customWidth="1"/>
    <col min="2075" max="2075" width="10.85546875" style="1009" bestFit="1" customWidth="1"/>
    <col min="2076" max="2077" width="0" style="1009" hidden="1" customWidth="1"/>
    <col min="2078" max="2078" width="12" style="1009" bestFit="1" customWidth="1"/>
    <col min="2079" max="2080" width="0" style="1009" hidden="1" customWidth="1"/>
    <col min="2081" max="2279" width="11.42578125" style="1009"/>
    <col min="2280" max="2280" width="4.7109375" style="1009" customWidth="1"/>
    <col min="2281" max="2281" width="6" style="1009" customWidth="1"/>
    <col min="2282" max="2282" width="13.42578125" style="1009" customWidth="1"/>
    <col min="2283" max="2283" width="42" style="1009" customWidth="1"/>
    <col min="2284" max="2291" width="0" style="1009" hidden="1" customWidth="1"/>
    <col min="2292" max="2292" width="17.140625" style="1009" customWidth="1"/>
    <col min="2293" max="2293" width="11.5703125" style="1009" bestFit="1" customWidth="1"/>
    <col min="2294" max="2297" width="0" style="1009" hidden="1" customWidth="1"/>
    <col min="2298" max="2298" width="8.7109375" style="1009" customWidth="1"/>
    <col min="2299" max="2299" width="5.7109375" style="1009" customWidth="1"/>
    <col min="2300" max="2300" width="0" style="1009" hidden="1" customWidth="1"/>
    <col min="2301" max="2301" width="16.28515625" style="1009" bestFit="1" customWidth="1"/>
    <col min="2302" max="2303" width="0" style="1009" hidden="1" customWidth="1"/>
    <col min="2304" max="2304" width="12.7109375" style="1009" customWidth="1"/>
    <col min="2305" max="2306" width="0" style="1009" hidden="1" customWidth="1"/>
    <col min="2307" max="2307" width="11.42578125" style="1009"/>
    <col min="2308" max="2309" width="0" style="1009" hidden="1" customWidth="1"/>
    <col min="2310" max="2310" width="14.28515625" style="1009" customWidth="1"/>
    <col min="2311" max="2312" width="0" style="1009" hidden="1" customWidth="1"/>
    <col min="2313" max="2313" width="12" style="1009" bestFit="1" customWidth="1"/>
    <col min="2314" max="2315" width="0" style="1009" hidden="1" customWidth="1"/>
    <col min="2316" max="2316" width="13" style="1009" customWidth="1"/>
    <col min="2317" max="2318" width="0" style="1009" hidden="1" customWidth="1"/>
    <col min="2319" max="2319" width="12" style="1009" bestFit="1" customWidth="1"/>
    <col min="2320" max="2321" width="0" style="1009" hidden="1" customWidth="1"/>
    <col min="2322" max="2322" width="13" style="1009" bestFit="1" customWidth="1"/>
    <col min="2323" max="2324" width="0" style="1009" hidden="1" customWidth="1"/>
    <col min="2325" max="2325" width="10.42578125" style="1009" customWidth="1"/>
    <col min="2326" max="2327" width="0" style="1009" hidden="1" customWidth="1"/>
    <col min="2328" max="2328" width="12" style="1009" bestFit="1" customWidth="1"/>
    <col min="2329" max="2330" width="0" style="1009" hidden="1" customWidth="1"/>
    <col min="2331" max="2331" width="10.85546875" style="1009" bestFit="1" customWidth="1"/>
    <col min="2332" max="2333" width="0" style="1009" hidden="1" customWidth="1"/>
    <col min="2334" max="2334" width="12" style="1009" bestFit="1" customWidth="1"/>
    <col min="2335" max="2336" width="0" style="1009" hidden="1" customWidth="1"/>
    <col min="2337" max="2535" width="11.42578125" style="1009"/>
    <col min="2536" max="2536" width="4.7109375" style="1009" customWidth="1"/>
    <col min="2537" max="2537" width="6" style="1009" customWidth="1"/>
    <col min="2538" max="2538" width="13.42578125" style="1009" customWidth="1"/>
    <col min="2539" max="2539" width="42" style="1009" customWidth="1"/>
    <col min="2540" max="2547" width="0" style="1009" hidden="1" customWidth="1"/>
    <col min="2548" max="2548" width="17.140625" style="1009" customWidth="1"/>
    <col min="2549" max="2549" width="11.5703125" style="1009" bestFit="1" customWidth="1"/>
    <col min="2550" max="2553" width="0" style="1009" hidden="1" customWidth="1"/>
    <col min="2554" max="2554" width="8.7109375" style="1009" customWidth="1"/>
    <col min="2555" max="2555" width="5.7109375" style="1009" customWidth="1"/>
    <col min="2556" max="2556" width="0" style="1009" hidden="1" customWidth="1"/>
    <col min="2557" max="2557" width="16.28515625" style="1009" bestFit="1" customWidth="1"/>
    <col min="2558" max="2559" width="0" style="1009" hidden="1" customWidth="1"/>
    <col min="2560" max="2560" width="12.7109375" style="1009" customWidth="1"/>
    <col min="2561" max="2562" width="0" style="1009" hidden="1" customWidth="1"/>
    <col min="2563" max="2563" width="11.42578125" style="1009"/>
    <col min="2564" max="2565" width="0" style="1009" hidden="1" customWidth="1"/>
    <col min="2566" max="2566" width="14.28515625" style="1009" customWidth="1"/>
    <col min="2567" max="2568" width="0" style="1009" hidden="1" customWidth="1"/>
    <col min="2569" max="2569" width="12" style="1009" bestFit="1" customWidth="1"/>
    <col min="2570" max="2571" width="0" style="1009" hidden="1" customWidth="1"/>
    <col min="2572" max="2572" width="13" style="1009" customWidth="1"/>
    <col min="2573" max="2574" width="0" style="1009" hidden="1" customWidth="1"/>
    <col min="2575" max="2575" width="12" style="1009" bestFit="1" customWidth="1"/>
    <col min="2576" max="2577" width="0" style="1009" hidden="1" customWidth="1"/>
    <col min="2578" max="2578" width="13" style="1009" bestFit="1" customWidth="1"/>
    <col min="2579" max="2580" width="0" style="1009" hidden="1" customWidth="1"/>
    <col min="2581" max="2581" width="10.42578125" style="1009" customWidth="1"/>
    <col min="2582" max="2583" width="0" style="1009" hidden="1" customWidth="1"/>
    <col min="2584" max="2584" width="12" style="1009" bestFit="1" customWidth="1"/>
    <col min="2585" max="2586" width="0" style="1009" hidden="1" customWidth="1"/>
    <col min="2587" max="2587" width="10.85546875" style="1009" bestFit="1" customWidth="1"/>
    <col min="2588" max="2589" width="0" style="1009" hidden="1" customWidth="1"/>
    <col min="2590" max="2590" width="12" style="1009" bestFit="1" customWidth="1"/>
    <col min="2591" max="2592" width="0" style="1009" hidden="1" customWidth="1"/>
    <col min="2593" max="2791" width="11.42578125" style="1009"/>
    <col min="2792" max="2792" width="4.7109375" style="1009" customWidth="1"/>
    <col min="2793" max="2793" width="6" style="1009" customWidth="1"/>
    <col min="2794" max="2794" width="13.42578125" style="1009" customWidth="1"/>
    <col min="2795" max="2795" width="42" style="1009" customWidth="1"/>
    <col min="2796" max="2803" width="0" style="1009" hidden="1" customWidth="1"/>
    <col min="2804" max="2804" width="17.140625" style="1009" customWidth="1"/>
    <col min="2805" max="2805" width="11.5703125" style="1009" bestFit="1" customWidth="1"/>
    <col min="2806" max="2809" width="0" style="1009" hidden="1" customWidth="1"/>
    <col min="2810" max="2810" width="8.7109375" style="1009" customWidth="1"/>
    <col min="2811" max="2811" width="5.7109375" style="1009" customWidth="1"/>
    <col min="2812" max="2812" width="0" style="1009" hidden="1" customWidth="1"/>
    <col min="2813" max="2813" width="16.28515625" style="1009" bestFit="1" customWidth="1"/>
    <col min="2814" max="2815" width="0" style="1009" hidden="1" customWidth="1"/>
    <col min="2816" max="2816" width="12.7109375" style="1009" customWidth="1"/>
    <col min="2817" max="2818" width="0" style="1009" hidden="1" customWidth="1"/>
    <col min="2819" max="2819" width="11.42578125" style="1009"/>
    <col min="2820" max="2821" width="0" style="1009" hidden="1" customWidth="1"/>
    <col min="2822" max="2822" width="14.28515625" style="1009" customWidth="1"/>
    <col min="2823" max="2824" width="0" style="1009" hidden="1" customWidth="1"/>
    <col min="2825" max="2825" width="12" style="1009" bestFit="1" customWidth="1"/>
    <col min="2826" max="2827" width="0" style="1009" hidden="1" customWidth="1"/>
    <col min="2828" max="2828" width="13" style="1009" customWidth="1"/>
    <col min="2829" max="2830" width="0" style="1009" hidden="1" customWidth="1"/>
    <col min="2831" max="2831" width="12" style="1009" bestFit="1" customWidth="1"/>
    <col min="2832" max="2833" width="0" style="1009" hidden="1" customWidth="1"/>
    <col min="2834" max="2834" width="13" style="1009" bestFit="1" customWidth="1"/>
    <col min="2835" max="2836" width="0" style="1009" hidden="1" customWidth="1"/>
    <col min="2837" max="2837" width="10.42578125" style="1009" customWidth="1"/>
    <col min="2838" max="2839" width="0" style="1009" hidden="1" customWidth="1"/>
    <col min="2840" max="2840" width="12" style="1009" bestFit="1" customWidth="1"/>
    <col min="2841" max="2842" width="0" style="1009" hidden="1" customWidth="1"/>
    <col min="2843" max="2843" width="10.85546875" style="1009" bestFit="1" customWidth="1"/>
    <col min="2844" max="2845" width="0" style="1009" hidden="1" customWidth="1"/>
    <col min="2846" max="2846" width="12" style="1009" bestFit="1" customWidth="1"/>
    <col min="2847" max="2848" width="0" style="1009" hidden="1" customWidth="1"/>
    <col min="2849" max="3047" width="11.42578125" style="1009"/>
    <col min="3048" max="3048" width="4.7109375" style="1009" customWidth="1"/>
    <col min="3049" max="3049" width="6" style="1009" customWidth="1"/>
    <col min="3050" max="3050" width="13.42578125" style="1009" customWidth="1"/>
    <col min="3051" max="3051" width="42" style="1009" customWidth="1"/>
    <col min="3052" max="3059" width="0" style="1009" hidden="1" customWidth="1"/>
    <col min="3060" max="3060" width="17.140625" style="1009" customWidth="1"/>
    <col min="3061" max="3061" width="11.5703125" style="1009" bestFit="1" customWidth="1"/>
    <col min="3062" max="3065" width="0" style="1009" hidden="1" customWidth="1"/>
    <col min="3066" max="3066" width="8.7109375" style="1009" customWidth="1"/>
    <col min="3067" max="3067" width="5.7109375" style="1009" customWidth="1"/>
    <col min="3068" max="3068" width="0" style="1009" hidden="1" customWidth="1"/>
    <col min="3069" max="3069" width="16.28515625" style="1009" bestFit="1" customWidth="1"/>
    <col min="3070" max="3071" width="0" style="1009" hidden="1" customWidth="1"/>
    <col min="3072" max="3072" width="12.7109375" style="1009" customWidth="1"/>
    <col min="3073" max="3074" width="0" style="1009" hidden="1" customWidth="1"/>
    <col min="3075" max="3075" width="11.42578125" style="1009"/>
    <col min="3076" max="3077" width="0" style="1009" hidden="1" customWidth="1"/>
    <col min="3078" max="3078" width="14.28515625" style="1009" customWidth="1"/>
    <col min="3079" max="3080" width="0" style="1009" hidden="1" customWidth="1"/>
    <col min="3081" max="3081" width="12" style="1009" bestFit="1" customWidth="1"/>
    <col min="3082" max="3083" width="0" style="1009" hidden="1" customWidth="1"/>
    <col min="3084" max="3084" width="13" style="1009" customWidth="1"/>
    <col min="3085" max="3086" width="0" style="1009" hidden="1" customWidth="1"/>
    <col min="3087" max="3087" width="12" style="1009" bestFit="1" customWidth="1"/>
    <col min="3088" max="3089" width="0" style="1009" hidden="1" customWidth="1"/>
    <col min="3090" max="3090" width="13" style="1009" bestFit="1" customWidth="1"/>
    <col min="3091" max="3092" width="0" style="1009" hidden="1" customWidth="1"/>
    <col min="3093" max="3093" width="10.42578125" style="1009" customWidth="1"/>
    <col min="3094" max="3095" width="0" style="1009" hidden="1" customWidth="1"/>
    <col min="3096" max="3096" width="12" style="1009" bestFit="1" customWidth="1"/>
    <col min="3097" max="3098" width="0" style="1009" hidden="1" customWidth="1"/>
    <col min="3099" max="3099" width="10.85546875" style="1009" bestFit="1" customWidth="1"/>
    <col min="3100" max="3101" width="0" style="1009" hidden="1" customWidth="1"/>
    <col min="3102" max="3102" width="12" style="1009" bestFit="1" customWidth="1"/>
    <col min="3103" max="3104" width="0" style="1009" hidden="1" customWidth="1"/>
    <col min="3105" max="3303" width="11.42578125" style="1009"/>
    <col min="3304" max="3304" width="4.7109375" style="1009" customWidth="1"/>
    <col min="3305" max="3305" width="6" style="1009" customWidth="1"/>
    <col min="3306" max="3306" width="13.42578125" style="1009" customWidth="1"/>
    <col min="3307" max="3307" width="42" style="1009" customWidth="1"/>
    <col min="3308" max="3315" width="0" style="1009" hidden="1" customWidth="1"/>
    <col min="3316" max="3316" width="17.140625" style="1009" customWidth="1"/>
    <col min="3317" max="3317" width="11.5703125" style="1009" bestFit="1" customWidth="1"/>
    <col min="3318" max="3321" width="0" style="1009" hidden="1" customWidth="1"/>
    <col min="3322" max="3322" width="8.7109375" style="1009" customWidth="1"/>
    <col min="3323" max="3323" width="5.7109375" style="1009" customWidth="1"/>
    <col min="3324" max="3324" width="0" style="1009" hidden="1" customWidth="1"/>
    <col min="3325" max="3325" width="16.28515625" style="1009" bestFit="1" customWidth="1"/>
    <col min="3326" max="3327" width="0" style="1009" hidden="1" customWidth="1"/>
    <col min="3328" max="3328" width="12.7109375" style="1009" customWidth="1"/>
    <col min="3329" max="3330" width="0" style="1009" hidden="1" customWidth="1"/>
    <col min="3331" max="3331" width="11.42578125" style="1009"/>
    <col min="3332" max="3333" width="0" style="1009" hidden="1" customWidth="1"/>
    <col min="3334" max="3334" width="14.28515625" style="1009" customWidth="1"/>
    <col min="3335" max="3336" width="0" style="1009" hidden="1" customWidth="1"/>
    <col min="3337" max="3337" width="12" style="1009" bestFit="1" customWidth="1"/>
    <col min="3338" max="3339" width="0" style="1009" hidden="1" customWidth="1"/>
    <col min="3340" max="3340" width="13" style="1009" customWidth="1"/>
    <col min="3341" max="3342" width="0" style="1009" hidden="1" customWidth="1"/>
    <col min="3343" max="3343" width="12" style="1009" bestFit="1" customWidth="1"/>
    <col min="3344" max="3345" width="0" style="1009" hidden="1" customWidth="1"/>
    <col min="3346" max="3346" width="13" style="1009" bestFit="1" customWidth="1"/>
    <col min="3347" max="3348" width="0" style="1009" hidden="1" customWidth="1"/>
    <col min="3349" max="3349" width="10.42578125" style="1009" customWidth="1"/>
    <col min="3350" max="3351" width="0" style="1009" hidden="1" customWidth="1"/>
    <col min="3352" max="3352" width="12" style="1009" bestFit="1" customWidth="1"/>
    <col min="3353" max="3354" width="0" style="1009" hidden="1" customWidth="1"/>
    <col min="3355" max="3355" width="10.85546875" style="1009" bestFit="1" customWidth="1"/>
    <col min="3356" max="3357" width="0" style="1009" hidden="1" customWidth="1"/>
    <col min="3358" max="3358" width="12" style="1009" bestFit="1" customWidth="1"/>
    <col min="3359" max="3360" width="0" style="1009" hidden="1" customWidth="1"/>
    <col min="3361" max="3559" width="11.42578125" style="1009"/>
    <col min="3560" max="3560" width="4.7109375" style="1009" customWidth="1"/>
    <col min="3561" max="3561" width="6" style="1009" customWidth="1"/>
    <col min="3562" max="3562" width="13.42578125" style="1009" customWidth="1"/>
    <col min="3563" max="3563" width="42" style="1009" customWidth="1"/>
    <col min="3564" max="3571" width="0" style="1009" hidden="1" customWidth="1"/>
    <col min="3572" max="3572" width="17.140625" style="1009" customWidth="1"/>
    <col min="3573" max="3573" width="11.5703125" style="1009" bestFit="1" customWidth="1"/>
    <col min="3574" max="3577" width="0" style="1009" hidden="1" customWidth="1"/>
    <col min="3578" max="3578" width="8.7109375" style="1009" customWidth="1"/>
    <col min="3579" max="3579" width="5.7109375" style="1009" customWidth="1"/>
    <col min="3580" max="3580" width="0" style="1009" hidden="1" customWidth="1"/>
    <col min="3581" max="3581" width="16.28515625" style="1009" bestFit="1" customWidth="1"/>
    <col min="3582" max="3583" width="0" style="1009" hidden="1" customWidth="1"/>
    <col min="3584" max="3584" width="12.7109375" style="1009" customWidth="1"/>
    <col min="3585" max="3586" width="0" style="1009" hidden="1" customWidth="1"/>
    <col min="3587" max="3587" width="11.42578125" style="1009"/>
    <col min="3588" max="3589" width="0" style="1009" hidden="1" customWidth="1"/>
    <col min="3590" max="3590" width="14.28515625" style="1009" customWidth="1"/>
    <col min="3591" max="3592" width="0" style="1009" hidden="1" customWidth="1"/>
    <col min="3593" max="3593" width="12" style="1009" bestFit="1" customWidth="1"/>
    <col min="3594" max="3595" width="0" style="1009" hidden="1" customWidth="1"/>
    <col min="3596" max="3596" width="13" style="1009" customWidth="1"/>
    <col min="3597" max="3598" width="0" style="1009" hidden="1" customWidth="1"/>
    <col min="3599" max="3599" width="12" style="1009" bestFit="1" customWidth="1"/>
    <col min="3600" max="3601" width="0" style="1009" hidden="1" customWidth="1"/>
    <col min="3602" max="3602" width="13" style="1009" bestFit="1" customWidth="1"/>
    <col min="3603" max="3604" width="0" style="1009" hidden="1" customWidth="1"/>
    <col min="3605" max="3605" width="10.42578125" style="1009" customWidth="1"/>
    <col min="3606" max="3607" width="0" style="1009" hidden="1" customWidth="1"/>
    <col min="3608" max="3608" width="12" style="1009" bestFit="1" customWidth="1"/>
    <col min="3609" max="3610" width="0" style="1009" hidden="1" customWidth="1"/>
    <col min="3611" max="3611" width="10.85546875" style="1009" bestFit="1" customWidth="1"/>
    <col min="3612" max="3613" width="0" style="1009" hidden="1" customWidth="1"/>
    <col min="3614" max="3614" width="12" style="1009" bestFit="1" customWidth="1"/>
    <col min="3615" max="3616" width="0" style="1009" hidden="1" customWidth="1"/>
    <col min="3617" max="3815" width="11.42578125" style="1009"/>
    <col min="3816" max="3816" width="4.7109375" style="1009" customWidth="1"/>
    <col min="3817" max="3817" width="6" style="1009" customWidth="1"/>
    <col min="3818" max="3818" width="13.42578125" style="1009" customWidth="1"/>
    <col min="3819" max="3819" width="42" style="1009" customWidth="1"/>
    <col min="3820" max="3827" width="0" style="1009" hidden="1" customWidth="1"/>
    <col min="3828" max="3828" width="17.140625" style="1009" customWidth="1"/>
    <col min="3829" max="3829" width="11.5703125" style="1009" bestFit="1" customWidth="1"/>
    <col min="3830" max="3833" width="0" style="1009" hidden="1" customWidth="1"/>
    <col min="3834" max="3834" width="8.7109375" style="1009" customWidth="1"/>
    <col min="3835" max="3835" width="5.7109375" style="1009" customWidth="1"/>
    <col min="3836" max="3836" width="0" style="1009" hidden="1" customWidth="1"/>
    <col min="3837" max="3837" width="16.28515625" style="1009" bestFit="1" customWidth="1"/>
    <col min="3838" max="3839" width="0" style="1009" hidden="1" customWidth="1"/>
    <col min="3840" max="3840" width="12.7109375" style="1009" customWidth="1"/>
    <col min="3841" max="3842" width="0" style="1009" hidden="1" customWidth="1"/>
    <col min="3843" max="3843" width="11.42578125" style="1009"/>
    <col min="3844" max="3845" width="0" style="1009" hidden="1" customWidth="1"/>
    <col min="3846" max="3846" width="14.28515625" style="1009" customWidth="1"/>
    <col min="3847" max="3848" width="0" style="1009" hidden="1" customWidth="1"/>
    <col min="3849" max="3849" width="12" style="1009" bestFit="1" customWidth="1"/>
    <col min="3850" max="3851" width="0" style="1009" hidden="1" customWidth="1"/>
    <col min="3852" max="3852" width="13" style="1009" customWidth="1"/>
    <col min="3853" max="3854" width="0" style="1009" hidden="1" customWidth="1"/>
    <col min="3855" max="3855" width="12" style="1009" bestFit="1" customWidth="1"/>
    <col min="3856" max="3857" width="0" style="1009" hidden="1" customWidth="1"/>
    <col min="3858" max="3858" width="13" style="1009" bestFit="1" customWidth="1"/>
    <col min="3859" max="3860" width="0" style="1009" hidden="1" customWidth="1"/>
    <col min="3861" max="3861" width="10.42578125" style="1009" customWidth="1"/>
    <col min="3862" max="3863" width="0" style="1009" hidden="1" customWidth="1"/>
    <col min="3864" max="3864" width="12" style="1009" bestFit="1" customWidth="1"/>
    <col min="3865" max="3866" width="0" style="1009" hidden="1" customWidth="1"/>
    <col min="3867" max="3867" width="10.85546875" style="1009" bestFit="1" customWidth="1"/>
    <col min="3868" max="3869" width="0" style="1009" hidden="1" customWidth="1"/>
    <col min="3870" max="3870" width="12" style="1009" bestFit="1" customWidth="1"/>
    <col min="3871" max="3872" width="0" style="1009" hidden="1" customWidth="1"/>
    <col min="3873" max="4071" width="11.42578125" style="1009"/>
    <col min="4072" max="4072" width="4.7109375" style="1009" customWidth="1"/>
    <col min="4073" max="4073" width="6" style="1009" customWidth="1"/>
    <col min="4074" max="4074" width="13.42578125" style="1009" customWidth="1"/>
    <col min="4075" max="4075" width="42" style="1009" customWidth="1"/>
    <col min="4076" max="4083" width="0" style="1009" hidden="1" customWidth="1"/>
    <col min="4084" max="4084" width="17.140625" style="1009" customWidth="1"/>
    <col min="4085" max="4085" width="11.5703125" style="1009" bestFit="1" customWidth="1"/>
    <col min="4086" max="4089" width="0" style="1009" hidden="1" customWidth="1"/>
    <col min="4090" max="4090" width="8.7109375" style="1009" customWidth="1"/>
    <col min="4091" max="4091" width="5.7109375" style="1009" customWidth="1"/>
    <col min="4092" max="4092" width="0" style="1009" hidden="1" customWidth="1"/>
    <col min="4093" max="4093" width="16.28515625" style="1009" bestFit="1" customWidth="1"/>
    <col min="4094" max="4095" width="0" style="1009" hidden="1" customWidth="1"/>
    <col min="4096" max="4096" width="12.7109375" style="1009" customWidth="1"/>
    <col min="4097" max="4098" width="0" style="1009" hidden="1" customWidth="1"/>
    <col min="4099" max="4099" width="11.42578125" style="1009"/>
    <col min="4100" max="4101" width="0" style="1009" hidden="1" customWidth="1"/>
    <col min="4102" max="4102" width="14.28515625" style="1009" customWidth="1"/>
    <col min="4103" max="4104" width="0" style="1009" hidden="1" customWidth="1"/>
    <col min="4105" max="4105" width="12" style="1009" bestFit="1" customWidth="1"/>
    <col min="4106" max="4107" width="0" style="1009" hidden="1" customWidth="1"/>
    <col min="4108" max="4108" width="13" style="1009" customWidth="1"/>
    <col min="4109" max="4110" width="0" style="1009" hidden="1" customWidth="1"/>
    <col min="4111" max="4111" width="12" style="1009" bestFit="1" customWidth="1"/>
    <col min="4112" max="4113" width="0" style="1009" hidden="1" customWidth="1"/>
    <col min="4114" max="4114" width="13" style="1009" bestFit="1" customWidth="1"/>
    <col min="4115" max="4116" width="0" style="1009" hidden="1" customWidth="1"/>
    <col min="4117" max="4117" width="10.42578125" style="1009" customWidth="1"/>
    <col min="4118" max="4119" width="0" style="1009" hidden="1" customWidth="1"/>
    <col min="4120" max="4120" width="12" style="1009" bestFit="1" customWidth="1"/>
    <col min="4121" max="4122" width="0" style="1009" hidden="1" customWidth="1"/>
    <col min="4123" max="4123" width="10.85546875" style="1009" bestFit="1" customWidth="1"/>
    <col min="4124" max="4125" width="0" style="1009" hidden="1" customWidth="1"/>
    <col min="4126" max="4126" width="12" style="1009" bestFit="1" customWidth="1"/>
    <col min="4127" max="4128" width="0" style="1009" hidden="1" customWidth="1"/>
    <col min="4129" max="4327" width="11.42578125" style="1009"/>
    <col min="4328" max="4328" width="4.7109375" style="1009" customWidth="1"/>
    <col min="4329" max="4329" width="6" style="1009" customWidth="1"/>
    <col min="4330" max="4330" width="13.42578125" style="1009" customWidth="1"/>
    <col min="4331" max="4331" width="42" style="1009" customWidth="1"/>
    <col min="4332" max="4339" width="0" style="1009" hidden="1" customWidth="1"/>
    <col min="4340" max="4340" width="17.140625" style="1009" customWidth="1"/>
    <col min="4341" max="4341" width="11.5703125" style="1009" bestFit="1" customWidth="1"/>
    <col min="4342" max="4345" width="0" style="1009" hidden="1" customWidth="1"/>
    <col min="4346" max="4346" width="8.7109375" style="1009" customWidth="1"/>
    <col min="4347" max="4347" width="5.7109375" style="1009" customWidth="1"/>
    <col min="4348" max="4348" width="0" style="1009" hidden="1" customWidth="1"/>
    <col min="4349" max="4349" width="16.28515625" style="1009" bestFit="1" customWidth="1"/>
    <col min="4350" max="4351" width="0" style="1009" hidden="1" customWidth="1"/>
    <col min="4352" max="4352" width="12.7109375" style="1009" customWidth="1"/>
    <col min="4353" max="4354" width="0" style="1009" hidden="1" customWidth="1"/>
    <col min="4355" max="4355" width="11.42578125" style="1009"/>
    <col min="4356" max="4357" width="0" style="1009" hidden="1" customWidth="1"/>
    <col min="4358" max="4358" width="14.28515625" style="1009" customWidth="1"/>
    <col min="4359" max="4360" width="0" style="1009" hidden="1" customWidth="1"/>
    <col min="4361" max="4361" width="12" style="1009" bestFit="1" customWidth="1"/>
    <col min="4362" max="4363" width="0" style="1009" hidden="1" customWidth="1"/>
    <col min="4364" max="4364" width="13" style="1009" customWidth="1"/>
    <col min="4365" max="4366" width="0" style="1009" hidden="1" customWidth="1"/>
    <col min="4367" max="4367" width="12" style="1009" bestFit="1" customWidth="1"/>
    <col min="4368" max="4369" width="0" style="1009" hidden="1" customWidth="1"/>
    <col min="4370" max="4370" width="13" style="1009" bestFit="1" customWidth="1"/>
    <col min="4371" max="4372" width="0" style="1009" hidden="1" customWidth="1"/>
    <col min="4373" max="4373" width="10.42578125" style="1009" customWidth="1"/>
    <col min="4374" max="4375" width="0" style="1009" hidden="1" customWidth="1"/>
    <col min="4376" max="4376" width="12" style="1009" bestFit="1" customWidth="1"/>
    <col min="4377" max="4378" width="0" style="1009" hidden="1" customWidth="1"/>
    <col min="4379" max="4379" width="10.85546875" style="1009" bestFit="1" customWidth="1"/>
    <col min="4380" max="4381" width="0" style="1009" hidden="1" customWidth="1"/>
    <col min="4382" max="4382" width="12" style="1009" bestFit="1" customWidth="1"/>
    <col min="4383" max="4384" width="0" style="1009" hidden="1" customWidth="1"/>
    <col min="4385" max="4583" width="11.42578125" style="1009"/>
    <col min="4584" max="4584" width="4.7109375" style="1009" customWidth="1"/>
    <col min="4585" max="4585" width="6" style="1009" customWidth="1"/>
    <col min="4586" max="4586" width="13.42578125" style="1009" customWidth="1"/>
    <col min="4587" max="4587" width="42" style="1009" customWidth="1"/>
    <col min="4588" max="4595" width="0" style="1009" hidden="1" customWidth="1"/>
    <col min="4596" max="4596" width="17.140625" style="1009" customWidth="1"/>
    <col min="4597" max="4597" width="11.5703125" style="1009" bestFit="1" customWidth="1"/>
    <col min="4598" max="4601" width="0" style="1009" hidden="1" customWidth="1"/>
    <col min="4602" max="4602" width="8.7109375" style="1009" customWidth="1"/>
    <col min="4603" max="4603" width="5.7109375" style="1009" customWidth="1"/>
    <col min="4604" max="4604" width="0" style="1009" hidden="1" customWidth="1"/>
    <col min="4605" max="4605" width="16.28515625" style="1009" bestFit="1" customWidth="1"/>
    <col min="4606" max="4607" width="0" style="1009" hidden="1" customWidth="1"/>
    <col min="4608" max="4608" width="12.7109375" style="1009" customWidth="1"/>
    <col min="4609" max="4610" width="0" style="1009" hidden="1" customWidth="1"/>
    <col min="4611" max="4611" width="11.42578125" style="1009"/>
    <col min="4612" max="4613" width="0" style="1009" hidden="1" customWidth="1"/>
    <col min="4614" max="4614" width="14.28515625" style="1009" customWidth="1"/>
    <col min="4615" max="4616" width="0" style="1009" hidden="1" customWidth="1"/>
    <col min="4617" max="4617" width="12" style="1009" bestFit="1" customWidth="1"/>
    <col min="4618" max="4619" width="0" style="1009" hidden="1" customWidth="1"/>
    <col min="4620" max="4620" width="13" style="1009" customWidth="1"/>
    <col min="4621" max="4622" width="0" style="1009" hidden="1" customWidth="1"/>
    <col min="4623" max="4623" width="12" style="1009" bestFit="1" customWidth="1"/>
    <col min="4624" max="4625" width="0" style="1009" hidden="1" customWidth="1"/>
    <col min="4626" max="4626" width="13" style="1009" bestFit="1" customWidth="1"/>
    <col min="4627" max="4628" width="0" style="1009" hidden="1" customWidth="1"/>
    <col min="4629" max="4629" width="10.42578125" style="1009" customWidth="1"/>
    <col min="4630" max="4631" width="0" style="1009" hidden="1" customWidth="1"/>
    <col min="4632" max="4632" width="12" style="1009" bestFit="1" customWidth="1"/>
    <col min="4633" max="4634" width="0" style="1009" hidden="1" customWidth="1"/>
    <col min="4635" max="4635" width="10.85546875" style="1009" bestFit="1" customWidth="1"/>
    <col min="4636" max="4637" width="0" style="1009" hidden="1" customWidth="1"/>
    <col min="4638" max="4638" width="12" style="1009" bestFit="1" customWidth="1"/>
    <col min="4639" max="4640" width="0" style="1009" hidden="1" customWidth="1"/>
    <col min="4641" max="4839" width="11.42578125" style="1009"/>
    <col min="4840" max="4840" width="4.7109375" style="1009" customWidth="1"/>
    <col min="4841" max="4841" width="6" style="1009" customWidth="1"/>
    <col min="4842" max="4842" width="13.42578125" style="1009" customWidth="1"/>
    <col min="4843" max="4843" width="42" style="1009" customWidth="1"/>
    <col min="4844" max="4851" width="0" style="1009" hidden="1" customWidth="1"/>
    <col min="4852" max="4852" width="17.140625" style="1009" customWidth="1"/>
    <col min="4853" max="4853" width="11.5703125" style="1009" bestFit="1" customWidth="1"/>
    <col min="4854" max="4857" width="0" style="1009" hidden="1" customWidth="1"/>
    <col min="4858" max="4858" width="8.7109375" style="1009" customWidth="1"/>
    <col min="4859" max="4859" width="5.7109375" style="1009" customWidth="1"/>
    <col min="4860" max="4860" width="0" style="1009" hidden="1" customWidth="1"/>
    <col min="4861" max="4861" width="16.28515625" style="1009" bestFit="1" customWidth="1"/>
    <col min="4862" max="4863" width="0" style="1009" hidden="1" customWidth="1"/>
    <col min="4864" max="4864" width="12.7109375" style="1009" customWidth="1"/>
    <col min="4865" max="4866" width="0" style="1009" hidden="1" customWidth="1"/>
    <col min="4867" max="4867" width="11.42578125" style="1009"/>
    <col min="4868" max="4869" width="0" style="1009" hidden="1" customWidth="1"/>
    <col min="4870" max="4870" width="14.28515625" style="1009" customWidth="1"/>
    <col min="4871" max="4872" width="0" style="1009" hidden="1" customWidth="1"/>
    <col min="4873" max="4873" width="12" style="1009" bestFit="1" customWidth="1"/>
    <col min="4874" max="4875" width="0" style="1009" hidden="1" customWidth="1"/>
    <col min="4876" max="4876" width="13" style="1009" customWidth="1"/>
    <col min="4877" max="4878" width="0" style="1009" hidden="1" customWidth="1"/>
    <col min="4879" max="4879" width="12" style="1009" bestFit="1" customWidth="1"/>
    <col min="4880" max="4881" width="0" style="1009" hidden="1" customWidth="1"/>
    <col min="4882" max="4882" width="13" style="1009" bestFit="1" customWidth="1"/>
    <col min="4883" max="4884" width="0" style="1009" hidden="1" customWidth="1"/>
    <col min="4885" max="4885" width="10.42578125" style="1009" customWidth="1"/>
    <col min="4886" max="4887" width="0" style="1009" hidden="1" customWidth="1"/>
    <col min="4888" max="4888" width="12" style="1009" bestFit="1" customWidth="1"/>
    <col min="4889" max="4890" width="0" style="1009" hidden="1" customWidth="1"/>
    <col min="4891" max="4891" width="10.85546875" style="1009" bestFit="1" customWidth="1"/>
    <col min="4892" max="4893" width="0" style="1009" hidden="1" customWidth="1"/>
    <col min="4894" max="4894" width="12" style="1009" bestFit="1" customWidth="1"/>
    <col min="4895" max="4896" width="0" style="1009" hidden="1" customWidth="1"/>
    <col min="4897" max="5095" width="11.42578125" style="1009"/>
    <col min="5096" max="5096" width="4.7109375" style="1009" customWidth="1"/>
    <col min="5097" max="5097" width="6" style="1009" customWidth="1"/>
    <col min="5098" max="5098" width="13.42578125" style="1009" customWidth="1"/>
    <col min="5099" max="5099" width="42" style="1009" customWidth="1"/>
    <col min="5100" max="5107" width="0" style="1009" hidden="1" customWidth="1"/>
    <col min="5108" max="5108" width="17.140625" style="1009" customWidth="1"/>
    <col min="5109" max="5109" width="11.5703125" style="1009" bestFit="1" customWidth="1"/>
    <col min="5110" max="5113" width="0" style="1009" hidden="1" customWidth="1"/>
    <col min="5114" max="5114" width="8.7109375" style="1009" customWidth="1"/>
    <col min="5115" max="5115" width="5.7109375" style="1009" customWidth="1"/>
    <col min="5116" max="5116" width="0" style="1009" hidden="1" customWidth="1"/>
    <col min="5117" max="5117" width="16.28515625" style="1009" bestFit="1" customWidth="1"/>
    <col min="5118" max="5119" width="0" style="1009" hidden="1" customWidth="1"/>
    <col min="5120" max="5120" width="12.7109375" style="1009" customWidth="1"/>
    <col min="5121" max="5122" width="0" style="1009" hidden="1" customWidth="1"/>
    <col min="5123" max="5123" width="11.42578125" style="1009"/>
    <col min="5124" max="5125" width="0" style="1009" hidden="1" customWidth="1"/>
    <col min="5126" max="5126" width="14.28515625" style="1009" customWidth="1"/>
    <col min="5127" max="5128" width="0" style="1009" hidden="1" customWidth="1"/>
    <col min="5129" max="5129" width="12" style="1009" bestFit="1" customWidth="1"/>
    <col min="5130" max="5131" width="0" style="1009" hidden="1" customWidth="1"/>
    <col min="5132" max="5132" width="13" style="1009" customWidth="1"/>
    <col min="5133" max="5134" width="0" style="1009" hidden="1" customWidth="1"/>
    <col min="5135" max="5135" width="12" style="1009" bestFit="1" customWidth="1"/>
    <col min="5136" max="5137" width="0" style="1009" hidden="1" customWidth="1"/>
    <col min="5138" max="5138" width="13" style="1009" bestFit="1" customWidth="1"/>
    <col min="5139" max="5140" width="0" style="1009" hidden="1" customWidth="1"/>
    <col min="5141" max="5141" width="10.42578125" style="1009" customWidth="1"/>
    <col min="5142" max="5143" width="0" style="1009" hidden="1" customWidth="1"/>
    <col min="5144" max="5144" width="12" style="1009" bestFit="1" customWidth="1"/>
    <col min="5145" max="5146" width="0" style="1009" hidden="1" customWidth="1"/>
    <col min="5147" max="5147" width="10.85546875" style="1009" bestFit="1" customWidth="1"/>
    <col min="5148" max="5149" width="0" style="1009" hidden="1" customWidth="1"/>
    <col min="5150" max="5150" width="12" style="1009" bestFit="1" customWidth="1"/>
    <col min="5151" max="5152" width="0" style="1009" hidden="1" customWidth="1"/>
    <col min="5153" max="5351" width="11.42578125" style="1009"/>
    <col min="5352" max="5352" width="4.7109375" style="1009" customWidth="1"/>
    <col min="5353" max="5353" width="6" style="1009" customWidth="1"/>
    <col min="5354" max="5354" width="13.42578125" style="1009" customWidth="1"/>
    <col min="5355" max="5355" width="42" style="1009" customWidth="1"/>
    <col min="5356" max="5363" width="0" style="1009" hidden="1" customWidth="1"/>
    <col min="5364" max="5364" width="17.140625" style="1009" customWidth="1"/>
    <col min="5365" max="5365" width="11.5703125" style="1009" bestFit="1" customWidth="1"/>
    <col min="5366" max="5369" width="0" style="1009" hidden="1" customWidth="1"/>
    <col min="5370" max="5370" width="8.7109375" style="1009" customWidth="1"/>
    <col min="5371" max="5371" width="5.7109375" style="1009" customWidth="1"/>
    <col min="5372" max="5372" width="0" style="1009" hidden="1" customWidth="1"/>
    <col min="5373" max="5373" width="16.28515625" style="1009" bestFit="1" customWidth="1"/>
    <col min="5374" max="5375" width="0" style="1009" hidden="1" customWidth="1"/>
    <col min="5376" max="5376" width="12.7109375" style="1009" customWidth="1"/>
    <col min="5377" max="5378" width="0" style="1009" hidden="1" customWidth="1"/>
    <col min="5379" max="5379" width="11.42578125" style="1009"/>
    <col min="5380" max="5381" width="0" style="1009" hidden="1" customWidth="1"/>
    <col min="5382" max="5382" width="14.28515625" style="1009" customWidth="1"/>
    <col min="5383" max="5384" width="0" style="1009" hidden="1" customWidth="1"/>
    <col min="5385" max="5385" width="12" style="1009" bestFit="1" customWidth="1"/>
    <col min="5386" max="5387" width="0" style="1009" hidden="1" customWidth="1"/>
    <col min="5388" max="5388" width="13" style="1009" customWidth="1"/>
    <col min="5389" max="5390" width="0" style="1009" hidden="1" customWidth="1"/>
    <col min="5391" max="5391" width="12" style="1009" bestFit="1" customWidth="1"/>
    <col min="5392" max="5393" width="0" style="1009" hidden="1" customWidth="1"/>
    <col min="5394" max="5394" width="13" style="1009" bestFit="1" customWidth="1"/>
    <col min="5395" max="5396" width="0" style="1009" hidden="1" customWidth="1"/>
    <col min="5397" max="5397" width="10.42578125" style="1009" customWidth="1"/>
    <col min="5398" max="5399" width="0" style="1009" hidden="1" customWidth="1"/>
    <col min="5400" max="5400" width="12" style="1009" bestFit="1" customWidth="1"/>
    <col min="5401" max="5402" width="0" style="1009" hidden="1" customWidth="1"/>
    <col min="5403" max="5403" width="10.85546875" style="1009" bestFit="1" customWidth="1"/>
    <col min="5404" max="5405" width="0" style="1009" hidden="1" customWidth="1"/>
    <col min="5406" max="5406" width="12" style="1009" bestFit="1" customWidth="1"/>
    <col min="5407" max="5408" width="0" style="1009" hidden="1" customWidth="1"/>
    <col min="5409" max="5607" width="11.42578125" style="1009"/>
    <col min="5608" max="5608" width="4.7109375" style="1009" customWidth="1"/>
    <col min="5609" max="5609" width="6" style="1009" customWidth="1"/>
    <col min="5610" max="5610" width="13.42578125" style="1009" customWidth="1"/>
    <col min="5611" max="5611" width="42" style="1009" customWidth="1"/>
    <col min="5612" max="5619" width="0" style="1009" hidden="1" customWidth="1"/>
    <col min="5620" max="5620" width="17.140625" style="1009" customWidth="1"/>
    <col min="5621" max="5621" width="11.5703125" style="1009" bestFit="1" customWidth="1"/>
    <col min="5622" max="5625" width="0" style="1009" hidden="1" customWidth="1"/>
    <col min="5626" max="5626" width="8.7109375" style="1009" customWidth="1"/>
    <col min="5627" max="5627" width="5.7109375" style="1009" customWidth="1"/>
    <col min="5628" max="5628" width="0" style="1009" hidden="1" customWidth="1"/>
    <col min="5629" max="5629" width="16.28515625" style="1009" bestFit="1" customWidth="1"/>
    <col min="5630" max="5631" width="0" style="1009" hidden="1" customWidth="1"/>
    <col min="5632" max="5632" width="12.7109375" style="1009" customWidth="1"/>
    <col min="5633" max="5634" width="0" style="1009" hidden="1" customWidth="1"/>
    <col min="5635" max="5635" width="11.42578125" style="1009"/>
    <col min="5636" max="5637" width="0" style="1009" hidden="1" customWidth="1"/>
    <col min="5638" max="5638" width="14.28515625" style="1009" customWidth="1"/>
    <col min="5639" max="5640" width="0" style="1009" hidden="1" customWidth="1"/>
    <col min="5641" max="5641" width="12" style="1009" bestFit="1" customWidth="1"/>
    <col min="5642" max="5643" width="0" style="1009" hidden="1" customWidth="1"/>
    <col min="5644" max="5644" width="13" style="1009" customWidth="1"/>
    <col min="5645" max="5646" width="0" style="1009" hidden="1" customWidth="1"/>
    <col min="5647" max="5647" width="12" style="1009" bestFit="1" customWidth="1"/>
    <col min="5648" max="5649" width="0" style="1009" hidden="1" customWidth="1"/>
    <col min="5650" max="5650" width="13" style="1009" bestFit="1" customWidth="1"/>
    <col min="5651" max="5652" width="0" style="1009" hidden="1" customWidth="1"/>
    <col min="5653" max="5653" width="10.42578125" style="1009" customWidth="1"/>
    <col min="5654" max="5655" width="0" style="1009" hidden="1" customWidth="1"/>
    <col min="5656" max="5656" width="12" style="1009" bestFit="1" customWidth="1"/>
    <col min="5657" max="5658" width="0" style="1009" hidden="1" customWidth="1"/>
    <col min="5659" max="5659" width="10.85546875" style="1009" bestFit="1" customWidth="1"/>
    <col min="5660" max="5661" width="0" style="1009" hidden="1" customWidth="1"/>
    <col min="5662" max="5662" width="12" style="1009" bestFit="1" customWidth="1"/>
    <col min="5663" max="5664" width="0" style="1009" hidden="1" customWidth="1"/>
    <col min="5665" max="5863" width="11.42578125" style="1009"/>
    <col min="5864" max="5864" width="4.7109375" style="1009" customWidth="1"/>
    <col min="5865" max="5865" width="6" style="1009" customWidth="1"/>
    <col min="5866" max="5866" width="13.42578125" style="1009" customWidth="1"/>
    <col min="5867" max="5867" width="42" style="1009" customWidth="1"/>
    <col min="5868" max="5875" width="0" style="1009" hidden="1" customWidth="1"/>
    <col min="5876" max="5876" width="17.140625" style="1009" customWidth="1"/>
    <col min="5877" max="5877" width="11.5703125" style="1009" bestFit="1" customWidth="1"/>
    <col min="5878" max="5881" width="0" style="1009" hidden="1" customWidth="1"/>
    <col min="5882" max="5882" width="8.7109375" style="1009" customWidth="1"/>
    <col min="5883" max="5883" width="5.7109375" style="1009" customWidth="1"/>
    <col min="5884" max="5884" width="0" style="1009" hidden="1" customWidth="1"/>
    <col min="5885" max="5885" width="16.28515625" style="1009" bestFit="1" customWidth="1"/>
    <col min="5886" max="5887" width="0" style="1009" hidden="1" customWidth="1"/>
    <col min="5888" max="5888" width="12.7109375" style="1009" customWidth="1"/>
    <col min="5889" max="5890" width="0" style="1009" hidden="1" customWidth="1"/>
    <col min="5891" max="5891" width="11.42578125" style="1009"/>
    <col min="5892" max="5893" width="0" style="1009" hidden="1" customWidth="1"/>
    <col min="5894" max="5894" width="14.28515625" style="1009" customWidth="1"/>
    <col min="5895" max="5896" width="0" style="1009" hidden="1" customWidth="1"/>
    <col min="5897" max="5897" width="12" style="1009" bestFit="1" customWidth="1"/>
    <col min="5898" max="5899" width="0" style="1009" hidden="1" customWidth="1"/>
    <col min="5900" max="5900" width="13" style="1009" customWidth="1"/>
    <col min="5901" max="5902" width="0" style="1009" hidden="1" customWidth="1"/>
    <col min="5903" max="5903" width="12" style="1009" bestFit="1" customWidth="1"/>
    <col min="5904" max="5905" width="0" style="1009" hidden="1" customWidth="1"/>
    <col min="5906" max="5906" width="13" style="1009" bestFit="1" customWidth="1"/>
    <col min="5907" max="5908" width="0" style="1009" hidden="1" customWidth="1"/>
    <col min="5909" max="5909" width="10.42578125" style="1009" customWidth="1"/>
    <col min="5910" max="5911" width="0" style="1009" hidden="1" customWidth="1"/>
    <col min="5912" max="5912" width="12" style="1009" bestFit="1" customWidth="1"/>
    <col min="5913" max="5914" width="0" style="1009" hidden="1" customWidth="1"/>
    <col min="5915" max="5915" width="10.85546875" style="1009" bestFit="1" customWidth="1"/>
    <col min="5916" max="5917" width="0" style="1009" hidden="1" customWidth="1"/>
    <col min="5918" max="5918" width="12" style="1009" bestFit="1" customWidth="1"/>
    <col min="5919" max="5920" width="0" style="1009" hidden="1" customWidth="1"/>
    <col min="5921" max="6119" width="11.42578125" style="1009"/>
    <col min="6120" max="6120" width="4.7109375" style="1009" customWidth="1"/>
    <col min="6121" max="6121" width="6" style="1009" customWidth="1"/>
    <col min="6122" max="6122" width="13.42578125" style="1009" customWidth="1"/>
    <col min="6123" max="6123" width="42" style="1009" customWidth="1"/>
    <col min="6124" max="6131" width="0" style="1009" hidden="1" customWidth="1"/>
    <col min="6132" max="6132" width="17.140625" style="1009" customWidth="1"/>
    <col min="6133" max="6133" width="11.5703125" style="1009" bestFit="1" customWidth="1"/>
    <col min="6134" max="6137" width="0" style="1009" hidden="1" customWidth="1"/>
    <col min="6138" max="6138" width="8.7109375" style="1009" customWidth="1"/>
    <col min="6139" max="6139" width="5.7109375" style="1009" customWidth="1"/>
    <col min="6140" max="6140" width="0" style="1009" hidden="1" customWidth="1"/>
    <col min="6141" max="6141" width="16.28515625" style="1009" bestFit="1" customWidth="1"/>
    <col min="6142" max="6143" width="0" style="1009" hidden="1" customWidth="1"/>
    <col min="6144" max="6144" width="12.7109375" style="1009" customWidth="1"/>
    <col min="6145" max="6146" width="0" style="1009" hidden="1" customWidth="1"/>
    <col min="6147" max="6147" width="11.42578125" style="1009"/>
    <col min="6148" max="6149" width="0" style="1009" hidden="1" customWidth="1"/>
    <col min="6150" max="6150" width="14.28515625" style="1009" customWidth="1"/>
    <col min="6151" max="6152" width="0" style="1009" hidden="1" customWidth="1"/>
    <col min="6153" max="6153" width="12" style="1009" bestFit="1" customWidth="1"/>
    <col min="6154" max="6155" width="0" style="1009" hidden="1" customWidth="1"/>
    <col min="6156" max="6156" width="13" style="1009" customWidth="1"/>
    <col min="6157" max="6158" width="0" style="1009" hidden="1" customWidth="1"/>
    <col min="6159" max="6159" width="12" style="1009" bestFit="1" customWidth="1"/>
    <col min="6160" max="6161" width="0" style="1009" hidden="1" customWidth="1"/>
    <col min="6162" max="6162" width="13" style="1009" bestFit="1" customWidth="1"/>
    <col min="6163" max="6164" width="0" style="1009" hidden="1" customWidth="1"/>
    <col min="6165" max="6165" width="10.42578125" style="1009" customWidth="1"/>
    <col min="6166" max="6167" width="0" style="1009" hidden="1" customWidth="1"/>
    <col min="6168" max="6168" width="12" style="1009" bestFit="1" customWidth="1"/>
    <col min="6169" max="6170" width="0" style="1009" hidden="1" customWidth="1"/>
    <col min="6171" max="6171" width="10.85546875" style="1009" bestFit="1" customWidth="1"/>
    <col min="6172" max="6173" width="0" style="1009" hidden="1" customWidth="1"/>
    <col min="6174" max="6174" width="12" style="1009" bestFit="1" customWidth="1"/>
    <col min="6175" max="6176" width="0" style="1009" hidden="1" customWidth="1"/>
    <col min="6177" max="6375" width="11.42578125" style="1009"/>
    <col min="6376" max="6376" width="4.7109375" style="1009" customWidth="1"/>
    <col min="6377" max="6377" width="6" style="1009" customWidth="1"/>
    <col min="6378" max="6378" width="13.42578125" style="1009" customWidth="1"/>
    <col min="6379" max="6379" width="42" style="1009" customWidth="1"/>
    <col min="6380" max="6387" width="0" style="1009" hidden="1" customWidth="1"/>
    <col min="6388" max="6388" width="17.140625" style="1009" customWidth="1"/>
    <col min="6389" max="6389" width="11.5703125" style="1009" bestFit="1" customWidth="1"/>
    <col min="6390" max="6393" width="0" style="1009" hidden="1" customWidth="1"/>
    <col min="6394" max="6394" width="8.7109375" style="1009" customWidth="1"/>
    <col min="6395" max="6395" width="5.7109375" style="1009" customWidth="1"/>
    <col min="6396" max="6396" width="0" style="1009" hidden="1" customWidth="1"/>
    <col min="6397" max="6397" width="16.28515625" style="1009" bestFit="1" customWidth="1"/>
    <col min="6398" max="6399" width="0" style="1009" hidden="1" customWidth="1"/>
    <col min="6400" max="6400" width="12.7109375" style="1009" customWidth="1"/>
    <col min="6401" max="6402" width="0" style="1009" hidden="1" customWidth="1"/>
    <col min="6403" max="6403" width="11.42578125" style="1009"/>
    <col min="6404" max="6405" width="0" style="1009" hidden="1" customWidth="1"/>
    <col min="6406" max="6406" width="14.28515625" style="1009" customWidth="1"/>
    <col min="6407" max="6408" width="0" style="1009" hidden="1" customWidth="1"/>
    <col min="6409" max="6409" width="12" style="1009" bestFit="1" customWidth="1"/>
    <col min="6410" max="6411" width="0" style="1009" hidden="1" customWidth="1"/>
    <col min="6412" max="6412" width="13" style="1009" customWidth="1"/>
    <col min="6413" max="6414" width="0" style="1009" hidden="1" customWidth="1"/>
    <col min="6415" max="6415" width="12" style="1009" bestFit="1" customWidth="1"/>
    <col min="6416" max="6417" width="0" style="1009" hidden="1" customWidth="1"/>
    <col min="6418" max="6418" width="13" style="1009" bestFit="1" customWidth="1"/>
    <col min="6419" max="6420" width="0" style="1009" hidden="1" customWidth="1"/>
    <col min="6421" max="6421" width="10.42578125" style="1009" customWidth="1"/>
    <col min="6422" max="6423" width="0" style="1009" hidden="1" customWidth="1"/>
    <col min="6424" max="6424" width="12" style="1009" bestFit="1" customWidth="1"/>
    <col min="6425" max="6426" width="0" style="1009" hidden="1" customWidth="1"/>
    <col min="6427" max="6427" width="10.85546875" style="1009" bestFit="1" customWidth="1"/>
    <col min="6428" max="6429" width="0" style="1009" hidden="1" customWidth="1"/>
    <col min="6430" max="6430" width="12" style="1009" bestFit="1" customWidth="1"/>
    <col min="6431" max="6432" width="0" style="1009" hidden="1" customWidth="1"/>
    <col min="6433" max="6631" width="11.42578125" style="1009"/>
    <col min="6632" max="6632" width="4.7109375" style="1009" customWidth="1"/>
    <col min="6633" max="6633" width="6" style="1009" customWidth="1"/>
    <col min="6634" max="6634" width="13.42578125" style="1009" customWidth="1"/>
    <col min="6635" max="6635" width="42" style="1009" customWidth="1"/>
    <col min="6636" max="6643" width="0" style="1009" hidden="1" customWidth="1"/>
    <col min="6644" max="6644" width="17.140625" style="1009" customWidth="1"/>
    <col min="6645" max="6645" width="11.5703125" style="1009" bestFit="1" customWidth="1"/>
    <col min="6646" max="6649" width="0" style="1009" hidden="1" customWidth="1"/>
    <col min="6650" max="6650" width="8.7109375" style="1009" customWidth="1"/>
    <col min="6651" max="6651" width="5.7109375" style="1009" customWidth="1"/>
    <col min="6652" max="6652" width="0" style="1009" hidden="1" customWidth="1"/>
    <col min="6653" max="6653" width="16.28515625" style="1009" bestFit="1" customWidth="1"/>
    <col min="6654" max="6655" width="0" style="1009" hidden="1" customWidth="1"/>
    <col min="6656" max="6656" width="12.7109375" style="1009" customWidth="1"/>
    <col min="6657" max="6658" width="0" style="1009" hidden="1" customWidth="1"/>
    <col min="6659" max="6659" width="11.42578125" style="1009"/>
    <col min="6660" max="6661" width="0" style="1009" hidden="1" customWidth="1"/>
    <col min="6662" max="6662" width="14.28515625" style="1009" customWidth="1"/>
    <col min="6663" max="6664" width="0" style="1009" hidden="1" customWidth="1"/>
    <col min="6665" max="6665" width="12" style="1009" bestFit="1" customWidth="1"/>
    <col min="6666" max="6667" width="0" style="1009" hidden="1" customWidth="1"/>
    <col min="6668" max="6668" width="13" style="1009" customWidth="1"/>
    <col min="6669" max="6670" width="0" style="1009" hidden="1" customWidth="1"/>
    <col min="6671" max="6671" width="12" style="1009" bestFit="1" customWidth="1"/>
    <col min="6672" max="6673" width="0" style="1009" hidden="1" customWidth="1"/>
    <col min="6674" max="6674" width="13" style="1009" bestFit="1" customWidth="1"/>
    <col min="6675" max="6676" width="0" style="1009" hidden="1" customWidth="1"/>
    <col min="6677" max="6677" width="10.42578125" style="1009" customWidth="1"/>
    <col min="6678" max="6679" width="0" style="1009" hidden="1" customWidth="1"/>
    <col min="6680" max="6680" width="12" style="1009" bestFit="1" customWidth="1"/>
    <col min="6681" max="6682" width="0" style="1009" hidden="1" customWidth="1"/>
    <col min="6683" max="6683" width="10.85546875" style="1009" bestFit="1" customWidth="1"/>
    <col min="6684" max="6685" width="0" style="1009" hidden="1" customWidth="1"/>
    <col min="6686" max="6686" width="12" style="1009" bestFit="1" customWidth="1"/>
    <col min="6687" max="6688" width="0" style="1009" hidden="1" customWidth="1"/>
    <col min="6689" max="6887" width="11.42578125" style="1009"/>
    <col min="6888" max="6888" width="4.7109375" style="1009" customWidth="1"/>
    <col min="6889" max="6889" width="6" style="1009" customWidth="1"/>
    <col min="6890" max="6890" width="13.42578125" style="1009" customWidth="1"/>
    <col min="6891" max="6891" width="42" style="1009" customWidth="1"/>
    <col min="6892" max="6899" width="0" style="1009" hidden="1" customWidth="1"/>
    <col min="6900" max="6900" width="17.140625" style="1009" customWidth="1"/>
    <col min="6901" max="6901" width="11.5703125" style="1009" bestFit="1" customWidth="1"/>
    <col min="6902" max="6905" width="0" style="1009" hidden="1" customWidth="1"/>
    <col min="6906" max="6906" width="8.7109375" style="1009" customWidth="1"/>
    <col min="6907" max="6907" width="5.7109375" style="1009" customWidth="1"/>
    <col min="6908" max="6908" width="0" style="1009" hidden="1" customWidth="1"/>
    <col min="6909" max="6909" width="16.28515625" style="1009" bestFit="1" customWidth="1"/>
    <col min="6910" max="6911" width="0" style="1009" hidden="1" customWidth="1"/>
    <col min="6912" max="6912" width="12.7109375" style="1009" customWidth="1"/>
    <col min="6913" max="6914" width="0" style="1009" hidden="1" customWidth="1"/>
    <col min="6915" max="6915" width="11.42578125" style="1009"/>
    <col min="6916" max="6917" width="0" style="1009" hidden="1" customWidth="1"/>
    <col min="6918" max="6918" width="14.28515625" style="1009" customWidth="1"/>
    <col min="6919" max="6920" width="0" style="1009" hidden="1" customWidth="1"/>
    <col min="6921" max="6921" width="12" style="1009" bestFit="1" customWidth="1"/>
    <col min="6922" max="6923" width="0" style="1009" hidden="1" customWidth="1"/>
    <col min="6924" max="6924" width="13" style="1009" customWidth="1"/>
    <col min="6925" max="6926" width="0" style="1009" hidden="1" customWidth="1"/>
    <col min="6927" max="6927" width="12" style="1009" bestFit="1" customWidth="1"/>
    <col min="6928" max="6929" width="0" style="1009" hidden="1" customWidth="1"/>
    <col min="6930" max="6930" width="13" style="1009" bestFit="1" customWidth="1"/>
    <col min="6931" max="6932" width="0" style="1009" hidden="1" customWidth="1"/>
    <col min="6933" max="6933" width="10.42578125" style="1009" customWidth="1"/>
    <col min="6934" max="6935" width="0" style="1009" hidden="1" customWidth="1"/>
    <col min="6936" max="6936" width="12" style="1009" bestFit="1" customWidth="1"/>
    <col min="6937" max="6938" width="0" style="1009" hidden="1" customWidth="1"/>
    <col min="6939" max="6939" width="10.85546875" style="1009" bestFit="1" customWidth="1"/>
    <col min="6940" max="6941" width="0" style="1009" hidden="1" customWidth="1"/>
    <col min="6942" max="6942" width="12" style="1009" bestFit="1" customWidth="1"/>
    <col min="6943" max="6944" width="0" style="1009" hidden="1" customWidth="1"/>
    <col min="6945" max="7143" width="11.42578125" style="1009"/>
    <col min="7144" max="7144" width="4.7109375" style="1009" customWidth="1"/>
    <col min="7145" max="7145" width="6" style="1009" customWidth="1"/>
    <col min="7146" max="7146" width="13.42578125" style="1009" customWidth="1"/>
    <col min="7147" max="7147" width="42" style="1009" customWidth="1"/>
    <col min="7148" max="7155" width="0" style="1009" hidden="1" customWidth="1"/>
    <col min="7156" max="7156" width="17.140625" style="1009" customWidth="1"/>
    <col min="7157" max="7157" width="11.5703125" style="1009" bestFit="1" customWidth="1"/>
    <col min="7158" max="7161" width="0" style="1009" hidden="1" customWidth="1"/>
    <col min="7162" max="7162" width="8.7109375" style="1009" customWidth="1"/>
    <col min="7163" max="7163" width="5.7109375" style="1009" customWidth="1"/>
    <col min="7164" max="7164" width="0" style="1009" hidden="1" customWidth="1"/>
    <col min="7165" max="7165" width="16.28515625" style="1009" bestFit="1" customWidth="1"/>
    <col min="7166" max="7167" width="0" style="1009" hidden="1" customWidth="1"/>
    <col min="7168" max="7168" width="12.7109375" style="1009" customWidth="1"/>
    <col min="7169" max="7170" width="0" style="1009" hidden="1" customWidth="1"/>
    <col min="7171" max="7171" width="11.42578125" style="1009"/>
    <col min="7172" max="7173" width="0" style="1009" hidden="1" customWidth="1"/>
    <col min="7174" max="7174" width="14.28515625" style="1009" customWidth="1"/>
    <col min="7175" max="7176" width="0" style="1009" hidden="1" customWidth="1"/>
    <col min="7177" max="7177" width="12" style="1009" bestFit="1" customWidth="1"/>
    <col min="7178" max="7179" width="0" style="1009" hidden="1" customWidth="1"/>
    <col min="7180" max="7180" width="13" style="1009" customWidth="1"/>
    <col min="7181" max="7182" width="0" style="1009" hidden="1" customWidth="1"/>
    <col min="7183" max="7183" width="12" style="1009" bestFit="1" customWidth="1"/>
    <col min="7184" max="7185" width="0" style="1009" hidden="1" customWidth="1"/>
    <col min="7186" max="7186" width="13" style="1009" bestFit="1" customWidth="1"/>
    <col min="7187" max="7188" width="0" style="1009" hidden="1" customWidth="1"/>
    <col min="7189" max="7189" width="10.42578125" style="1009" customWidth="1"/>
    <col min="7190" max="7191" width="0" style="1009" hidden="1" customWidth="1"/>
    <col min="7192" max="7192" width="12" style="1009" bestFit="1" customWidth="1"/>
    <col min="7193" max="7194" width="0" style="1009" hidden="1" customWidth="1"/>
    <col min="7195" max="7195" width="10.85546875" style="1009" bestFit="1" customWidth="1"/>
    <col min="7196" max="7197" width="0" style="1009" hidden="1" customWidth="1"/>
    <col min="7198" max="7198" width="12" style="1009" bestFit="1" customWidth="1"/>
    <col min="7199" max="7200" width="0" style="1009" hidden="1" customWidth="1"/>
    <col min="7201" max="7399" width="11.42578125" style="1009"/>
    <col min="7400" max="7400" width="4.7109375" style="1009" customWidth="1"/>
    <col min="7401" max="7401" width="6" style="1009" customWidth="1"/>
    <col min="7402" max="7402" width="13.42578125" style="1009" customWidth="1"/>
    <col min="7403" max="7403" width="42" style="1009" customWidth="1"/>
    <col min="7404" max="7411" width="0" style="1009" hidden="1" customWidth="1"/>
    <col min="7412" max="7412" width="17.140625" style="1009" customWidth="1"/>
    <col min="7413" max="7413" width="11.5703125" style="1009" bestFit="1" customWidth="1"/>
    <col min="7414" max="7417" width="0" style="1009" hidden="1" customWidth="1"/>
    <col min="7418" max="7418" width="8.7109375" style="1009" customWidth="1"/>
    <col min="7419" max="7419" width="5.7109375" style="1009" customWidth="1"/>
    <col min="7420" max="7420" width="0" style="1009" hidden="1" customWidth="1"/>
    <col min="7421" max="7421" width="16.28515625" style="1009" bestFit="1" customWidth="1"/>
    <col min="7422" max="7423" width="0" style="1009" hidden="1" customWidth="1"/>
    <col min="7424" max="7424" width="12.7109375" style="1009" customWidth="1"/>
    <col min="7425" max="7426" width="0" style="1009" hidden="1" customWidth="1"/>
    <col min="7427" max="7427" width="11.42578125" style="1009"/>
    <col min="7428" max="7429" width="0" style="1009" hidden="1" customWidth="1"/>
    <col min="7430" max="7430" width="14.28515625" style="1009" customWidth="1"/>
    <col min="7431" max="7432" width="0" style="1009" hidden="1" customWidth="1"/>
    <col min="7433" max="7433" width="12" style="1009" bestFit="1" customWidth="1"/>
    <col min="7434" max="7435" width="0" style="1009" hidden="1" customWidth="1"/>
    <col min="7436" max="7436" width="13" style="1009" customWidth="1"/>
    <col min="7437" max="7438" width="0" style="1009" hidden="1" customWidth="1"/>
    <col min="7439" max="7439" width="12" style="1009" bestFit="1" customWidth="1"/>
    <col min="7440" max="7441" width="0" style="1009" hidden="1" customWidth="1"/>
    <col min="7442" max="7442" width="13" style="1009" bestFit="1" customWidth="1"/>
    <col min="7443" max="7444" width="0" style="1009" hidden="1" customWidth="1"/>
    <col min="7445" max="7445" width="10.42578125" style="1009" customWidth="1"/>
    <col min="7446" max="7447" width="0" style="1009" hidden="1" customWidth="1"/>
    <col min="7448" max="7448" width="12" style="1009" bestFit="1" customWidth="1"/>
    <col min="7449" max="7450" width="0" style="1009" hidden="1" customWidth="1"/>
    <col min="7451" max="7451" width="10.85546875" style="1009" bestFit="1" customWidth="1"/>
    <col min="7452" max="7453" width="0" style="1009" hidden="1" customWidth="1"/>
    <col min="7454" max="7454" width="12" style="1009" bestFit="1" customWidth="1"/>
    <col min="7455" max="7456" width="0" style="1009" hidden="1" customWidth="1"/>
    <col min="7457" max="7655" width="11.42578125" style="1009"/>
    <col min="7656" max="7656" width="4.7109375" style="1009" customWidth="1"/>
    <col min="7657" max="7657" width="6" style="1009" customWidth="1"/>
    <col min="7658" max="7658" width="13.42578125" style="1009" customWidth="1"/>
    <col min="7659" max="7659" width="42" style="1009" customWidth="1"/>
    <col min="7660" max="7667" width="0" style="1009" hidden="1" customWidth="1"/>
    <col min="7668" max="7668" width="17.140625" style="1009" customWidth="1"/>
    <col min="7669" max="7669" width="11.5703125" style="1009" bestFit="1" customWidth="1"/>
    <col min="7670" max="7673" width="0" style="1009" hidden="1" customWidth="1"/>
    <col min="7674" max="7674" width="8.7109375" style="1009" customWidth="1"/>
    <col min="7675" max="7675" width="5.7109375" style="1009" customWidth="1"/>
    <col min="7676" max="7676" width="0" style="1009" hidden="1" customWidth="1"/>
    <col min="7677" max="7677" width="16.28515625" style="1009" bestFit="1" customWidth="1"/>
    <col min="7678" max="7679" width="0" style="1009" hidden="1" customWidth="1"/>
    <col min="7680" max="7680" width="12.7109375" style="1009" customWidth="1"/>
    <col min="7681" max="7682" width="0" style="1009" hidden="1" customWidth="1"/>
    <col min="7683" max="7683" width="11.42578125" style="1009"/>
    <col min="7684" max="7685" width="0" style="1009" hidden="1" customWidth="1"/>
    <col min="7686" max="7686" width="14.28515625" style="1009" customWidth="1"/>
    <col min="7687" max="7688" width="0" style="1009" hidden="1" customWidth="1"/>
    <col min="7689" max="7689" width="12" style="1009" bestFit="1" customWidth="1"/>
    <col min="7690" max="7691" width="0" style="1009" hidden="1" customWidth="1"/>
    <col min="7692" max="7692" width="13" style="1009" customWidth="1"/>
    <col min="7693" max="7694" width="0" style="1009" hidden="1" customWidth="1"/>
    <col min="7695" max="7695" width="12" style="1009" bestFit="1" customWidth="1"/>
    <col min="7696" max="7697" width="0" style="1009" hidden="1" customWidth="1"/>
    <col min="7698" max="7698" width="13" style="1009" bestFit="1" customWidth="1"/>
    <col min="7699" max="7700" width="0" style="1009" hidden="1" customWidth="1"/>
    <col min="7701" max="7701" width="10.42578125" style="1009" customWidth="1"/>
    <col min="7702" max="7703" width="0" style="1009" hidden="1" customWidth="1"/>
    <col min="7704" max="7704" width="12" style="1009" bestFit="1" customWidth="1"/>
    <col min="7705" max="7706" width="0" style="1009" hidden="1" customWidth="1"/>
    <col min="7707" max="7707" width="10.85546875" style="1009" bestFit="1" customWidth="1"/>
    <col min="7708" max="7709" width="0" style="1009" hidden="1" customWidth="1"/>
    <col min="7710" max="7710" width="12" style="1009" bestFit="1" customWidth="1"/>
    <col min="7711" max="7712" width="0" style="1009" hidden="1" customWidth="1"/>
    <col min="7713" max="7911" width="11.42578125" style="1009"/>
    <col min="7912" max="7912" width="4.7109375" style="1009" customWidth="1"/>
    <col min="7913" max="7913" width="6" style="1009" customWidth="1"/>
    <col min="7914" max="7914" width="13.42578125" style="1009" customWidth="1"/>
    <col min="7915" max="7915" width="42" style="1009" customWidth="1"/>
    <col min="7916" max="7923" width="0" style="1009" hidden="1" customWidth="1"/>
    <col min="7924" max="7924" width="17.140625" style="1009" customWidth="1"/>
    <col min="7925" max="7925" width="11.5703125" style="1009" bestFit="1" customWidth="1"/>
    <col min="7926" max="7929" width="0" style="1009" hidden="1" customWidth="1"/>
    <col min="7930" max="7930" width="8.7109375" style="1009" customWidth="1"/>
    <col min="7931" max="7931" width="5.7109375" style="1009" customWidth="1"/>
    <col min="7932" max="7932" width="0" style="1009" hidden="1" customWidth="1"/>
    <col min="7933" max="7933" width="16.28515625" style="1009" bestFit="1" customWidth="1"/>
    <col min="7934" max="7935" width="0" style="1009" hidden="1" customWidth="1"/>
    <col min="7936" max="7936" width="12.7109375" style="1009" customWidth="1"/>
    <col min="7937" max="7938" width="0" style="1009" hidden="1" customWidth="1"/>
    <col min="7939" max="7939" width="11.42578125" style="1009"/>
    <col min="7940" max="7941" width="0" style="1009" hidden="1" customWidth="1"/>
    <col min="7942" max="7942" width="14.28515625" style="1009" customWidth="1"/>
    <col min="7943" max="7944" width="0" style="1009" hidden="1" customWidth="1"/>
    <col min="7945" max="7945" width="12" style="1009" bestFit="1" customWidth="1"/>
    <col min="7946" max="7947" width="0" style="1009" hidden="1" customWidth="1"/>
    <col min="7948" max="7948" width="13" style="1009" customWidth="1"/>
    <col min="7949" max="7950" width="0" style="1009" hidden="1" customWidth="1"/>
    <col min="7951" max="7951" width="12" style="1009" bestFit="1" customWidth="1"/>
    <col min="7952" max="7953" width="0" style="1009" hidden="1" customWidth="1"/>
    <col min="7954" max="7954" width="13" style="1009" bestFit="1" customWidth="1"/>
    <col min="7955" max="7956" width="0" style="1009" hidden="1" customWidth="1"/>
    <col min="7957" max="7957" width="10.42578125" style="1009" customWidth="1"/>
    <col min="7958" max="7959" width="0" style="1009" hidden="1" customWidth="1"/>
    <col min="7960" max="7960" width="12" style="1009" bestFit="1" customWidth="1"/>
    <col min="7961" max="7962" width="0" style="1009" hidden="1" customWidth="1"/>
    <col min="7963" max="7963" width="10.85546875" style="1009" bestFit="1" customWidth="1"/>
    <col min="7964" max="7965" width="0" style="1009" hidden="1" customWidth="1"/>
    <col min="7966" max="7966" width="12" style="1009" bestFit="1" customWidth="1"/>
    <col min="7967" max="7968" width="0" style="1009" hidden="1" customWidth="1"/>
    <col min="7969" max="8167" width="11.42578125" style="1009"/>
    <col min="8168" max="8168" width="4.7109375" style="1009" customWidth="1"/>
    <col min="8169" max="8169" width="6" style="1009" customWidth="1"/>
    <col min="8170" max="8170" width="13.42578125" style="1009" customWidth="1"/>
    <col min="8171" max="8171" width="42" style="1009" customWidth="1"/>
    <col min="8172" max="8179" width="0" style="1009" hidden="1" customWidth="1"/>
    <col min="8180" max="8180" width="17.140625" style="1009" customWidth="1"/>
    <col min="8181" max="8181" width="11.5703125" style="1009" bestFit="1" customWidth="1"/>
    <col min="8182" max="8185" width="0" style="1009" hidden="1" customWidth="1"/>
    <col min="8186" max="8186" width="8.7109375" style="1009" customWidth="1"/>
    <col min="8187" max="8187" width="5.7109375" style="1009" customWidth="1"/>
    <col min="8188" max="8188" width="0" style="1009" hidden="1" customWidth="1"/>
    <col min="8189" max="8189" width="16.28515625" style="1009" bestFit="1" customWidth="1"/>
    <col min="8190" max="8191" width="0" style="1009" hidden="1" customWidth="1"/>
    <col min="8192" max="8192" width="12.7109375" style="1009" customWidth="1"/>
    <col min="8193" max="8194" width="0" style="1009" hidden="1" customWidth="1"/>
    <col min="8195" max="8195" width="11.42578125" style="1009"/>
    <col min="8196" max="8197" width="0" style="1009" hidden="1" customWidth="1"/>
    <col min="8198" max="8198" width="14.28515625" style="1009" customWidth="1"/>
    <col min="8199" max="8200" width="0" style="1009" hidden="1" customWidth="1"/>
    <col min="8201" max="8201" width="12" style="1009" bestFit="1" customWidth="1"/>
    <col min="8202" max="8203" width="0" style="1009" hidden="1" customWidth="1"/>
    <col min="8204" max="8204" width="13" style="1009" customWidth="1"/>
    <col min="8205" max="8206" width="0" style="1009" hidden="1" customWidth="1"/>
    <col min="8207" max="8207" width="12" style="1009" bestFit="1" customWidth="1"/>
    <col min="8208" max="8209" width="0" style="1009" hidden="1" customWidth="1"/>
    <col min="8210" max="8210" width="13" style="1009" bestFit="1" customWidth="1"/>
    <col min="8211" max="8212" width="0" style="1009" hidden="1" customWidth="1"/>
    <col min="8213" max="8213" width="10.42578125" style="1009" customWidth="1"/>
    <col min="8214" max="8215" width="0" style="1009" hidden="1" customWidth="1"/>
    <col min="8216" max="8216" width="12" style="1009" bestFit="1" customWidth="1"/>
    <col min="8217" max="8218" width="0" style="1009" hidden="1" customWidth="1"/>
    <col min="8219" max="8219" width="10.85546875" style="1009" bestFit="1" customWidth="1"/>
    <col min="8220" max="8221" width="0" style="1009" hidden="1" customWidth="1"/>
    <col min="8222" max="8222" width="12" style="1009" bestFit="1" customWidth="1"/>
    <col min="8223" max="8224" width="0" style="1009" hidden="1" customWidth="1"/>
    <col min="8225" max="8423" width="11.42578125" style="1009"/>
    <col min="8424" max="8424" width="4.7109375" style="1009" customWidth="1"/>
    <col min="8425" max="8425" width="6" style="1009" customWidth="1"/>
    <col min="8426" max="8426" width="13.42578125" style="1009" customWidth="1"/>
    <col min="8427" max="8427" width="42" style="1009" customWidth="1"/>
    <col min="8428" max="8435" width="0" style="1009" hidden="1" customWidth="1"/>
    <col min="8436" max="8436" width="17.140625" style="1009" customWidth="1"/>
    <col min="8437" max="8437" width="11.5703125" style="1009" bestFit="1" customWidth="1"/>
    <col min="8438" max="8441" width="0" style="1009" hidden="1" customWidth="1"/>
    <col min="8442" max="8442" width="8.7109375" style="1009" customWidth="1"/>
    <col min="8443" max="8443" width="5.7109375" style="1009" customWidth="1"/>
    <col min="8444" max="8444" width="0" style="1009" hidden="1" customWidth="1"/>
    <col min="8445" max="8445" width="16.28515625" style="1009" bestFit="1" customWidth="1"/>
    <col min="8446" max="8447" width="0" style="1009" hidden="1" customWidth="1"/>
    <col min="8448" max="8448" width="12.7109375" style="1009" customWidth="1"/>
    <col min="8449" max="8450" width="0" style="1009" hidden="1" customWidth="1"/>
    <col min="8451" max="8451" width="11.42578125" style="1009"/>
    <col min="8452" max="8453" width="0" style="1009" hidden="1" customWidth="1"/>
    <col min="8454" max="8454" width="14.28515625" style="1009" customWidth="1"/>
    <col min="8455" max="8456" width="0" style="1009" hidden="1" customWidth="1"/>
    <col min="8457" max="8457" width="12" style="1009" bestFit="1" customWidth="1"/>
    <col min="8458" max="8459" width="0" style="1009" hidden="1" customWidth="1"/>
    <col min="8460" max="8460" width="13" style="1009" customWidth="1"/>
    <col min="8461" max="8462" width="0" style="1009" hidden="1" customWidth="1"/>
    <col min="8463" max="8463" width="12" style="1009" bestFit="1" customWidth="1"/>
    <col min="8464" max="8465" width="0" style="1009" hidden="1" customWidth="1"/>
    <col min="8466" max="8466" width="13" style="1009" bestFit="1" customWidth="1"/>
    <col min="8467" max="8468" width="0" style="1009" hidden="1" customWidth="1"/>
    <col min="8469" max="8469" width="10.42578125" style="1009" customWidth="1"/>
    <col min="8470" max="8471" width="0" style="1009" hidden="1" customWidth="1"/>
    <col min="8472" max="8472" width="12" style="1009" bestFit="1" customWidth="1"/>
    <col min="8473" max="8474" width="0" style="1009" hidden="1" customWidth="1"/>
    <col min="8475" max="8475" width="10.85546875" style="1009" bestFit="1" customWidth="1"/>
    <col min="8476" max="8477" width="0" style="1009" hidden="1" customWidth="1"/>
    <col min="8478" max="8478" width="12" style="1009" bestFit="1" customWidth="1"/>
    <col min="8479" max="8480" width="0" style="1009" hidden="1" customWidth="1"/>
    <col min="8481" max="8679" width="11.42578125" style="1009"/>
    <col min="8680" max="8680" width="4.7109375" style="1009" customWidth="1"/>
    <col min="8681" max="8681" width="6" style="1009" customWidth="1"/>
    <col min="8682" max="8682" width="13.42578125" style="1009" customWidth="1"/>
    <col min="8683" max="8683" width="42" style="1009" customWidth="1"/>
    <col min="8684" max="8691" width="0" style="1009" hidden="1" customWidth="1"/>
    <col min="8692" max="8692" width="17.140625" style="1009" customWidth="1"/>
    <col min="8693" max="8693" width="11.5703125" style="1009" bestFit="1" customWidth="1"/>
    <col min="8694" max="8697" width="0" style="1009" hidden="1" customWidth="1"/>
    <col min="8698" max="8698" width="8.7109375" style="1009" customWidth="1"/>
    <col min="8699" max="8699" width="5.7109375" style="1009" customWidth="1"/>
    <col min="8700" max="8700" width="0" style="1009" hidden="1" customWidth="1"/>
    <col min="8701" max="8701" width="16.28515625" style="1009" bestFit="1" customWidth="1"/>
    <col min="8702" max="8703" width="0" style="1009" hidden="1" customWidth="1"/>
    <col min="8704" max="8704" width="12.7109375" style="1009" customWidth="1"/>
    <col min="8705" max="8706" width="0" style="1009" hidden="1" customWidth="1"/>
    <col min="8707" max="8707" width="11.42578125" style="1009"/>
    <col min="8708" max="8709" width="0" style="1009" hidden="1" customWidth="1"/>
    <col min="8710" max="8710" width="14.28515625" style="1009" customWidth="1"/>
    <col min="8711" max="8712" width="0" style="1009" hidden="1" customWidth="1"/>
    <col min="8713" max="8713" width="12" style="1009" bestFit="1" customWidth="1"/>
    <col min="8714" max="8715" width="0" style="1009" hidden="1" customWidth="1"/>
    <col min="8716" max="8716" width="13" style="1009" customWidth="1"/>
    <col min="8717" max="8718" width="0" style="1009" hidden="1" customWidth="1"/>
    <col min="8719" max="8719" width="12" style="1009" bestFit="1" customWidth="1"/>
    <col min="8720" max="8721" width="0" style="1009" hidden="1" customWidth="1"/>
    <col min="8722" max="8722" width="13" style="1009" bestFit="1" customWidth="1"/>
    <col min="8723" max="8724" width="0" style="1009" hidden="1" customWidth="1"/>
    <col min="8725" max="8725" width="10.42578125" style="1009" customWidth="1"/>
    <col min="8726" max="8727" width="0" style="1009" hidden="1" customWidth="1"/>
    <col min="8728" max="8728" width="12" style="1009" bestFit="1" customWidth="1"/>
    <col min="8729" max="8730" width="0" style="1009" hidden="1" customWidth="1"/>
    <col min="8731" max="8731" width="10.85546875" style="1009" bestFit="1" customWidth="1"/>
    <col min="8732" max="8733" width="0" style="1009" hidden="1" customWidth="1"/>
    <col min="8734" max="8734" width="12" style="1009" bestFit="1" customWidth="1"/>
    <col min="8735" max="8736" width="0" style="1009" hidden="1" customWidth="1"/>
    <col min="8737" max="8935" width="11.42578125" style="1009"/>
    <col min="8936" max="8936" width="4.7109375" style="1009" customWidth="1"/>
    <col min="8937" max="8937" width="6" style="1009" customWidth="1"/>
    <col min="8938" max="8938" width="13.42578125" style="1009" customWidth="1"/>
    <col min="8939" max="8939" width="42" style="1009" customWidth="1"/>
    <col min="8940" max="8947" width="0" style="1009" hidden="1" customWidth="1"/>
    <col min="8948" max="8948" width="17.140625" style="1009" customWidth="1"/>
    <col min="8949" max="8949" width="11.5703125" style="1009" bestFit="1" customWidth="1"/>
    <col min="8950" max="8953" width="0" style="1009" hidden="1" customWidth="1"/>
    <col min="8954" max="8954" width="8.7109375" style="1009" customWidth="1"/>
    <col min="8955" max="8955" width="5.7109375" style="1009" customWidth="1"/>
    <col min="8956" max="8956" width="0" style="1009" hidden="1" customWidth="1"/>
    <col min="8957" max="8957" width="16.28515625" style="1009" bestFit="1" customWidth="1"/>
    <col min="8958" max="8959" width="0" style="1009" hidden="1" customWidth="1"/>
    <col min="8960" max="8960" width="12.7109375" style="1009" customWidth="1"/>
    <col min="8961" max="8962" width="0" style="1009" hidden="1" customWidth="1"/>
    <col min="8963" max="8963" width="11.42578125" style="1009"/>
    <col min="8964" max="8965" width="0" style="1009" hidden="1" customWidth="1"/>
    <col min="8966" max="8966" width="14.28515625" style="1009" customWidth="1"/>
    <col min="8967" max="8968" width="0" style="1009" hidden="1" customWidth="1"/>
    <col min="8969" max="8969" width="12" style="1009" bestFit="1" customWidth="1"/>
    <col min="8970" max="8971" width="0" style="1009" hidden="1" customWidth="1"/>
    <col min="8972" max="8972" width="13" style="1009" customWidth="1"/>
    <col min="8973" max="8974" width="0" style="1009" hidden="1" customWidth="1"/>
    <col min="8975" max="8975" width="12" style="1009" bestFit="1" customWidth="1"/>
    <col min="8976" max="8977" width="0" style="1009" hidden="1" customWidth="1"/>
    <col min="8978" max="8978" width="13" style="1009" bestFit="1" customWidth="1"/>
    <col min="8979" max="8980" width="0" style="1009" hidden="1" customWidth="1"/>
    <col min="8981" max="8981" width="10.42578125" style="1009" customWidth="1"/>
    <col min="8982" max="8983" width="0" style="1009" hidden="1" customWidth="1"/>
    <col min="8984" max="8984" width="12" style="1009" bestFit="1" customWidth="1"/>
    <col min="8985" max="8986" width="0" style="1009" hidden="1" customWidth="1"/>
    <col min="8987" max="8987" width="10.85546875" style="1009" bestFit="1" customWidth="1"/>
    <col min="8988" max="8989" width="0" style="1009" hidden="1" customWidth="1"/>
    <col min="8990" max="8990" width="12" style="1009" bestFit="1" customWidth="1"/>
    <col min="8991" max="8992" width="0" style="1009" hidden="1" customWidth="1"/>
    <col min="8993" max="9191" width="11.42578125" style="1009"/>
    <col min="9192" max="9192" width="4.7109375" style="1009" customWidth="1"/>
    <col min="9193" max="9193" width="6" style="1009" customWidth="1"/>
    <col min="9194" max="9194" width="13.42578125" style="1009" customWidth="1"/>
    <col min="9195" max="9195" width="42" style="1009" customWidth="1"/>
    <col min="9196" max="9203" width="0" style="1009" hidden="1" customWidth="1"/>
    <col min="9204" max="9204" width="17.140625" style="1009" customWidth="1"/>
    <col min="9205" max="9205" width="11.5703125" style="1009" bestFit="1" customWidth="1"/>
    <col min="9206" max="9209" width="0" style="1009" hidden="1" customWidth="1"/>
    <col min="9210" max="9210" width="8.7109375" style="1009" customWidth="1"/>
    <col min="9211" max="9211" width="5.7109375" style="1009" customWidth="1"/>
    <col min="9212" max="9212" width="0" style="1009" hidden="1" customWidth="1"/>
    <col min="9213" max="9213" width="16.28515625" style="1009" bestFit="1" customWidth="1"/>
    <col min="9214" max="9215" width="0" style="1009" hidden="1" customWidth="1"/>
    <col min="9216" max="9216" width="12.7109375" style="1009" customWidth="1"/>
    <col min="9217" max="9218" width="0" style="1009" hidden="1" customWidth="1"/>
    <col min="9219" max="9219" width="11.42578125" style="1009"/>
    <col min="9220" max="9221" width="0" style="1009" hidden="1" customWidth="1"/>
    <col min="9222" max="9222" width="14.28515625" style="1009" customWidth="1"/>
    <col min="9223" max="9224" width="0" style="1009" hidden="1" customWidth="1"/>
    <col min="9225" max="9225" width="12" style="1009" bestFit="1" customWidth="1"/>
    <col min="9226" max="9227" width="0" style="1009" hidden="1" customWidth="1"/>
    <col min="9228" max="9228" width="13" style="1009" customWidth="1"/>
    <col min="9229" max="9230" width="0" style="1009" hidden="1" customWidth="1"/>
    <col min="9231" max="9231" width="12" style="1009" bestFit="1" customWidth="1"/>
    <col min="9232" max="9233" width="0" style="1009" hidden="1" customWidth="1"/>
    <col min="9234" max="9234" width="13" style="1009" bestFit="1" customWidth="1"/>
    <col min="9235" max="9236" width="0" style="1009" hidden="1" customWidth="1"/>
    <col min="9237" max="9237" width="10.42578125" style="1009" customWidth="1"/>
    <col min="9238" max="9239" width="0" style="1009" hidden="1" customWidth="1"/>
    <col min="9240" max="9240" width="12" style="1009" bestFit="1" customWidth="1"/>
    <col min="9241" max="9242" width="0" style="1009" hidden="1" customWidth="1"/>
    <col min="9243" max="9243" width="10.85546875" style="1009" bestFit="1" customWidth="1"/>
    <col min="9244" max="9245" width="0" style="1009" hidden="1" customWidth="1"/>
    <col min="9246" max="9246" width="12" style="1009" bestFit="1" customWidth="1"/>
    <col min="9247" max="9248" width="0" style="1009" hidden="1" customWidth="1"/>
    <col min="9249" max="9447" width="11.42578125" style="1009"/>
    <col min="9448" max="9448" width="4.7109375" style="1009" customWidth="1"/>
    <col min="9449" max="9449" width="6" style="1009" customWidth="1"/>
    <col min="9450" max="9450" width="13.42578125" style="1009" customWidth="1"/>
    <col min="9451" max="9451" width="42" style="1009" customWidth="1"/>
    <col min="9452" max="9459" width="0" style="1009" hidden="1" customWidth="1"/>
    <col min="9460" max="9460" width="17.140625" style="1009" customWidth="1"/>
    <col min="9461" max="9461" width="11.5703125" style="1009" bestFit="1" customWidth="1"/>
    <col min="9462" max="9465" width="0" style="1009" hidden="1" customWidth="1"/>
    <col min="9466" max="9466" width="8.7109375" style="1009" customWidth="1"/>
    <col min="9467" max="9467" width="5.7109375" style="1009" customWidth="1"/>
    <col min="9468" max="9468" width="0" style="1009" hidden="1" customWidth="1"/>
    <col min="9469" max="9469" width="16.28515625" style="1009" bestFit="1" customWidth="1"/>
    <col min="9470" max="9471" width="0" style="1009" hidden="1" customWidth="1"/>
    <col min="9472" max="9472" width="12.7109375" style="1009" customWidth="1"/>
    <col min="9473" max="9474" width="0" style="1009" hidden="1" customWidth="1"/>
    <col min="9475" max="9475" width="11.42578125" style="1009"/>
    <col min="9476" max="9477" width="0" style="1009" hidden="1" customWidth="1"/>
    <col min="9478" max="9478" width="14.28515625" style="1009" customWidth="1"/>
    <col min="9479" max="9480" width="0" style="1009" hidden="1" customWidth="1"/>
    <col min="9481" max="9481" width="12" style="1009" bestFit="1" customWidth="1"/>
    <col min="9482" max="9483" width="0" style="1009" hidden="1" customWidth="1"/>
    <col min="9484" max="9484" width="13" style="1009" customWidth="1"/>
    <col min="9485" max="9486" width="0" style="1009" hidden="1" customWidth="1"/>
    <col min="9487" max="9487" width="12" style="1009" bestFit="1" customWidth="1"/>
    <col min="9488" max="9489" width="0" style="1009" hidden="1" customWidth="1"/>
    <col min="9490" max="9490" width="13" style="1009" bestFit="1" customWidth="1"/>
    <col min="9491" max="9492" width="0" style="1009" hidden="1" customWidth="1"/>
    <col min="9493" max="9493" width="10.42578125" style="1009" customWidth="1"/>
    <col min="9494" max="9495" width="0" style="1009" hidden="1" customWidth="1"/>
    <col min="9496" max="9496" width="12" style="1009" bestFit="1" customWidth="1"/>
    <col min="9497" max="9498" width="0" style="1009" hidden="1" customWidth="1"/>
    <col min="9499" max="9499" width="10.85546875" style="1009" bestFit="1" customWidth="1"/>
    <col min="9500" max="9501" width="0" style="1009" hidden="1" customWidth="1"/>
    <col min="9502" max="9502" width="12" style="1009" bestFit="1" customWidth="1"/>
    <col min="9503" max="9504" width="0" style="1009" hidden="1" customWidth="1"/>
    <col min="9505" max="9703" width="11.42578125" style="1009"/>
    <col min="9704" max="9704" width="4.7109375" style="1009" customWidth="1"/>
    <col min="9705" max="9705" width="6" style="1009" customWidth="1"/>
    <col min="9706" max="9706" width="13.42578125" style="1009" customWidth="1"/>
    <col min="9707" max="9707" width="42" style="1009" customWidth="1"/>
    <col min="9708" max="9715" width="0" style="1009" hidden="1" customWidth="1"/>
    <col min="9716" max="9716" width="17.140625" style="1009" customWidth="1"/>
    <col min="9717" max="9717" width="11.5703125" style="1009" bestFit="1" customWidth="1"/>
    <col min="9718" max="9721" width="0" style="1009" hidden="1" customWidth="1"/>
    <col min="9722" max="9722" width="8.7109375" style="1009" customWidth="1"/>
    <col min="9723" max="9723" width="5.7109375" style="1009" customWidth="1"/>
    <col min="9724" max="9724" width="0" style="1009" hidden="1" customWidth="1"/>
    <col min="9725" max="9725" width="16.28515625" style="1009" bestFit="1" customWidth="1"/>
    <col min="9726" max="9727" width="0" style="1009" hidden="1" customWidth="1"/>
    <col min="9728" max="9728" width="12.7109375" style="1009" customWidth="1"/>
    <col min="9729" max="9730" width="0" style="1009" hidden="1" customWidth="1"/>
    <col min="9731" max="9731" width="11.42578125" style="1009"/>
    <col min="9732" max="9733" width="0" style="1009" hidden="1" customWidth="1"/>
    <col min="9734" max="9734" width="14.28515625" style="1009" customWidth="1"/>
    <col min="9735" max="9736" width="0" style="1009" hidden="1" customWidth="1"/>
    <col min="9737" max="9737" width="12" style="1009" bestFit="1" customWidth="1"/>
    <col min="9738" max="9739" width="0" style="1009" hidden="1" customWidth="1"/>
    <col min="9740" max="9740" width="13" style="1009" customWidth="1"/>
    <col min="9741" max="9742" width="0" style="1009" hidden="1" customWidth="1"/>
    <col min="9743" max="9743" width="12" style="1009" bestFit="1" customWidth="1"/>
    <col min="9744" max="9745" width="0" style="1009" hidden="1" customWidth="1"/>
    <col min="9746" max="9746" width="13" style="1009" bestFit="1" customWidth="1"/>
    <col min="9747" max="9748" width="0" style="1009" hidden="1" customWidth="1"/>
    <col min="9749" max="9749" width="10.42578125" style="1009" customWidth="1"/>
    <col min="9750" max="9751" width="0" style="1009" hidden="1" customWidth="1"/>
    <col min="9752" max="9752" width="12" style="1009" bestFit="1" customWidth="1"/>
    <col min="9753" max="9754" width="0" style="1009" hidden="1" customWidth="1"/>
    <col min="9755" max="9755" width="10.85546875" style="1009" bestFit="1" customWidth="1"/>
    <col min="9756" max="9757" width="0" style="1009" hidden="1" customWidth="1"/>
    <col min="9758" max="9758" width="12" style="1009" bestFit="1" customWidth="1"/>
    <col min="9759" max="9760" width="0" style="1009" hidden="1" customWidth="1"/>
    <col min="9761" max="9959" width="11.42578125" style="1009"/>
    <col min="9960" max="9960" width="4.7109375" style="1009" customWidth="1"/>
    <col min="9961" max="9961" width="6" style="1009" customWidth="1"/>
    <col min="9962" max="9962" width="13.42578125" style="1009" customWidth="1"/>
    <col min="9963" max="9963" width="42" style="1009" customWidth="1"/>
    <col min="9964" max="9971" width="0" style="1009" hidden="1" customWidth="1"/>
    <col min="9972" max="9972" width="17.140625" style="1009" customWidth="1"/>
    <col min="9973" max="9973" width="11.5703125" style="1009" bestFit="1" customWidth="1"/>
    <col min="9974" max="9977" width="0" style="1009" hidden="1" customWidth="1"/>
    <col min="9978" max="9978" width="8.7109375" style="1009" customWidth="1"/>
    <col min="9979" max="9979" width="5.7109375" style="1009" customWidth="1"/>
    <col min="9980" max="9980" width="0" style="1009" hidden="1" customWidth="1"/>
    <col min="9981" max="9981" width="16.28515625" style="1009" bestFit="1" customWidth="1"/>
    <col min="9982" max="9983" width="0" style="1009" hidden="1" customWidth="1"/>
    <col min="9984" max="9984" width="12.7109375" style="1009" customWidth="1"/>
    <col min="9985" max="9986" width="0" style="1009" hidden="1" customWidth="1"/>
    <col min="9987" max="9987" width="11.42578125" style="1009"/>
    <col min="9988" max="9989" width="0" style="1009" hidden="1" customWidth="1"/>
    <col min="9990" max="9990" width="14.28515625" style="1009" customWidth="1"/>
    <col min="9991" max="9992" width="0" style="1009" hidden="1" customWidth="1"/>
    <col min="9993" max="9993" width="12" style="1009" bestFit="1" customWidth="1"/>
    <col min="9994" max="9995" width="0" style="1009" hidden="1" customWidth="1"/>
    <col min="9996" max="9996" width="13" style="1009" customWidth="1"/>
    <col min="9997" max="9998" width="0" style="1009" hidden="1" customWidth="1"/>
    <col min="9999" max="9999" width="12" style="1009" bestFit="1" customWidth="1"/>
    <col min="10000" max="10001" width="0" style="1009" hidden="1" customWidth="1"/>
    <col min="10002" max="10002" width="13" style="1009" bestFit="1" customWidth="1"/>
    <col min="10003" max="10004" width="0" style="1009" hidden="1" customWidth="1"/>
    <col min="10005" max="10005" width="10.42578125" style="1009" customWidth="1"/>
    <col min="10006" max="10007" width="0" style="1009" hidden="1" customWidth="1"/>
    <col min="10008" max="10008" width="12" style="1009" bestFit="1" customWidth="1"/>
    <col min="10009" max="10010" width="0" style="1009" hidden="1" customWidth="1"/>
    <col min="10011" max="10011" width="10.85546875" style="1009" bestFit="1" customWidth="1"/>
    <col min="10012" max="10013" width="0" style="1009" hidden="1" customWidth="1"/>
    <col min="10014" max="10014" width="12" style="1009" bestFit="1" customWidth="1"/>
    <col min="10015" max="10016" width="0" style="1009" hidden="1" customWidth="1"/>
    <col min="10017" max="10215" width="11.42578125" style="1009"/>
    <col min="10216" max="10216" width="4.7109375" style="1009" customWidth="1"/>
    <col min="10217" max="10217" width="6" style="1009" customWidth="1"/>
    <col min="10218" max="10218" width="13.42578125" style="1009" customWidth="1"/>
    <col min="10219" max="10219" width="42" style="1009" customWidth="1"/>
    <col min="10220" max="10227" width="0" style="1009" hidden="1" customWidth="1"/>
    <col min="10228" max="10228" width="17.140625" style="1009" customWidth="1"/>
    <col min="10229" max="10229" width="11.5703125" style="1009" bestFit="1" customWidth="1"/>
    <col min="10230" max="10233" width="0" style="1009" hidden="1" customWidth="1"/>
    <col min="10234" max="10234" width="8.7109375" style="1009" customWidth="1"/>
    <col min="10235" max="10235" width="5.7109375" style="1009" customWidth="1"/>
    <col min="10236" max="10236" width="0" style="1009" hidden="1" customWidth="1"/>
    <col min="10237" max="10237" width="16.28515625" style="1009" bestFit="1" customWidth="1"/>
    <col min="10238" max="10239" width="0" style="1009" hidden="1" customWidth="1"/>
    <col min="10240" max="10240" width="12.7109375" style="1009" customWidth="1"/>
    <col min="10241" max="10242" width="0" style="1009" hidden="1" customWidth="1"/>
    <col min="10243" max="10243" width="11.42578125" style="1009"/>
    <col min="10244" max="10245" width="0" style="1009" hidden="1" customWidth="1"/>
    <col min="10246" max="10246" width="14.28515625" style="1009" customWidth="1"/>
    <col min="10247" max="10248" width="0" style="1009" hidden="1" customWidth="1"/>
    <col min="10249" max="10249" width="12" style="1009" bestFit="1" customWidth="1"/>
    <col min="10250" max="10251" width="0" style="1009" hidden="1" customWidth="1"/>
    <col min="10252" max="10252" width="13" style="1009" customWidth="1"/>
    <col min="10253" max="10254" width="0" style="1009" hidden="1" customWidth="1"/>
    <col min="10255" max="10255" width="12" style="1009" bestFit="1" customWidth="1"/>
    <col min="10256" max="10257" width="0" style="1009" hidden="1" customWidth="1"/>
    <col min="10258" max="10258" width="13" style="1009" bestFit="1" customWidth="1"/>
    <col min="10259" max="10260" width="0" style="1009" hidden="1" customWidth="1"/>
    <col min="10261" max="10261" width="10.42578125" style="1009" customWidth="1"/>
    <col min="10262" max="10263" width="0" style="1009" hidden="1" customWidth="1"/>
    <col min="10264" max="10264" width="12" style="1009" bestFit="1" customWidth="1"/>
    <col min="10265" max="10266" width="0" style="1009" hidden="1" customWidth="1"/>
    <col min="10267" max="10267" width="10.85546875" style="1009" bestFit="1" customWidth="1"/>
    <col min="10268" max="10269" width="0" style="1009" hidden="1" customWidth="1"/>
    <col min="10270" max="10270" width="12" style="1009" bestFit="1" customWidth="1"/>
    <col min="10271" max="10272" width="0" style="1009" hidden="1" customWidth="1"/>
    <col min="10273" max="10471" width="11.42578125" style="1009"/>
    <col min="10472" max="10472" width="4.7109375" style="1009" customWidth="1"/>
    <col min="10473" max="10473" width="6" style="1009" customWidth="1"/>
    <col min="10474" max="10474" width="13.42578125" style="1009" customWidth="1"/>
    <col min="10475" max="10475" width="42" style="1009" customWidth="1"/>
    <col min="10476" max="10483" width="0" style="1009" hidden="1" customWidth="1"/>
    <col min="10484" max="10484" width="17.140625" style="1009" customWidth="1"/>
    <col min="10485" max="10485" width="11.5703125" style="1009" bestFit="1" customWidth="1"/>
    <col min="10486" max="10489" width="0" style="1009" hidden="1" customWidth="1"/>
    <col min="10490" max="10490" width="8.7109375" style="1009" customWidth="1"/>
    <col min="10491" max="10491" width="5.7109375" style="1009" customWidth="1"/>
    <col min="10492" max="10492" width="0" style="1009" hidden="1" customWidth="1"/>
    <col min="10493" max="10493" width="16.28515625" style="1009" bestFit="1" customWidth="1"/>
    <col min="10494" max="10495" width="0" style="1009" hidden="1" customWidth="1"/>
    <col min="10496" max="10496" width="12.7109375" style="1009" customWidth="1"/>
    <col min="10497" max="10498" width="0" style="1009" hidden="1" customWidth="1"/>
    <col min="10499" max="10499" width="11.42578125" style="1009"/>
    <col min="10500" max="10501" width="0" style="1009" hidden="1" customWidth="1"/>
    <col min="10502" max="10502" width="14.28515625" style="1009" customWidth="1"/>
    <col min="10503" max="10504" width="0" style="1009" hidden="1" customWidth="1"/>
    <col min="10505" max="10505" width="12" style="1009" bestFit="1" customWidth="1"/>
    <col min="10506" max="10507" width="0" style="1009" hidden="1" customWidth="1"/>
    <col min="10508" max="10508" width="13" style="1009" customWidth="1"/>
    <col min="10509" max="10510" width="0" style="1009" hidden="1" customWidth="1"/>
    <col min="10511" max="10511" width="12" style="1009" bestFit="1" customWidth="1"/>
    <col min="10512" max="10513" width="0" style="1009" hidden="1" customWidth="1"/>
    <col min="10514" max="10514" width="13" style="1009" bestFit="1" customWidth="1"/>
    <col min="10515" max="10516" width="0" style="1009" hidden="1" customWidth="1"/>
    <col min="10517" max="10517" width="10.42578125" style="1009" customWidth="1"/>
    <col min="10518" max="10519" width="0" style="1009" hidden="1" customWidth="1"/>
    <col min="10520" max="10520" width="12" style="1009" bestFit="1" customWidth="1"/>
    <col min="10521" max="10522" width="0" style="1009" hidden="1" customWidth="1"/>
    <col min="10523" max="10523" width="10.85546875" style="1009" bestFit="1" customWidth="1"/>
    <col min="10524" max="10525" width="0" style="1009" hidden="1" customWidth="1"/>
    <col min="10526" max="10526" width="12" style="1009" bestFit="1" customWidth="1"/>
    <col min="10527" max="10528" width="0" style="1009" hidden="1" customWidth="1"/>
    <col min="10529" max="10727" width="11.42578125" style="1009"/>
    <col min="10728" max="10728" width="4.7109375" style="1009" customWidth="1"/>
    <col min="10729" max="10729" width="6" style="1009" customWidth="1"/>
    <col min="10730" max="10730" width="13.42578125" style="1009" customWidth="1"/>
    <col min="10731" max="10731" width="42" style="1009" customWidth="1"/>
    <col min="10732" max="10739" width="0" style="1009" hidden="1" customWidth="1"/>
    <col min="10740" max="10740" width="17.140625" style="1009" customWidth="1"/>
    <col min="10741" max="10741" width="11.5703125" style="1009" bestFit="1" customWidth="1"/>
    <col min="10742" max="10745" width="0" style="1009" hidden="1" customWidth="1"/>
    <col min="10746" max="10746" width="8.7109375" style="1009" customWidth="1"/>
    <col min="10747" max="10747" width="5.7109375" style="1009" customWidth="1"/>
    <col min="10748" max="10748" width="0" style="1009" hidden="1" customWidth="1"/>
    <col min="10749" max="10749" width="16.28515625" style="1009" bestFit="1" customWidth="1"/>
    <col min="10750" max="10751" width="0" style="1009" hidden="1" customWidth="1"/>
    <col min="10752" max="10752" width="12.7109375" style="1009" customWidth="1"/>
    <col min="10753" max="10754" width="0" style="1009" hidden="1" customWidth="1"/>
    <col min="10755" max="10755" width="11.42578125" style="1009"/>
    <col min="10756" max="10757" width="0" style="1009" hidden="1" customWidth="1"/>
    <col min="10758" max="10758" width="14.28515625" style="1009" customWidth="1"/>
    <col min="10759" max="10760" width="0" style="1009" hidden="1" customWidth="1"/>
    <col min="10761" max="10761" width="12" style="1009" bestFit="1" customWidth="1"/>
    <col min="10762" max="10763" width="0" style="1009" hidden="1" customWidth="1"/>
    <col min="10764" max="10764" width="13" style="1009" customWidth="1"/>
    <col min="10765" max="10766" width="0" style="1009" hidden="1" customWidth="1"/>
    <col min="10767" max="10767" width="12" style="1009" bestFit="1" customWidth="1"/>
    <col min="10768" max="10769" width="0" style="1009" hidden="1" customWidth="1"/>
    <col min="10770" max="10770" width="13" style="1009" bestFit="1" customWidth="1"/>
    <col min="10771" max="10772" width="0" style="1009" hidden="1" customWidth="1"/>
    <col min="10773" max="10773" width="10.42578125" style="1009" customWidth="1"/>
    <col min="10774" max="10775" width="0" style="1009" hidden="1" customWidth="1"/>
    <col min="10776" max="10776" width="12" style="1009" bestFit="1" customWidth="1"/>
    <col min="10777" max="10778" width="0" style="1009" hidden="1" customWidth="1"/>
    <col min="10779" max="10779" width="10.85546875" style="1009" bestFit="1" customWidth="1"/>
    <col min="10780" max="10781" width="0" style="1009" hidden="1" customWidth="1"/>
    <col min="10782" max="10782" width="12" style="1009" bestFit="1" customWidth="1"/>
    <col min="10783" max="10784" width="0" style="1009" hidden="1" customWidth="1"/>
    <col min="10785" max="10983" width="11.42578125" style="1009"/>
    <col min="10984" max="10984" width="4.7109375" style="1009" customWidth="1"/>
    <col min="10985" max="10985" width="6" style="1009" customWidth="1"/>
    <col min="10986" max="10986" width="13.42578125" style="1009" customWidth="1"/>
    <col min="10987" max="10987" width="42" style="1009" customWidth="1"/>
    <col min="10988" max="10995" width="0" style="1009" hidden="1" customWidth="1"/>
    <col min="10996" max="10996" width="17.140625" style="1009" customWidth="1"/>
    <col min="10997" max="10997" width="11.5703125" style="1009" bestFit="1" customWidth="1"/>
    <col min="10998" max="11001" width="0" style="1009" hidden="1" customWidth="1"/>
    <col min="11002" max="11002" width="8.7109375" style="1009" customWidth="1"/>
    <col min="11003" max="11003" width="5.7109375" style="1009" customWidth="1"/>
    <col min="11004" max="11004" width="0" style="1009" hidden="1" customWidth="1"/>
    <col min="11005" max="11005" width="16.28515625" style="1009" bestFit="1" customWidth="1"/>
    <col min="11006" max="11007" width="0" style="1009" hidden="1" customWidth="1"/>
    <col min="11008" max="11008" width="12.7109375" style="1009" customWidth="1"/>
    <col min="11009" max="11010" width="0" style="1009" hidden="1" customWidth="1"/>
    <col min="11011" max="11011" width="11.42578125" style="1009"/>
    <col min="11012" max="11013" width="0" style="1009" hidden="1" customWidth="1"/>
    <col min="11014" max="11014" width="14.28515625" style="1009" customWidth="1"/>
    <col min="11015" max="11016" width="0" style="1009" hidden="1" customWidth="1"/>
    <col min="11017" max="11017" width="12" style="1009" bestFit="1" customWidth="1"/>
    <col min="11018" max="11019" width="0" style="1009" hidden="1" customWidth="1"/>
    <col min="11020" max="11020" width="13" style="1009" customWidth="1"/>
    <col min="11021" max="11022" width="0" style="1009" hidden="1" customWidth="1"/>
    <col min="11023" max="11023" width="12" style="1009" bestFit="1" customWidth="1"/>
    <col min="11024" max="11025" width="0" style="1009" hidden="1" customWidth="1"/>
    <col min="11026" max="11026" width="13" style="1009" bestFit="1" customWidth="1"/>
    <col min="11027" max="11028" width="0" style="1009" hidden="1" customWidth="1"/>
    <col min="11029" max="11029" width="10.42578125" style="1009" customWidth="1"/>
    <col min="11030" max="11031" width="0" style="1009" hidden="1" customWidth="1"/>
    <col min="11032" max="11032" width="12" style="1009" bestFit="1" customWidth="1"/>
    <col min="11033" max="11034" width="0" style="1009" hidden="1" customWidth="1"/>
    <col min="11035" max="11035" width="10.85546875" style="1009" bestFit="1" customWidth="1"/>
    <col min="11036" max="11037" width="0" style="1009" hidden="1" customWidth="1"/>
    <col min="11038" max="11038" width="12" style="1009" bestFit="1" customWidth="1"/>
    <col min="11039" max="11040" width="0" style="1009" hidden="1" customWidth="1"/>
    <col min="11041" max="11239" width="11.42578125" style="1009"/>
    <col min="11240" max="11240" width="4.7109375" style="1009" customWidth="1"/>
    <col min="11241" max="11241" width="6" style="1009" customWidth="1"/>
    <col min="11242" max="11242" width="13.42578125" style="1009" customWidth="1"/>
    <col min="11243" max="11243" width="42" style="1009" customWidth="1"/>
    <col min="11244" max="11251" width="0" style="1009" hidden="1" customWidth="1"/>
    <col min="11252" max="11252" width="17.140625" style="1009" customWidth="1"/>
    <col min="11253" max="11253" width="11.5703125" style="1009" bestFit="1" customWidth="1"/>
    <col min="11254" max="11257" width="0" style="1009" hidden="1" customWidth="1"/>
    <col min="11258" max="11258" width="8.7109375" style="1009" customWidth="1"/>
    <col min="11259" max="11259" width="5.7109375" style="1009" customWidth="1"/>
    <col min="11260" max="11260" width="0" style="1009" hidden="1" customWidth="1"/>
    <col min="11261" max="11261" width="16.28515625" style="1009" bestFit="1" customWidth="1"/>
    <col min="11262" max="11263" width="0" style="1009" hidden="1" customWidth="1"/>
    <col min="11264" max="11264" width="12.7109375" style="1009" customWidth="1"/>
    <col min="11265" max="11266" width="0" style="1009" hidden="1" customWidth="1"/>
    <col min="11267" max="11267" width="11.42578125" style="1009"/>
    <col min="11268" max="11269" width="0" style="1009" hidden="1" customWidth="1"/>
    <col min="11270" max="11270" width="14.28515625" style="1009" customWidth="1"/>
    <col min="11271" max="11272" width="0" style="1009" hidden="1" customWidth="1"/>
    <col min="11273" max="11273" width="12" style="1009" bestFit="1" customWidth="1"/>
    <col min="11274" max="11275" width="0" style="1009" hidden="1" customWidth="1"/>
    <col min="11276" max="11276" width="13" style="1009" customWidth="1"/>
    <col min="11277" max="11278" width="0" style="1009" hidden="1" customWidth="1"/>
    <col min="11279" max="11279" width="12" style="1009" bestFit="1" customWidth="1"/>
    <col min="11280" max="11281" width="0" style="1009" hidden="1" customWidth="1"/>
    <col min="11282" max="11282" width="13" style="1009" bestFit="1" customWidth="1"/>
    <col min="11283" max="11284" width="0" style="1009" hidden="1" customWidth="1"/>
    <col min="11285" max="11285" width="10.42578125" style="1009" customWidth="1"/>
    <col min="11286" max="11287" width="0" style="1009" hidden="1" customWidth="1"/>
    <col min="11288" max="11288" width="12" style="1009" bestFit="1" customWidth="1"/>
    <col min="11289" max="11290" width="0" style="1009" hidden="1" customWidth="1"/>
    <col min="11291" max="11291" width="10.85546875" style="1009" bestFit="1" customWidth="1"/>
    <col min="11292" max="11293" width="0" style="1009" hidden="1" customWidth="1"/>
    <col min="11294" max="11294" width="12" style="1009" bestFit="1" customWidth="1"/>
    <col min="11295" max="11296" width="0" style="1009" hidden="1" customWidth="1"/>
    <col min="11297" max="11495" width="11.42578125" style="1009"/>
    <col min="11496" max="11496" width="4.7109375" style="1009" customWidth="1"/>
    <col min="11497" max="11497" width="6" style="1009" customWidth="1"/>
    <col min="11498" max="11498" width="13.42578125" style="1009" customWidth="1"/>
    <col min="11499" max="11499" width="42" style="1009" customWidth="1"/>
    <col min="11500" max="11507" width="0" style="1009" hidden="1" customWidth="1"/>
    <col min="11508" max="11508" width="17.140625" style="1009" customWidth="1"/>
    <col min="11509" max="11509" width="11.5703125" style="1009" bestFit="1" customWidth="1"/>
    <col min="11510" max="11513" width="0" style="1009" hidden="1" customWidth="1"/>
    <col min="11514" max="11514" width="8.7109375" style="1009" customWidth="1"/>
    <col min="11515" max="11515" width="5.7109375" style="1009" customWidth="1"/>
    <col min="11516" max="11516" width="0" style="1009" hidden="1" customWidth="1"/>
    <col min="11517" max="11517" width="16.28515625" style="1009" bestFit="1" customWidth="1"/>
    <col min="11518" max="11519" width="0" style="1009" hidden="1" customWidth="1"/>
    <col min="11520" max="11520" width="12.7109375" style="1009" customWidth="1"/>
    <col min="11521" max="11522" width="0" style="1009" hidden="1" customWidth="1"/>
    <col min="11523" max="11523" width="11.42578125" style="1009"/>
    <col min="11524" max="11525" width="0" style="1009" hidden="1" customWidth="1"/>
    <col min="11526" max="11526" width="14.28515625" style="1009" customWidth="1"/>
    <col min="11527" max="11528" width="0" style="1009" hidden="1" customWidth="1"/>
    <col min="11529" max="11529" width="12" style="1009" bestFit="1" customWidth="1"/>
    <col min="11530" max="11531" width="0" style="1009" hidden="1" customWidth="1"/>
    <col min="11532" max="11532" width="13" style="1009" customWidth="1"/>
    <col min="11533" max="11534" width="0" style="1009" hidden="1" customWidth="1"/>
    <col min="11535" max="11535" width="12" style="1009" bestFit="1" customWidth="1"/>
    <col min="11536" max="11537" width="0" style="1009" hidden="1" customWidth="1"/>
    <col min="11538" max="11538" width="13" style="1009" bestFit="1" customWidth="1"/>
    <col min="11539" max="11540" width="0" style="1009" hidden="1" customWidth="1"/>
    <col min="11541" max="11541" width="10.42578125" style="1009" customWidth="1"/>
    <col min="11542" max="11543" width="0" style="1009" hidden="1" customWidth="1"/>
    <col min="11544" max="11544" width="12" style="1009" bestFit="1" customWidth="1"/>
    <col min="11545" max="11546" width="0" style="1009" hidden="1" customWidth="1"/>
    <col min="11547" max="11547" width="10.85546875" style="1009" bestFit="1" customWidth="1"/>
    <col min="11548" max="11549" width="0" style="1009" hidden="1" customWidth="1"/>
    <col min="11550" max="11550" width="12" style="1009" bestFit="1" customWidth="1"/>
    <col min="11551" max="11552" width="0" style="1009" hidden="1" customWidth="1"/>
    <col min="11553" max="11751" width="11.42578125" style="1009"/>
    <col min="11752" max="11752" width="4.7109375" style="1009" customWidth="1"/>
    <col min="11753" max="11753" width="6" style="1009" customWidth="1"/>
    <col min="11754" max="11754" width="13.42578125" style="1009" customWidth="1"/>
    <col min="11755" max="11755" width="42" style="1009" customWidth="1"/>
    <col min="11756" max="11763" width="0" style="1009" hidden="1" customWidth="1"/>
    <col min="11764" max="11764" width="17.140625" style="1009" customWidth="1"/>
    <col min="11765" max="11765" width="11.5703125" style="1009" bestFit="1" customWidth="1"/>
    <col min="11766" max="11769" width="0" style="1009" hidden="1" customWidth="1"/>
    <col min="11770" max="11770" width="8.7109375" style="1009" customWidth="1"/>
    <col min="11771" max="11771" width="5.7109375" style="1009" customWidth="1"/>
    <col min="11772" max="11772" width="0" style="1009" hidden="1" customWidth="1"/>
    <col min="11773" max="11773" width="16.28515625" style="1009" bestFit="1" customWidth="1"/>
    <col min="11774" max="11775" width="0" style="1009" hidden="1" customWidth="1"/>
    <col min="11776" max="11776" width="12.7109375" style="1009" customWidth="1"/>
    <col min="11777" max="11778" width="0" style="1009" hidden="1" customWidth="1"/>
    <col min="11779" max="11779" width="11.42578125" style="1009"/>
    <col min="11780" max="11781" width="0" style="1009" hidden="1" customWidth="1"/>
    <col min="11782" max="11782" width="14.28515625" style="1009" customWidth="1"/>
    <col min="11783" max="11784" width="0" style="1009" hidden="1" customWidth="1"/>
    <col min="11785" max="11785" width="12" style="1009" bestFit="1" customWidth="1"/>
    <col min="11786" max="11787" width="0" style="1009" hidden="1" customWidth="1"/>
    <col min="11788" max="11788" width="13" style="1009" customWidth="1"/>
    <col min="11789" max="11790" width="0" style="1009" hidden="1" customWidth="1"/>
    <col min="11791" max="11791" width="12" style="1009" bestFit="1" customWidth="1"/>
    <col min="11792" max="11793" width="0" style="1009" hidden="1" customWidth="1"/>
    <col min="11794" max="11794" width="13" style="1009" bestFit="1" customWidth="1"/>
    <col min="11795" max="11796" width="0" style="1009" hidden="1" customWidth="1"/>
    <col min="11797" max="11797" width="10.42578125" style="1009" customWidth="1"/>
    <col min="11798" max="11799" width="0" style="1009" hidden="1" customWidth="1"/>
    <col min="11800" max="11800" width="12" style="1009" bestFit="1" customWidth="1"/>
    <col min="11801" max="11802" width="0" style="1009" hidden="1" customWidth="1"/>
    <col min="11803" max="11803" width="10.85546875" style="1009" bestFit="1" customWidth="1"/>
    <col min="11804" max="11805" width="0" style="1009" hidden="1" customWidth="1"/>
    <col min="11806" max="11806" width="12" style="1009" bestFit="1" customWidth="1"/>
    <col min="11807" max="11808" width="0" style="1009" hidden="1" customWidth="1"/>
    <col min="11809" max="12007" width="11.42578125" style="1009"/>
    <col min="12008" max="12008" width="4.7109375" style="1009" customWidth="1"/>
    <col min="12009" max="12009" width="6" style="1009" customWidth="1"/>
    <col min="12010" max="12010" width="13.42578125" style="1009" customWidth="1"/>
    <col min="12011" max="12011" width="42" style="1009" customWidth="1"/>
    <col min="12012" max="12019" width="0" style="1009" hidden="1" customWidth="1"/>
    <col min="12020" max="12020" width="17.140625" style="1009" customWidth="1"/>
    <col min="12021" max="12021" width="11.5703125" style="1009" bestFit="1" customWidth="1"/>
    <col min="12022" max="12025" width="0" style="1009" hidden="1" customWidth="1"/>
    <col min="12026" max="12026" width="8.7109375" style="1009" customWidth="1"/>
    <col min="12027" max="12027" width="5.7109375" style="1009" customWidth="1"/>
    <col min="12028" max="12028" width="0" style="1009" hidden="1" customWidth="1"/>
    <col min="12029" max="12029" width="16.28515625" style="1009" bestFit="1" customWidth="1"/>
    <col min="12030" max="12031" width="0" style="1009" hidden="1" customWidth="1"/>
    <col min="12032" max="12032" width="12.7109375" style="1009" customWidth="1"/>
    <col min="12033" max="12034" width="0" style="1009" hidden="1" customWidth="1"/>
    <col min="12035" max="12035" width="11.42578125" style="1009"/>
    <col min="12036" max="12037" width="0" style="1009" hidden="1" customWidth="1"/>
    <col min="12038" max="12038" width="14.28515625" style="1009" customWidth="1"/>
    <col min="12039" max="12040" width="0" style="1009" hidden="1" customWidth="1"/>
    <col min="12041" max="12041" width="12" style="1009" bestFit="1" customWidth="1"/>
    <col min="12042" max="12043" width="0" style="1009" hidden="1" customWidth="1"/>
    <col min="12044" max="12044" width="13" style="1009" customWidth="1"/>
    <col min="12045" max="12046" width="0" style="1009" hidden="1" customWidth="1"/>
    <col min="12047" max="12047" width="12" style="1009" bestFit="1" customWidth="1"/>
    <col min="12048" max="12049" width="0" style="1009" hidden="1" customWidth="1"/>
    <col min="12050" max="12050" width="13" style="1009" bestFit="1" customWidth="1"/>
    <col min="12051" max="12052" width="0" style="1009" hidden="1" customWidth="1"/>
    <col min="12053" max="12053" width="10.42578125" style="1009" customWidth="1"/>
    <col min="12054" max="12055" width="0" style="1009" hidden="1" customWidth="1"/>
    <col min="12056" max="12056" width="12" style="1009" bestFit="1" customWidth="1"/>
    <col min="12057" max="12058" width="0" style="1009" hidden="1" customWidth="1"/>
    <col min="12059" max="12059" width="10.85546875" style="1009" bestFit="1" customWidth="1"/>
    <col min="12060" max="12061" width="0" style="1009" hidden="1" customWidth="1"/>
    <col min="12062" max="12062" width="12" style="1009" bestFit="1" customWidth="1"/>
    <col min="12063" max="12064" width="0" style="1009" hidden="1" customWidth="1"/>
    <col min="12065" max="12263" width="11.42578125" style="1009"/>
    <col min="12264" max="12264" width="4.7109375" style="1009" customWidth="1"/>
    <col min="12265" max="12265" width="6" style="1009" customWidth="1"/>
    <col min="12266" max="12266" width="13.42578125" style="1009" customWidth="1"/>
    <col min="12267" max="12267" width="42" style="1009" customWidth="1"/>
    <col min="12268" max="12275" width="0" style="1009" hidden="1" customWidth="1"/>
    <col min="12276" max="12276" width="17.140625" style="1009" customWidth="1"/>
    <col min="12277" max="12277" width="11.5703125" style="1009" bestFit="1" customWidth="1"/>
    <col min="12278" max="12281" width="0" style="1009" hidden="1" customWidth="1"/>
    <col min="12282" max="12282" width="8.7109375" style="1009" customWidth="1"/>
    <col min="12283" max="12283" width="5.7109375" style="1009" customWidth="1"/>
    <col min="12284" max="12284" width="0" style="1009" hidden="1" customWidth="1"/>
    <col min="12285" max="12285" width="16.28515625" style="1009" bestFit="1" customWidth="1"/>
    <col min="12286" max="12287" width="0" style="1009" hidden="1" customWidth="1"/>
    <col min="12288" max="12288" width="12.7109375" style="1009" customWidth="1"/>
    <col min="12289" max="12290" width="0" style="1009" hidden="1" customWidth="1"/>
    <col min="12291" max="12291" width="11.42578125" style="1009"/>
    <col min="12292" max="12293" width="0" style="1009" hidden="1" customWidth="1"/>
    <col min="12294" max="12294" width="14.28515625" style="1009" customWidth="1"/>
    <col min="12295" max="12296" width="0" style="1009" hidden="1" customWidth="1"/>
    <col min="12297" max="12297" width="12" style="1009" bestFit="1" customWidth="1"/>
    <col min="12298" max="12299" width="0" style="1009" hidden="1" customWidth="1"/>
    <col min="12300" max="12300" width="13" style="1009" customWidth="1"/>
    <col min="12301" max="12302" width="0" style="1009" hidden="1" customWidth="1"/>
    <col min="12303" max="12303" width="12" style="1009" bestFit="1" customWidth="1"/>
    <col min="12304" max="12305" width="0" style="1009" hidden="1" customWidth="1"/>
    <col min="12306" max="12306" width="13" style="1009" bestFit="1" customWidth="1"/>
    <col min="12307" max="12308" width="0" style="1009" hidden="1" customWidth="1"/>
    <col min="12309" max="12309" width="10.42578125" style="1009" customWidth="1"/>
    <col min="12310" max="12311" width="0" style="1009" hidden="1" customWidth="1"/>
    <col min="12312" max="12312" width="12" style="1009" bestFit="1" customWidth="1"/>
    <col min="12313" max="12314" width="0" style="1009" hidden="1" customWidth="1"/>
    <col min="12315" max="12315" width="10.85546875" style="1009" bestFit="1" customWidth="1"/>
    <col min="12316" max="12317" width="0" style="1009" hidden="1" customWidth="1"/>
    <col min="12318" max="12318" width="12" style="1009" bestFit="1" customWidth="1"/>
    <col min="12319" max="12320" width="0" style="1009" hidden="1" customWidth="1"/>
    <col min="12321" max="12519" width="11.42578125" style="1009"/>
    <col min="12520" max="12520" width="4.7109375" style="1009" customWidth="1"/>
    <col min="12521" max="12521" width="6" style="1009" customWidth="1"/>
    <col min="12522" max="12522" width="13.42578125" style="1009" customWidth="1"/>
    <col min="12523" max="12523" width="42" style="1009" customWidth="1"/>
    <col min="12524" max="12531" width="0" style="1009" hidden="1" customWidth="1"/>
    <col min="12532" max="12532" width="17.140625" style="1009" customWidth="1"/>
    <col min="12533" max="12533" width="11.5703125" style="1009" bestFit="1" customWidth="1"/>
    <col min="12534" max="12537" width="0" style="1009" hidden="1" customWidth="1"/>
    <col min="12538" max="12538" width="8.7109375" style="1009" customWidth="1"/>
    <col min="12539" max="12539" width="5.7109375" style="1009" customWidth="1"/>
    <col min="12540" max="12540" width="0" style="1009" hidden="1" customWidth="1"/>
    <col min="12541" max="12541" width="16.28515625" style="1009" bestFit="1" customWidth="1"/>
    <col min="12542" max="12543" width="0" style="1009" hidden="1" customWidth="1"/>
    <col min="12544" max="12544" width="12.7109375" style="1009" customWidth="1"/>
    <col min="12545" max="12546" width="0" style="1009" hidden="1" customWidth="1"/>
    <col min="12547" max="12547" width="11.42578125" style="1009"/>
    <col min="12548" max="12549" width="0" style="1009" hidden="1" customWidth="1"/>
    <col min="12550" max="12550" width="14.28515625" style="1009" customWidth="1"/>
    <col min="12551" max="12552" width="0" style="1009" hidden="1" customWidth="1"/>
    <col min="12553" max="12553" width="12" style="1009" bestFit="1" customWidth="1"/>
    <col min="12554" max="12555" width="0" style="1009" hidden="1" customWidth="1"/>
    <col min="12556" max="12556" width="13" style="1009" customWidth="1"/>
    <col min="12557" max="12558" width="0" style="1009" hidden="1" customWidth="1"/>
    <col min="12559" max="12559" width="12" style="1009" bestFit="1" customWidth="1"/>
    <col min="12560" max="12561" width="0" style="1009" hidden="1" customWidth="1"/>
    <col min="12562" max="12562" width="13" style="1009" bestFit="1" customWidth="1"/>
    <col min="12563" max="12564" width="0" style="1009" hidden="1" customWidth="1"/>
    <col min="12565" max="12565" width="10.42578125" style="1009" customWidth="1"/>
    <col min="12566" max="12567" width="0" style="1009" hidden="1" customWidth="1"/>
    <col min="12568" max="12568" width="12" style="1009" bestFit="1" customWidth="1"/>
    <col min="12569" max="12570" width="0" style="1009" hidden="1" customWidth="1"/>
    <col min="12571" max="12571" width="10.85546875" style="1009" bestFit="1" customWidth="1"/>
    <col min="12572" max="12573" width="0" style="1009" hidden="1" customWidth="1"/>
    <col min="12574" max="12574" width="12" style="1009" bestFit="1" customWidth="1"/>
    <col min="12575" max="12576" width="0" style="1009" hidden="1" customWidth="1"/>
    <col min="12577" max="12775" width="11.42578125" style="1009"/>
    <col min="12776" max="12776" width="4.7109375" style="1009" customWidth="1"/>
    <col min="12777" max="12777" width="6" style="1009" customWidth="1"/>
    <col min="12778" max="12778" width="13.42578125" style="1009" customWidth="1"/>
    <col min="12779" max="12779" width="42" style="1009" customWidth="1"/>
    <col min="12780" max="12787" width="0" style="1009" hidden="1" customWidth="1"/>
    <col min="12788" max="12788" width="17.140625" style="1009" customWidth="1"/>
    <col min="12789" max="12789" width="11.5703125" style="1009" bestFit="1" customWidth="1"/>
    <col min="12790" max="12793" width="0" style="1009" hidden="1" customWidth="1"/>
    <col min="12794" max="12794" width="8.7109375" style="1009" customWidth="1"/>
    <col min="12795" max="12795" width="5.7109375" style="1009" customWidth="1"/>
    <col min="12796" max="12796" width="0" style="1009" hidden="1" customWidth="1"/>
    <col min="12797" max="12797" width="16.28515625" style="1009" bestFit="1" customWidth="1"/>
    <col min="12798" max="12799" width="0" style="1009" hidden="1" customWidth="1"/>
    <col min="12800" max="12800" width="12.7109375" style="1009" customWidth="1"/>
    <col min="12801" max="12802" width="0" style="1009" hidden="1" customWidth="1"/>
    <col min="12803" max="12803" width="11.42578125" style="1009"/>
    <col min="12804" max="12805" width="0" style="1009" hidden="1" customWidth="1"/>
    <col min="12806" max="12806" width="14.28515625" style="1009" customWidth="1"/>
    <col min="12807" max="12808" width="0" style="1009" hidden="1" customWidth="1"/>
    <col min="12809" max="12809" width="12" style="1009" bestFit="1" customWidth="1"/>
    <col min="12810" max="12811" width="0" style="1009" hidden="1" customWidth="1"/>
    <col min="12812" max="12812" width="13" style="1009" customWidth="1"/>
    <col min="12813" max="12814" width="0" style="1009" hidden="1" customWidth="1"/>
    <col min="12815" max="12815" width="12" style="1009" bestFit="1" customWidth="1"/>
    <col min="12816" max="12817" width="0" style="1009" hidden="1" customWidth="1"/>
    <col min="12818" max="12818" width="13" style="1009" bestFit="1" customWidth="1"/>
    <col min="12819" max="12820" width="0" style="1009" hidden="1" customWidth="1"/>
    <col min="12821" max="12821" width="10.42578125" style="1009" customWidth="1"/>
    <col min="12822" max="12823" width="0" style="1009" hidden="1" customWidth="1"/>
    <col min="12824" max="12824" width="12" style="1009" bestFit="1" customWidth="1"/>
    <col min="12825" max="12826" width="0" style="1009" hidden="1" customWidth="1"/>
    <col min="12827" max="12827" width="10.85546875" style="1009" bestFit="1" customWidth="1"/>
    <col min="12828" max="12829" width="0" style="1009" hidden="1" customWidth="1"/>
    <col min="12830" max="12830" width="12" style="1009" bestFit="1" customWidth="1"/>
    <col min="12831" max="12832" width="0" style="1009" hidden="1" customWidth="1"/>
    <col min="12833" max="13031" width="11.42578125" style="1009"/>
    <col min="13032" max="13032" width="4.7109375" style="1009" customWidth="1"/>
    <col min="13033" max="13033" width="6" style="1009" customWidth="1"/>
    <col min="13034" max="13034" width="13.42578125" style="1009" customWidth="1"/>
    <col min="13035" max="13035" width="42" style="1009" customWidth="1"/>
    <col min="13036" max="13043" width="0" style="1009" hidden="1" customWidth="1"/>
    <col min="13044" max="13044" width="17.140625" style="1009" customWidth="1"/>
    <col min="13045" max="13045" width="11.5703125" style="1009" bestFit="1" customWidth="1"/>
    <col min="13046" max="13049" width="0" style="1009" hidden="1" customWidth="1"/>
    <col min="13050" max="13050" width="8.7109375" style="1009" customWidth="1"/>
    <col min="13051" max="13051" width="5.7109375" style="1009" customWidth="1"/>
    <col min="13052" max="13052" width="0" style="1009" hidden="1" customWidth="1"/>
    <col min="13053" max="13053" width="16.28515625" style="1009" bestFit="1" customWidth="1"/>
    <col min="13054" max="13055" width="0" style="1009" hidden="1" customWidth="1"/>
    <col min="13056" max="13056" width="12.7109375" style="1009" customWidth="1"/>
    <col min="13057" max="13058" width="0" style="1009" hidden="1" customWidth="1"/>
    <col min="13059" max="13059" width="11.42578125" style="1009"/>
    <col min="13060" max="13061" width="0" style="1009" hidden="1" customWidth="1"/>
    <col min="13062" max="13062" width="14.28515625" style="1009" customWidth="1"/>
    <col min="13063" max="13064" width="0" style="1009" hidden="1" customWidth="1"/>
    <col min="13065" max="13065" width="12" style="1009" bestFit="1" customWidth="1"/>
    <col min="13066" max="13067" width="0" style="1009" hidden="1" customWidth="1"/>
    <col min="13068" max="13068" width="13" style="1009" customWidth="1"/>
    <col min="13069" max="13070" width="0" style="1009" hidden="1" customWidth="1"/>
    <col min="13071" max="13071" width="12" style="1009" bestFit="1" customWidth="1"/>
    <col min="13072" max="13073" width="0" style="1009" hidden="1" customWidth="1"/>
    <col min="13074" max="13074" width="13" style="1009" bestFit="1" customWidth="1"/>
    <col min="13075" max="13076" width="0" style="1009" hidden="1" customWidth="1"/>
    <col min="13077" max="13077" width="10.42578125" style="1009" customWidth="1"/>
    <col min="13078" max="13079" width="0" style="1009" hidden="1" customWidth="1"/>
    <col min="13080" max="13080" width="12" style="1009" bestFit="1" customWidth="1"/>
    <col min="13081" max="13082" width="0" style="1009" hidden="1" customWidth="1"/>
    <col min="13083" max="13083" width="10.85546875" style="1009" bestFit="1" customWidth="1"/>
    <col min="13084" max="13085" width="0" style="1009" hidden="1" customWidth="1"/>
    <col min="13086" max="13086" width="12" style="1009" bestFit="1" customWidth="1"/>
    <col min="13087" max="13088" width="0" style="1009" hidden="1" customWidth="1"/>
    <col min="13089" max="13287" width="11.42578125" style="1009"/>
    <col min="13288" max="13288" width="4.7109375" style="1009" customWidth="1"/>
    <col min="13289" max="13289" width="6" style="1009" customWidth="1"/>
    <col min="13290" max="13290" width="13.42578125" style="1009" customWidth="1"/>
    <col min="13291" max="13291" width="42" style="1009" customWidth="1"/>
    <col min="13292" max="13299" width="0" style="1009" hidden="1" customWidth="1"/>
    <col min="13300" max="13300" width="17.140625" style="1009" customWidth="1"/>
    <col min="13301" max="13301" width="11.5703125" style="1009" bestFit="1" customWidth="1"/>
    <col min="13302" max="13305" width="0" style="1009" hidden="1" customWidth="1"/>
    <col min="13306" max="13306" width="8.7109375" style="1009" customWidth="1"/>
    <col min="13307" max="13307" width="5.7109375" style="1009" customWidth="1"/>
    <col min="13308" max="13308" width="0" style="1009" hidden="1" customWidth="1"/>
    <col min="13309" max="13309" width="16.28515625" style="1009" bestFit="1" customWidth="1"/>
    <col min="13310" max="13311" width="0" style="1009" hidden="1" customWidth="1"/>
    <col min="13312" max="13312" width="12.7109375" style="1009" customWidth="1"/>
    <col min="13313" max="13314" width="0" style="1009" hidden="1" customWidth="1"/>
    <col min="13315" max="13315" width="11.42578125" style="1009"/>
    <col min="13316" max="13317" width="0" style="1009" hidden="1" customWidth="1"/>
    <col min="13318" max="13318" width="14.28515625" style="1009" customWidth="1"/>
    <col min="13319" max="13320" width="0" style="1009" hidden="1" customWidth="1"/>
    <col min="13321" max="13321" width="12" style="1009" bestFit="1" customWidth="1"/>
    <col min="13322" max="13323" width="0" style="1009" hidden="1" customWidth="1"/>
    <col min="13324" max="13324" width="13" style="1009" customWidth="1"/>
    <col min="13325" max="13326" width="0" style="1009" hidden="1" customWidth="1"/>
    <col min="13327" max="13327" width="12" style="1009" bestFit="1" customWidth="1"/>
    <col min="13328" max="13329" width="0" style="1009" hidden="1" customWidth="1"/>
    <col min="13330" max="13330" width="13" style="1009" bestFit="1" customWidth="1"/>
    <col min="13331" max="13332" width="0" style="1009" hidden="1" customWidth="1"/>
    <col min="13333" max="13333" width="10.42578125" style="1009" customWidth="1"/>
    <col min="13334" max="13335" width="0" style="1009" hidden="1" customWidth="1"/>
    <col min="13336" max="13336" width="12" style="1009" bestFit="1" customWidth="1"/>
    <col min="13337" max="13338" width="0" style="1009" hidden="1" customWidth="1"/>
    <col min="13339" max="13339" width="10.85546875" style="1009" bestFit="1" customWidth="1"/>
    <col min="13340" max="13341" width="0" style="1009" hidden="1" customWidth="1"/>
    <col min="13342" max="13342" width="12" style="1009" bestFit="1" customWidth="1"/>
    <col min="13343" max="13344" width="0" style="1009" hidden="1" customWidth="1"/>
    <col min="13345" max="13543" width="11.42578125" style="1009"/>
    <col min="13544" max="13544" width="4.7109375" style="1009" customWidth="1"/>
    <col min="13545" max="13545" width="6" style="1009" customWidth="1"/>
    <col min="13546" max="13546" width="13.42578125" style="1009" customWidth="1"/>
    <col min="13547" max="13547" width="42" style="1009" customWidth="1"/>
    <col min="13548" max="13555" width="0" style="1009" hidden="1" customWidth="1"/>
    <col min="13556" max="13556" width="17.140625" style="1009" customWidth="1"/>
    <col min="13557" max="13557" width="11.5703125" style="1009" bestFit="1" customWidth="1"/>
    <col min="13558" max="13561" width="0" style="1009" hidden="1" customWidth="1"/>
    <col min="13562" max="13562" width="8.7109375" style="1009" customWidth="1"/>
    <col min="13563" max="13563" width="5.7109375" style="1009" customWidth="1"/>
    <col min="13564" max="13564" width="0" style="1009" hidden="1" customWidth="1"/>
    <col min="13565" max="13565" width="16.28515625" style="1009" bestFit="1" customWidth="1"/>
    <col min="13566" max="13567" width="0" style="1009" hidden="1" customWidth="1"/>
    <col min="13568" max="13568" width="12.7109375" style="1009" customWidth="1"/>
    <col min="13569" max="13570" width="0" style="1009" hidden="1" customWidth="1"/>
    <col min="13571" max="13571" width="11.42578125" style="1009"/>
    <col min="13572" max="13573" width="0" style="1009" hidden="1" customWidth="1"/>
    <col min="13574" max="13574" width="14.28515625" style="1009" customWidth="1"/>
    <col min="13575" max="13576" width="0" style="1009" hidden="1" customWidth="1"/>
    <col min="13577" max="13577" width="12" style="1009" bestFit="1" customWidth="1"/>
    <col min="13578" max="13579" width="0" style="1009" hidden="1" customWidth="1"/>
    <col min="13580" max="13580" width="13" style="1009" customWidth="1"/>
    <col min="13581" max="13582" width="0" style="1009" hidden="1" customWidth="1"/>
    <col min="13583" max="13583" width="12" style="1009" bestFit="1" customWidth="1"/>
    <col min="13584" max="13585" width="0" style="1009" hidden="1" customWidth="1"/>
    <col min="13586" max="13586" width="13" style="1009" bestFit="1" customWidth="1"/>
    <col min="13587" max="13588" width="0" style="1009" hidden="1" customWidth="1"/>
    <col min="13589" max="13589" width="10.42578125" style="1009" customWidth="1"/>
    <col min="13590" max="13591" width="0" style="1009" hidden="1" customWidth="1"/>
    <col min="13592" max="13592" width="12" style="1009" bestFit="1" customWidth="1"/>
    <col min="13593" max="13594" width="0" style="1009" hidden="1" customWidth="1"/>
    <col min="13595" max="13595" width="10.85546875" style="1009" bestFit="1" customWidth="1"/>
    <col min="13596" max="13597" width="0" style="1009" hidden="1" customWidth="1"/>
    <col min="13598" max="13598" width="12" style="1009" bestFit="1" customWidth="1"/>
    <col min="13599" max="13600" width="0" style="1009" hidden="1" customWidth="1"/>
    <col min="13601" max="13799" width="11.42578125" style="1009"/>
    <col min="13800" max="13800" width="4.7109375" style="1009" customWidth="1"/>
    <col min="13801" max="13801" width="6" style="1009" customWidth="1"/>
    <col min="13802" max="13802" width="13.42578125" style="1009" customWidth="1"/>
    <col min="13803" max="13803" width="42" style="1009" customWidth="1"/>
    <col min="13804" max="13811" width="0" style="1009" hidden="1" customWidth="1"/>
    <col min="13812" max="13812" width="17.140625" style="1009" customWidth="1"/>
    <col min="13813" max="13813" width="11.5703125" style="1009" bestFit="1" customWidth="1"/>
    <col min="13814" max="13817" width="0" style="1009" hidden="1" customWidth="1"/>
    <col min="13818" max="13818" width="8.7109375" style="1009" customWidth="1"/>
    <col min="13819" max="13819" width="5.7109375" style="1009" customWidth="1"/>
    <col min="13820" max="13820" width="0" style="1009" hidden="1" customWidth="1"/>
    <col min="13821" max="13821" width="16.28515625" style="1009" bestFit="1" customWidth="1"/>
    <col min="13822" max="13823" width="0" style="1009" hidden="1" customWidth="1"/>
    <col min="13824" max="13824" width="12.7109375" style="1009" customWidth="1"/>
    <col min="13825" max="13826" width="0" style="1009" hidden="1" customWidth="1"/>
    <col min="13827" max="13827" width="11.42578125" style="1009"/>
    <col min="13828" max="13829" width="0" style="1009" hidden="1" customWidth="1"/>
    <col min="13830" max="13830" width="14.28515625" style="1009" customWidth="1"/>
    <col min="13831" max="13832" width="0" style="1009" hidden="1" customWidth="1"/>
    <col min="13833" max="13833" width="12" style="1009" bestFit="1" customWidth="1"/>
    <col min="13834" max="13835" width="0" style="1009" hidden="1" customWidth="1"/>
    <col min="13836" max="13836" width="13" style="1009" customWidth="1"/>
    <col min="13837" max="13838" width="0" style="1009" hidden="1" customWidth="1"/>
    <col min="13839" max="13839" width="12" style="1009" bestFit="1" customWidth="1"/>
    <col min="13840" max="13841" width="0" style="1009" hidden="1" customWidth="1"/>
    <col min="13842" max="13842" width="13" style="1009" bestFit="1" customWidth="1"/>
    <col min="13843" max="13844" width="0" style="1009" hidden="1" customWidth="1"/>
    <col min="13845" max="13845" width="10.42578125" style="1009" customWidth="1"/>
    <col min="13846" max="13847" width="0" style="1009" hidden="1" customWidth="1"/>
    <col min="13848" max="13848" width="12" style="1009" bestFit="1" customWidth="1"/>
    <col min="13849" max="13850" width="0" style="1009" hidden="1" customWidth="1"/>
    <col min="13851" max="13851" width="10.85546875" style="1009" bestFit="1" customWidth="1"/>
    <col min="13852" max="13853" width="0" style="1009" hidden="1" customWidth="1"/>
    <col min="13854" max="13854" width="12" style="1009" bestFit="1" customWidth="1"/>
    <col min="13855" max="13856" width="0" style="1009" hidden="1" customWidth="1"/>
    <col min="13857" max="14055" width="11.42578125" style="1009"/>
    <col min="14056" max="14056" width="4.7109375" style="1009" customWidth="1"/>
    <col min="14057" max="14057" width="6" style="1009" customWidth="1"/>
    <col min="14058" max="14058" width="13.42578125" style="1009" customWidth="1"/>
    <col min="14059" max="14059" width="42" style="1009" customWidth="1"/>
    <col min="14060" max="14067" width="0" style="1009" hidden="1" customWidth="1"/>
    <col min="14068" max="14068" width="17.140625" style="1009" customWidth="1"/>
    <col min="14069" max="14069" width="11.5703125" style="1009" bestFit="1" customWidth="1"/>
    <col min="14070" max="14073" width="0" style="1009" hidden="1" customWidth="1"/>
    <col min="14074" max="14074" width="8.7109375" style="1009" customWidth="1"/>
    <col min="14075" max="14075" width="5.7109375" style="1009" customWidth="1"/>
    <col min="14076" max="14076" width="0" style="1009" hidden="1" customWidth="1"/>
    <col min="14077" max="14077" width="16.28515625" style="1009" bestFit="1" customWidth="1"/>
    <col min="14078" max="14079" width="0" style="1009" hidden="1" customWidth="1"/>
    <col min="14080" max="14080" width="12.7109375" style="1009" customWidth="1"/>
    <col min="14081" max="14082" width="0" style="1009" hidden="1" customWidth="1"/>
    <col min="14083" max="14083" width="11.42578125" style="1009"/>
    <col min="14084" max="14085" width="0" style="1009" hidden="1" customWidth="1"/>
    <col min="14086" max="14086" width="14.28515625" style="1009" customWidth="1"/>
    <col min="14087" max="14088" width="0" style="1009" hidden="1" customWidth="1"/>
    <col min="14089" max="14089" width="12" style="1009" bestFit="1" customWidth="1"/>
    <col min="14090" max="14091" width="0" style="1009" hidden="1" customWidth="1"/>
    <col min="14092" max="14092" width="13" style="1009" customWidth="1"/>
    <col min="14093" max="14094" width="0" style="1009" hidden="1" customWidth="1"/>
    <col min="14095" max="14095" width="12" style="1009" bestFit="1" customWidth="1"/>
    <col min="14096" max="14097" width="0" style="1009" hidden="1" customWidth="1"/>
    <col min="14098" max="14098" width="13" style="1009" bestFit="1" customWidth="1"/>
    <col min="14099" max="14100" width="0" style="1009" hidden="1" customWidth="1"/>
    <col min="14101" max="14101" width="10.42578125" style="1009" customWidth="1"/>
    <col min="14102" max="14103" width="0" style="1009" hidden="1" customWidth="1"/>
    <col min="14104" max="14104" width="12" style="1009" bestFit="1" customWidth="1"/>
    <col min="14105" max="14106" width="0" style="1009" hidden="1" customWidth="1"/>
    <col min="14107" max="14107" width="10.85546875" style="1009" bestFit="1" customWidth="1"/>
    <col min="14108" max="14109" width="0" style="1009" hidden="1" customWidth="1"/>
    <col min="14110" max="14110" width="12" style="1009" bestFit="1" customWidth="1"/>
    <col min="14111" max="14112" width="0" style="1009" hidden="1" customWidth="1"/>
    <col min="14113" max="14311" width="11.42578125" style="1009"/>
    <col min="14312" max="14312" width="4.7109375" style="1009" customWidth="1"/>
    <col min="14313" max="14313" width="6" style="1009" customWidth="1"/>
    <col min="14314" max="14314" width="13.42578125" style="1009" customWidth="1"/>
    <col min="14315" max="14315" width="42" style="1009" customWidth="1"/>
    <col min="14316" max="14323" width="0" style="1009" hidden="1" customWidth="1"/>
    <col min="14324" max="14324" width="17.140625" style="1009" customWidth="1"/>
    <col min="14325" max="14325" width="11.5703125" style="1009" bestFit="1" customWidth="1"/>
    <col min="14326" max="14329" width="0" style="1009" hidden="1" customWidth="1"/>
    <col min="14330" max="14330" width="8.7109375" style="1009" customWidth="1"/>
    <col min="14331" max="14331" width="5.7109375" style="1009" customWidth="1"/>
    <col min="14332" max="14332" width="0" style="1009" hidden="1" customWidth="1"/>
    <col min="14333" max="14333" width="16.28515625" style="1009" bestFit="1" customWidth="1"/>
    <col min="14334" max="14335" width="0" style="1009" hidden="1" customWidth="1"/>
    <col min="14336" max="14336" width="12.7109375" style="1009" customWidth="1"/>
    <col min="14337" max="14338" width="0" style="1009" hidden="1" customWidth="1"/>
    <col min="14339" max="14339" width="11.42578125" style="1009"/>
    <col min="14340" max="14341" width="0" style="1009" hidden="1" customWidth="1"/>
    <col min="14342" max="14342" width="14.28515625" style="1009" customWidth="1"/>
    <col min="14343" max="14344" width="0" style="1009" hidden="1" customWidth="1"/>
    <col min="14345" max="14345" width="12" style="1009" bestFit="1" customWidth="1"/>
    <col min="14346" max="14347" width="0" style="1009" hidden="1" customWidth="1"/>
    <col min="14348" max="14348" width="13" style="1009" customWidth="1"/>
    <col min="14349" max="14350" width="0" style="1009" hidden="1" customWidth="1"/>
    <col min="14351" max="14351" width="12" style="1009" bestFit="1" customWidth="1"/>
    <col min="14352" max="14353" width="0" style="1009" hidden="1" customWidth="1"/>
    <col min="14354" max="14354" width="13" style="1009" bestFit="1" customWidth="1"/>
    <col min="14355" max="14356" width="0" style="1009" hidden="1" customWidth="1"/>
    <col min="14357" max="14357" width="10.42578125" style="1009" customWidth="1"/>
    <col min="14358" max="14359" width="0" style="1009" hidden="1" customWidth="1"/>
    <col min="14360" max="14360" width="12" style="1009" bestFit="1" customWidth="1"/>
    <col min="14361" max="14362" width="0" style="1009" hidden="1" customWidth="1"/>
    <col min="14363" max="14363" width="10.85546875" style="1009" bestFit="1" customWidth="1"/>
    <col min="14364" max="14365" width="0" style="1009" hidden="1" customWidth="1"/>
    <col min="14366" max="14366" width="12" style="1009" bestFit="1" customWidth="1"/>
    <col min="14367" max="14368" width="0" style="1009" hidden="1" customWidth="1"/>
    <col min="14369" max="14567" width="11.42578125" style="1009"/>
    <col min="14568" max="14568" width="4.7109375" style="1009" customWidth="1"/>
    <col min="14569" max="14569" width="6" style="1009" customWidth="1"/>
    <col min="14570" max="14570" width="13.42578125" style="1009" customWidth="1"/>
    <col min="14571" max="14571" width="42" style="1009" customWidth="1"/>
    <col min="14572" max="14579" width="0" style="1009" hidden="1" customWidth="1"/>
    <col min="14580" max="14580" width="17.140625" style="1009" customWidth="1"/>
    <col min="14581" max="14581" width="11.5703125" style="1009" bestFit="1" customWidth="1"/>
    <col min="14582" max="14585" width="0" style="1009" hidden="1" customWidth="1"/>
    <col min="14586" max="14586" width="8.7109375" style="1009" customWidth="1"/>
    <col min="14587" max="14587" width="5.7109375" style="1009" customWidth="1"/>
    <col min="14588" max="14588" width="0" style="1009" hidden="1" customWidth="1"/>
    <col min="14589" max="14589" width="16.28515625" style="1009" bestFit="1" customWidth="1"/>
    <col min="14590" max="14591" width="0" style="1009" hidden="1" customWidth="1"/>
    <col min="14592" max="14592" width="12.7109375" style="1009" customWidth="1"/>
    <col min="14593" max="14594" width="0" style="1009" hidden="1" customWidth="1"/>
    <col min="14595" max="14595" width="11.42578125" style="1009"/>
    <col min="14596" max="14597" width="0" style="1009" hidden="1" customWidth="1"/>
    <col min="14598" max="14598" width="14.28515625" style="1009" customWidth="1"/>
    <col min="14599" max="14600" width="0" style="1009" hidden="1" customWidth="1"/>
    <col min="14601" max="14601" width="12" style="1009" bestFit="1" customWidth="1"/>
    <col min="14602" max="14603" width="0" style="1009" hidden="1" customWidth="1"/>
    <col min="14604" max="14604" width="13" style="1009" customWidth="1"/>
    <col min="14605" max="14606" width="0" style="1009" hidden="1" customWidth="1"/>
    <col min="14607" max="14607" width="12" style="1009" bestFit="1" customWidth="1"/>
    <col min="14608" max="14609" width="0" style="1009" hidden="1" customWidth="1"/>
    <col min="14610" max="14610" width="13" style="1009" bestFit="1" customWidth="1"/>
    <col min="14611" max="14612" width="0" style="1009" hidden="1" customWidth="1"/>
    <col min="14613" max="14613" width="10.42578125" style="1009" customWidth="1"/>
    <col min="14614" max="14615" width="0" style="1009" hidden="1" customWidth="1"/>
    <col min="14616" max="14616" width="12" style="1009" bestFit="1" customWidth="1"/>
    <col min="14617" max="14618" width="0" style="1009" hidden="1" customWidth="1"/>
    <col min="14619" max="14619" width="10.85546875" style="1009" bestFit="1" customWidth="1"/>
    <col min="14620" max="14621" width="0" style="1009" hidden="1" customWidth="1"/>
    <col min="14622" max="14622" width="12" style="1009" bestFit="1" customWidth="1"/>
    <col min="14623" max="14624" width="0" style="1009" hidden="1" customWidth="1"/>
    <col min="14625" max="14823" width="11.42578125" style="1009"/>
    <col min="14824" max="14824" width="4.7109375" style="1009" customWidth="1"/>
    <col min="14825" max="14825" width="6" style="1009" customWidth="1"/>
    <col min="14826" max="14826" width="13.42578125" style="1009" customWidth="1"/>
    <col min="14827" max="14827" width="42" style="1009" customWidth="1"/>
    <col min="14828" max="14835" width="0" style="1009" hidden="1" customWidth="1"/>
    <col min="14836" max="14836" width="17.140625" style="1009" customWidth="1"/>
    <col min="14837" max="14837" width="11.5703125" style="1009" bestFit="1" customWidth="1"/>
    <col min="14838" max="14841" width="0" style="1009" hidden="1" customWidth="1"/>
    <col min="14842" max="14842" width="8.7109375" style="1009" customWidth="1"/>
    <col min="14843" max="14843" width="5.7109375" style="1009" customWidth="1"/>
    <col min="14844" max="14844" width="0" style="1009" hidden="1" customWidth="1"/>
    <col min="14845" max="14845" width="16.28515625" style="1009" bestFit="1" customWidth="1"/>
    <col min="14846" max="14847" width="0" style="1009" hidden="1" customWidth="1"/>
    <col min="14848" max="14848" width="12.7109375" style="1009" customWidth="1"/>
    <col min="14849" max="14850" width="0" style="1009" hidden="1" customWidth="1"/>
    <col min="14851" max="14851" width="11.42578125" style="1009"/>
    <col min="14852" max="14853" width="0" style="1009" hidden="1" customWidth="1"/>
    <col min="14854" max="14854" width="14.28515625" style="1009" customWidth="1"/>
    <col min="14855" max="14856" width="0" style="1009" hidden="1" customWidth="1"/>
    <col min="14857" max="14857" width="12" style="1009" bestFit="1" customWidth="1"/>
    <col min="14858" max="14859" width="0" style="1009" hidden="1" customWidth="1"/>
    <col min="14860" max="14860" width="13" style="1009" customWidth="1"/>
    <col min="14861" max="14862" width="0" style="1009" hidden="1" customWidth="1"/>
    <col min="14863" max="14863" width="12" style="1009" bestFit="1" customWidth="1"/>
    <col min="14864" max="14865" width="0" style="1009" hidden="1" customWidth="1"/>
    <col min="14866" max="14866" width="13" style="1009" bestFit="1" customWidth="1"/>
    <col min="14867" max="14868" width="0" style="1009" hidden="1" customWidth="1"/>
    <col min="14869" max="14869" width="10.42578125" style="1009" customWidth="1"/>
    <col min="14870" max="14871" width="0" style="1009" hidden="1" customWidth="1"/>
    <col min="14872" max="14872" width="12" style="1009" bestFit="1" customWidth="1"/>
    <col min="14873" max="14874" width="0" style="1009" hidden="1" customWidth="1"/>
    <col min="14875" max="14875" width="10.85546875" style="1009" bestFit="1" customWidth="1"/>
    <col min="14876" max="14877" width="0" style="1009" hidden="1" customWidth="1"/>
    <col min="14878" max="14878" width="12" style="1009" bestFit="1" customWidth="1"/>
    <col min="14879" max="14880" width="0" style="1009" hidden="1" customWidth="1"/>
    <col min="14881" max="15079" width="11.42578125" style="1009"/>
    <col min="15080" max="15080" width="4.7109375" style="1009" customWidth="1"/>
    <col min="15081" max="15081" width="6" style="1009" customWidth="1"/>
    <col min="15082" max="15082" width="13.42578125" style="1009" customWidth="1"/>
    <col min="15083" max="15083" width="42" style="1009" customWidth="1"/>
    <col min="15084" max="15091" width="0" style="1009" hidden="1" customWidth="1"/>
    <col min="15092" max="15092" width="17.140625" style="1009" customWidth="1"/>
    <col min="15093" max="15093" width="11.5703125" style="1009" bestFit="1" customWidth="1"/>
    <col min="15094" max="15097" width="0" style="1009" hidden="1" customWidth="1"/>
    <col min="15098" max="15098" width="8.7109375" style="1009" customWidth="1"/>
    <col min="15099" max="15099" width="5.7109375" style="1009" customWidth="1"/>
    <col min="15100" max="15100" width="0" style="1009" hidden="1" customWidth="1"/>
    <col min="15101" max="15101" width="16.28515625" style="1009" bestFit="1" customWidth="1"/>
    <col min="15102" max="15103" width="0" style="1009" hidden="1" customWidth="1"/>
    <col min="15104" max="15104" width="12.7109375" style="1009" customWidth="1"/>
    <col min="15105" max="15106" width="0" style="1009" hidden="1" customWidth="1"/>
    <col min="15107" max="15107" width="11.42578125" style="1009"/>
    <col min="15108" max="15109" width="0" style="1009" hidden="1" customWidth="1"/>
    <col min="15110" max="15110" width="14.28515625" style="1009" customWidth="1"/>
    <col min="15111" max="15112" width="0" style="1009" hidden="1" customWidth="1"/>
    <col min="15113" max="15113" width="12" style="1009" bestFit="1" customWidth="1"/>
    <col min="15114" max="15115" width="0" style="1009" hidden="1" customWidth="1"/>
    <col min="15116" max="15116" width="13" style="1009" customWidth="1"/>
    <col min="15117" max="15118" width="0" style="1009" hidden="1" customWidth="1"/>
    <col min="15119" max="15119" width="12" style="1009" bestFit="1" customWidth="1"/>
    <col min="15120" max="15121" width="0" style="1009" hidden="1" customWidth="1"/>
    <col min="15122" max="15122" width="13" style="1009" bestFit="1" customWidth="1"/>
    <col min="15123" max="15124" width="0" style="1009" hidden="1" customWidth="1"/>
    <col min="15125" max="15125" width="10.42578125" style="1009" customWidth="1"/>
    <col min="15126" max="15127" width="0" style="1009" hidden="1" customWidth="1"/>
    <col min="15128" max="15128" width="12" style="1009" bestFit="1" customWidth="1"/>
    <col min="15129" max="15130" width="0" style="1009" hidden="1" customWidth="1"/>
    <col min="15131" max="15131" width="10.85546875" style="1009" bestFit="1" customWidth="1"/>
    <col min="15132" max="15133" width="0" style="1009" hidden="1" customWidth="1"/>
    <col min="15134" max="15134" width="12" style="1009" bestFit="1" customWidth="1"/>
    <col min="15135" max="15136" width="0" style="1009" hidden="1" customWidth="1"/>
    <col min="15137" max="15335" width="11.42578125" style="1009"/>
    <col min="15336" max="15336" width="4.7109375" style="1009" customWidth="1"/>
    <col min="15337" max="15337" width="6" style="1009" customWidth="1"/>
    <col min="15338" max="15338" width="13.42578125" style="1009" customWidth="1"/>
    <col min="15339" max="15339" width="42" style="1009" customWidth="1"/>
    <col min="15340" max="15347" width="0" style="1009" hidden="1" customWidth="1"/>
    <col min="15348" max="15348" width="17.140625" style="1009" customWidth="1"/>
    <col min="15349" max="15349" width="11.5703125" style="1009" bestFit="1" customWidth="1"/>
    <col min="15350" max="15353" width="0" style="1009" hidden="1" customWidth="1"/>
    <col min="15354" max="15354" width="8.7109375" style="1009" customWidth="1"/>
    <col min="15355" max="15355" width="5.7109375" style="1009" customWidth="1"/>
    <col min="15356" max="15356" width="0" style="1009" hidden="1" customWidth="1"/>
    <col min="15357" max="15357" width="16.28515625" style="1009" bestFit="1" customWidth="1"/>
    <col min="15358" max="15359" width="0" style="1009" hidden="1" customWidth="1"/>
    <col min="15360" max="15360" width="12.7109375" style="1009" customWidth="1"/>
    <col min="15361" max="15362" width="0" style="1009" hidden="1" customWidth="1"/>
    <col min="15363" max="15363" width="11.42578125" style="1009"/>
    <col min="15364" max="15365" width="0" style="1009" hidden="1" customWidth="1"/>
    <col min="15366" max="15366" width="14.28515625" style="1009" customWidth="1"/>
    <col min="15367" max="15368" width="0" style="1009" hidden="1" customWidth="1"/>
    <col min="15369" max="15369" width="12" style="1009" bestFit="1" customWidth="1"/>
    <col min="15370" max="15371" width="0" style="1009" hidden="1" customWidth="1"/>
    <col min="15372" max="15372" width="13" style="1009" customWidth="1"/>
    <col min="15373" max="15374" width="0" style="1009" hidden="1" customWidth="1"/>
    <col min="15375" max="15375" width="12" style="1009" bestFit="1" customWidth="1"/>
    <col min="15376" max="15377" width="0" style="1009" hidden="1" customWidth="1"/>
    <col min="15378" max="15378" width="13" style="1009" bestFit="1" customWidth="1"/>
    <col min="15379" max="15380" width="0" style="1009" hidden="1" customWidth="1"/>
    <col min="15381" max="15381" width="10.42578125" style="1009" customWidth="1"/>
    <col min="15382" max="15383" width="0" style="1009" hidden="1" customWidth="1"/>
    <col min="15384" max="15384" width="12" style="1009" bestFit="1" customWidth="1"/>
    <col min="15385" max="15386" width="0" style="1009" hidden="1" customWidth="1"/>
    <col min="15387" max="15387" width="10.85546875" style="1009" bestFit="1" customWidth="1"/>
    <col min="15388" max="15389" width="0" style="1009" hidden="1" customWidth="1"/>
    <col min="15390" max="15390" width="12" style="1009" bestFit="1" customWidth="1"/>
    <col min="15391" max="15392" width="0" style="1009" hidden="1" customWidth="1"/>
    <col min="15393" max="15591" width="11.42578125" style="1009"/>
    <col min="15592" max="15592" width="4.7109375" style="1009" customWidth="1"/>
    <col min="15593" max="15593" width="6" style="1009" customWidth="1"/>
    <col min="15594" max="15594" width="13.42578125" style="1009" customWidth="1"/>
    <col min="15595" max="15595" width="42" style="1009" customWidth="1"/>
    <col min="15596" max="15603" width="0" style="1009" hidden="1" customWidth="1"/>
    <col min="15604" max="15604" width="17.140625" style="1009" customWidth="1"/>
    <col min="15605" max="15605" width="11.5703125" style="1009" bestFit="1" customWidth="1"/>
    <col min="15606" max="15609" width="0" style="1009" hidden="1" customWidth="1"/>
    <col min="15610" max="15610" width="8.7109375" style="1009" customWidth="1"/>
    <col min="15611" max="15611" width="5.7109375" style="1009" customWidth="1"/>
    <col min="15612" max="15612" width="0" style="1009" hidden="1" customWidth="1"/>
    <col min="15613" max="15613" width="16.28515625" style="1009" bestFit="1" customWidth="1"/>
    <col min="15614" max="15615" width="0" style="1009" hidden="1" customWidth="1"/>
    <col min="15616" max="15616" width="12.7109375" style="1009" customWidth="1"/>
    <col min="15617" max="15618" width="0" style="1009" hidden="1" customWidth="1"/>
    <col min="15619" max="15619" width="11.42578125" style="1009"/>
    <col min="15620" max="15621" width="0" style="1009" hidden="1" customWidth="1"/>
    <col min="15622" max="15622" width="14.28515625" style="1009" customWidth="1"/>
    <col min="15623" max="15624" width="0" style="1009" hidden="1" customWidth="1"/>
    <col min="15625" max="15625" width="12" style="1009" bestFit="1" customWidth="1"/>
    <col min="15626" max="15627" width="0" style="1009" hidden="1" customWidth="1"/>
    <col min="15628" max="15628" width="13" style="1009" customWidth="1"/>
    <col min="15629" max="15630" width="0" style="1009" hidden="1" customWidth="1"/>
    <col min="15631" max="15631" width="12" style="1009" bestFit="1" customWidth="1"/>
    <col min="15632" max="15633" width="0" style="1009" hidden="1" customWidth="1"/>
    <col min="15634" max="15634" width="13" style="1009" bestFit="1" customWidth="1"/>
    <col min="15635" max="15636" width="0" style="1009" hidden="1" customWidth="1"/>
    <col min="15637" max="15637" width="10.42578125" style="1009" customWidth="1"/>
    <col min="15638" max="15639" width="0" style="1009" hidden="1" customWidth="1"/>
    <col min="15640" max="15640" width="12" style="1009" bestFit="1" customWidth="1"/>
    <col min="15641" max="15642" width="0" style="1009" hidden="1" customWidth="1"/>
    <col min="15643" max="15643" width="10.85546875" style="1009" bestFit="1" customWidth="1"/>
    <col min="15644" max="15645" width="0" style="1009" hidden="1" customWidth="1"/>
    <col min="15646" max="15646" width="12" style="1009" bestFit="1" customWidth="1"/>
    <col min="15647" max="15648" width="0" style="1009" hidden="1" customWidth="1"/>
    <col min="15649" max="15847" width="11.42578125" style="1009"/>
    <col min="15848" max="15848" width="4.7109375" style="1009" customWidth="1"/>
    <col min="15849" max="15849" width="6" style="1009" customWidth="1"/>
    <col min="15850" max="15850" width="13.42578125" style="1009" customWidth="1"/>
    <col min="15851" max="15851" width="42" style="1009" customWidth="1"/>
    <col min="15852" max="15859" width="0" style="1009" hidden="1" customWidth="1"/>
    <col min="15860" max="15860" width="17.140625" style="1009" customWidth="1"/>
    <col min="15861" max="15861" width="11.5703125" style="1009" bestFit="1" customWidth="1"/>
    <col min="15862" max="15865" width="0" style="1009" hidden="1" customWidth="1"/>
    <col min="15866" max="15866" width="8.7109375" style="1009" customWidth="1"/>
    <col min="15867" max="15867" width="5.7109375" style="1009" customWidth="1"/>
    <col min="15868" max="15868" width="0" style="1009" hidden="1" customWidth="1"/>
    <col min="15869" max="15869" width="16.28515625" style="1009" bestFit="1" customWidth="1"/>
    <col min="15870" max="15871" width="0" style="1009" hidden="1" customWidth="1"/>
    <col min="15872" max="15872" width="12.7109375" style="1009" customWidth="1"/>
    <col min="15873" max="15874" width="0" style="1009" hidden="1" customWidth="1"/>
    <col min="15875" max="15875" width="11.42578125" style="1009"/>
    <col min="15876" max="15877" width="0" style="1009" hidden="1" customWidth="1"/>
    <col min="15878" max="15878" width="14.28515625" style="1009" customWidth="1"/>
    <col min="15879" max="15880" width="0" style="1009" hidden="1" customWidth="1"/>
    <col min="15881" max="15881" width="12" style="1009" bestFit="1" customWidth="1"/>
    <col min="15882" max="15883" width="0" style="1009" hidden="1" customWidth="1"/>
    <col min="15884" max="15884" width="13" style="1009" customWidth="1"/>
    <col min="15885" max="15886" width="0" style="1009" hidden="1" customWidth="1"/>
    <col min="15887" max="15887" width="12" style="1009" bestFit="1" customWidth="1"/>
    <col min="15888" max="15889" width="0" style="1009" hidden="1" customWidth="1"/>
    <col min="15890" max="15890" width="13" style="1009" bestFit="1" customWidth="1"/>
    <col min="15891" max="15892" width="0" style="1009" hidden="1" customWidth="1"/>
    <col min="15893" max="15893" width="10.42578125" style="1009" customWidth="1"/>
    <col min="15894" max="15895" width="0" style="1009" hidden="1" customWidth="1"/>
    <col min="15896" max="15896" width="12" style="1009" bestFit="1" customWidth="1"/>
    <col min="15897" max="15898" width="0" style="1009" hidden="1" customWidth="1"/>
    <col min="15899" max="15899" width="10.85546875" style="1009" bestFit="1" customWidth="1"/>
    <col min="15900" max="15901" width="0" style="1009" hidden="1" customWidth="1"/>
    <col min="15902" max="15902" width="12" style="1009" bestFit="1" customWidth="1"/>
    <col min="15903" max="15904" width="0" style="1009" hidden="1" customWidth="1"/>
    <col min="15905" max="16103" width="11.42578125" style="1009"/>
    <col min="16104" max="16104" width="4.7109375" style="1009" customWidth="1"/>
    <col min="16105" max="16105" width="6" style="1009" customWidth="1"/>
    <col min="16106" max="16106" width="13.42578125" style="1009" customWidth="1"/>
    <col min="16107" max="16107" width="42" style="1009" customWidth="1"/>
    <col min="16108" max="16115" width="0" style="1009" hidden="1" customWidth="1"/>
    <col min="16116" max="16116" width="17.140625" style="1009" customWidth="1"/>
    <col min="16117" max="16117" width="11.5703125" style="1009" bestFit="1" customWidth="1"/>
    <col min="16118" max="16121" width="0" style="1009" hidden="1" customWidth="1"/>
    <col min="16122" max="16122" width="8.7109375" style="1009" customWidth="1"/>
    <col min="16123" max="16123" width="5.7109375" style="1009" customWidth="1"/>
    <col min="16124" max="16124" width="0" style="1009" hidden="1" customWidth="1"/>
    <col min="16125" max="16125" width="16.28515625" style="1009" bestFit="1" customWidth="1"/>
    <col min="16126" max="16127" width="0" style="1009" hidden="1" customWidth="1"/>
    <col min="16128" max="16128" width="12.7109375" style="1009" customWidth="1"/>
    <col min="16129" max="16130" width="0" style="1009" hidden="1" customWidth="1"/>
    <col min="16131" max="16131" width="11.42578125" style="1009"/>
    <col min="16132" max="16133" width="0" style="1009" hidden="1" customWidth="1"/>
    <col min="16134" max="16134" width="14.28515625" style="1009" customWidth="1"/>
    <col min="16135" max="16136" width="0" style="1009" hidden="1" customWidth="1"/>
    <col min="16137" max="16137" width="12" style="1009" bestFit="1" customWidth="1"/>
    <col min="16138" max="16139" width="0" style="1009" hidden="1" customWidth="1"/>
    <col min="16140" max="16140" width="13" style="1009" customWidth="1"/>
    <col min="16141" max="16142" width="0" style="1009" hidden="1" customWidth="1"/>
    <col min="16143" max="16143" width="12" style="1009" bestFit="1" customWidth="1"/>
    <col min="16144" max="16145" width="0" style="1009" hidden="1" customWidth="1"/>
    <col min="16146" max="16146" width="13" style="1009" bestFit="1" customWidth="1"/>
    <col min="16147" max="16148" width="0" style="1009" hidden="1" customWidth="1"/>
    <col min="16149" max="16149" width="10.42578125" style="1009" customWidth="1"/>
    <col min="16150" max="16151" width="0" style="1009" hidden="1" customWidth="1"/>
    <col min="16152" max="16152" width="12" style="1009" bestFit="1" customWidth="1"/>
    <col min="16153" max="16154" width="0" style="1009" hidden="1" customWidth="1"/>
    <col min="16155" max="16155" width="10.85546875" style="1009" bestFit="1" customWidth="1"/>
    <col min="16156" max="16157" width="0" style="1009" hidden="1" customWidth="1"/>
    <col min="16158" max="16158" width="12" style="1009" bestFit="1" customWidth="1"/>
    <col min="16159" max="16160" width="0" style="1009" hidden="1" customWidth="1"/>
    <col min="16161" max="16384" width="11.42578125" style="1009"/>
  </cols>
  <sheetData>
    <row r="1" spans="2:33" ht="26.25">
      <c r="C1" s="1010"/>
      <c r="D1" s="1011"/>
      <c r="E1" s="1011"/>
      <c r="F1" s="1011"/>
      <c r="G1" s="1011"/>
      <c r="H1" s="1012"/>
      <c r="I1" s="1012"/>
      <c r="J1" s="1012"/>
      <c r="K1" s="1012"/>
      <c r="L1" s="1013"/>
      <c r="M1" s="1013"/>
      <c r="N1" s="1013"/>
      <c r="O1" s="1013"/>
      <c r="P1" s="1013"/>
      <c r="Q1" s="1013"/>
      <c r="R1" s="1013"/>
      <c r="S1" s="1010"/>
      <c r="T1" s="1010"/>
      <c r="U1" s="1010"/>
      <c r="V1" s="1010"/>
      <c r="W1" s="1010"/>
      <c r="X1" s="1010"/>
      <c r="Y1" s="1010"/>
      <c r="Z1" s="1010"/>
      <c r="AA1" s="1010"/>
      <c r="AB1" s="1010"/>
      <c r="AC1" s="1010"/>
      <c r="AD1" s="1010"/>
      <c r="AE1" s="1010"/>
      <c r="AF1" s="1010"/>
    </row>
    <row r="2" spans="2:33" ht="26.25">
      <c r="B2" s="1257" t="s">
        <v>1534</v>
      </c>
      <c r="C2" s="1258"/>
      <c r="D2" s="1259"/>
      <c r="E2" s="1259"/>
      <c r="F2" s="1259"/>
      <c r="G2" s="1259"/>
      <c r="H2" s="1259"/>
      <c r="I2" s="1259"/>
      <c r="J2" s="1259"/>
      <c r="K2" s="1260"/>
      <c r="L2" s="1261"/>
      <c r="M2" s="1261"/>
      <c r="N2" s="1260"/>
      <c r="O2" s="1260"/>
      <c r="P2" s="1260"/>
      <c r="Q2" s="1260"/>
      <c r="R2" s="1260"/>
      <c r="S2" s="1258"/>
      <c r="T2" s="1258"/>
      <c r="U2" s="1258"/>
      <c r="V2" s="1258"/>
      <c r="W2" s="1258"/>
      <c r="X2" s="1258"/>
      <c r="Y2" s="1258"/>
      <c r="Z2" s="1258"/>
      <c r="AA2" s="1258"/>
      <c r="AB2" s="1258"/>
      <c r="AC2" s="1258"/>
      <c r="AD2" s="1258"/>
      <c r="AE2" s="1258"/>
      <c r="AF2" s="1258"/>
      <c r="AG2" s="1231"/>
    </row>
    <row r="3" spans="2:33" ht="26.25">
      <c r="B3" s="1257" t="s">
        <v>1439</v>
      </c>
      <c r="C3" s="1258"/>
      <c r="D3" s="1259"/>
      <c r="E3" s="1259"/>
      <c r="F3" s="1259"/>
      <c r="G3" s="1259"/>
      <c r="H3" s="1259"/>
      <c r="I3" s="1259"/>
      <c r="J3" s="1259"/>
      <c r="K3" s="1260"/>
      <c r="L3" s="1261"/>
      <c r="M3" s="1261"/>
      <c r="N3" s="1260"/>
      <c r="O3" s="1260"/>
      <c r="P3" s="1260"/>
      <c r="Q3" s="1260"/>
      <c r="R3" s="1260"/>
      <c r="S3" s="1258"/>
      <c r="T3" s="1258"/>
      <c r="U3" s="1258"/>
      <c r="V3" s="1258"/>
      <c r="W3" s="1258"/>
      <c r="X3" s="1258"/>
      <c r="Y3" s="1258"/>
      <c r="Z3" s="1258"/>
      <c r="AA3" s="1258"/>
      <c r="AB3" s="1258"/>
      <c r="AC3" s="1258"/>
      <c r="AD3" s="1258"/>
      <c r="AE3" s="1258"/>
      <c r="AF3" s="1258"/>
      <c r="AG3" s="1231"/>
    </row>
    <row r="4" spans="2:33" ht="26.25" hidden="1">
      <c r="B4" s="1257" t="s">
        <v>1440</v>
      </c>
      <c r="C4" s="1258"/>
      <c r="D4" s="1259"/>
      <c r="E4" s="1259"/>
      <c r="F4" s="1259"/>
      <c r="G4" s="1259"/>
      <c r="H4" s="1259"/>
      <c r="I4" s="1259"/>
      <c r="J4" s="1259"/>
      <c r="K4" s="1260"/>
      <c r="L4" s="1261"/>
      <c r="M4" s="1261"/>
      <c r="N4" s="1260"/>
      <c r="O4" s="1260"/>
      <c r="P4" s="1260"/>
      <c r="Q4" s="1260"/>
      <c r="R4" s="1260"/>
      <c r="S4" s="1258"/>
      <c r="T4" s="1258"/>
      <c r="U4" s="1258"/>
      <c r="V4" s="1258"/>
      <c r="W4" s="1258"/>
      <c r="X4" s="1258"/>
      <c r="Y4" s="1258"/>
      <c r="Z4" s="1258"/>
      <c r="AA4" s="1258"/>
      <c r="AB4" s="1258"/>
      <c r="AC4" s="1258"/>
      <c r="AD4" s="1258"/>
      <c r="AE4" s="1258"/>
      <c r="AF4" s="1258"/>
      <c r="AG4" s="1231"/>
    </row>
    <row r="5" spans="2:33">
      <c r="B5" s="1262" t="s">
        <v>1441</v>
      </c>
      <c r="C5" s="1263"/>
      <c r="D5" s="1264"/>
      <c r="E5" s="1264"/>
      <c r="F5" s="1265"/>
      <c r="G5" s="1265"/>
      <c r="H5" s="1264"/>
      <c r="I5" s="1264"/>
      <c r="J5" s="1264" t="s">
        <v>1442</v>
      </c>
      <c r="K5" s="1266"/>
      <c r="L5" s="1266"/>
      <c r="M5" s="1264"/>
      <c r="N5" s="1264"/>
      <c r="O5" s="1264"/>
      <c r="P5" s="1264"/>
      <c r="Q5" s="1264"/>
      <c r="R5" s="1264"/>
      <c r="S5" s="1264"/>
      <c r="T5" s="1264"/>
      <c r="U5" s="1264"/>
      <c r="V5" s="1264"/>
      <c r="W5" s="1264"/>
      <c r="X5" s="1264"/>
      <c r="Y5" s="1264"/>
      <c r="Z5" s="1264"/>
      <c r="AA5" s="1264"/>
      <c r="AB5" s="1264"/>
      <c r="AC5" s="1264"/>
      <c r="AD5" s="1264"/>
      <c r="AE5" s="1267"/>
      <c r="AF5" s="1267"/>
      <c r="AG5" s="1231"/>
    </row>
    <row r="6" spans="2:33" ht="15.75">
      <c r="B6" s="1268" t="s">
        <v>1463</v>
      </c>
      <c r="C6" s="1231"/>
      <c r="D6" s="1269" t="s">
        <v>1486</v>
      </c>
      <c r="E6" s="1270"/>
      <c r="F6" s="1271"/>
      <c r="G6" s="1272" t="s">
        <v>1443</v>
      </c>
      <c r="H6" s="1270"/>
      <c r="I6" s="1273" t="s">
        <v>1466</v>
      </c>
      <c r="J6" s="1270"/>
      <c r="K6" s="1274"/>
      <c r="L6" s="1525" t="s">
        <v>1444</v>
      </c>
      <c r="M6" s="1526"/>
      <c r="N6" s="1526"/>
      <c r="O6" s="1526"/>
      <c r="P6" s="1270"/>
      <c r="Q6" s="1275" t="s">
        <v>1502</v>
      </c>
      <c r="R6" s="1276"/>
      <c r="S6" s="1276"/>
      <c r="T6" s="1276"/>
      <c r="U6" s="1276"/>
      <c r="V6" s="1270"/>
      <c r="W6" s="1270"/>
      <c r="X6" s="1270"/>
      <c r="Y6" s="1270"/>
      <c r="Z6" s="1270"/>
      <c r="AA6" s="1270"/>
      <c r="AB6" s="1270"/>
      <c r="AC6" s="1270"/>
      <c r="AD6" s="1270"/>
      <c r="AE6" s="1277"/>
      <c r="AF6" s="1277"/>
      <c r="AG6" s="1231"/>
    </row>
    <row r="7" spans="2:33" ht="15.75">
      <c r="B7" s="1268" t="s">
        <v>1445</v>
      </c>
      <c r="C7" s="1231"/>
      <c r="D7" s="1269" t="s">
        <v>1464</v>
      </c>
      <c r="E7" s="1270"/>
      <c r="F7" s="1271"/>
      <c r="G7" s="1271"/>
      <c r="H7" s="1270"/>
      <c r="I7" s="1272"/>
      <c r="J7" s="1278"/>
      <c r="K7" s="1279"/>
      <c r="L7" s="1266"/>
      <c r="M7" s="1262"/>
      <c r="N7" s="1280"/>
      <c r="O7" s="1281" t="s">
        <v>1487</v>
      </c>
      <c r="P7" s="1281"/>
      <c r="Q7" s="1276"/>
      <c r="R7" s="1276"/>
      <c r="S7" s="1276"/>
      <c r="T7" s="1276"/>
      <c r="U7" s="1276"/>
      <c r="V7" s="1270"/>
      <c r="W7" s="1270"/>
      <c r="X7" s="1270"/>
      <c r="Y7" s="1270"/>
      <c r="Z7" s="1270"/>
      <c r="AA7" s="1270"/>
      <c r="AB7" s="1270"/>
      <c r="AC7" s="1270"/>
      <c r="AD7" s="1270"/>
      <c r="AE7" s="1277"/>
      <c r="AF7" s="1263"/>
      <c r="AG7" s="1231"/>
    </row>
    <row r="8" spans="2:33" ht="15.75">
      <c r="B8" s="1268" t="s">
        <v>1446</v>
      </c>
      <c r="C8" s="1231"/>
      <c r="D8" s="1282" t="s">
        <v>1464</v>
      </c>
      <c r="E8" s="1283"/>
      <c r="F8" s="1284"/>
      <c r="G8" s="1284"/>
      <c r="H8" s="1283"/>
      <c r="I8" s="1283"/>
      <c r="J8" s="1283"/>
      <c r="K8" s="1279"/>
      <c r="L8" s="1534" t="s">
        <v>1447</v>
      </c>
      <c r="M8" s="1535"/>
      <c r="N8" s="1231"/>
      <c r="O8" s="1285">
        <f ca="1">+NOW()</f>
        <v>45845.420813888886</v>
      </c>
      <c r="P8" s="1283"/>
      <c r="Q8" s="1283"/>
      <c r="R8" s="1283"/>
      <c r="S8" s="1283"/>
      <c r="T8" s="1283"/>
      <c r="U8" s="1283"/>
      <c r="V8" s="1283"/>
      <c r="W8" s="1283"/>
      <c r="X8" s="1283"/>
      <c r="Y8" s="1283"/>
      <c r="Z8" s="1283"/>
      <c r="AA8" s="1283"/>
      <c r="AB8" s="1283"/>
      <c r="AC8" s="1283"/>
      <c r="AD8" s="1283"/>
      <c r="AE8" s="1263"/>
      <c r="AF8" s="1263"/>
      <c r="AG8" s="1231"/>
    </row>
    <row r="9" spans="2:33" ht="12.75">
      <c r="B9" s="1286" t="s">
        <v>1465</v>
      </c>
      <c r="C9" s="1231"/>
      <c r="D9" s="1536"/>
      <c r="E9" s="1536"/>
      <c r="F9" s="1536"/>
      <c r="G9" s="1536"/>
      <c r="H9" s="1536"/>
      <c r="I9" s="1536"/>
      <c r="J9" s="1283"/>
      <c r="K9" s="1279"/>
      <c r="L9" s="1287"/>
      <c r="M9" s="1283"/>
      <c r="N9" s="1283"/>
      <c r="O9" s="1283"/>
      <c r="P9" s="1283"/>
      <c r="Q9" s="1283"/>
      <c r="R9" s="1283"/>
      <c r="S9" s="1283"/>
      <c r="T9" s="1283"/>
      <c r="U9" s="1283"/>
      <c r="V9" s="1283"/>
      <c r="W9" s="1283"/>
      <c r="X9" s="1283"/>
      <c r="Y9" s="1283"/>
      <c r="Z9" s="1283"/>
      <c r="AA9" s="1283"/>
      <c r="AB9" s="1283"/>
      <c r="AC9" s="1283"/>
      <c r="AD9" s="1283"/>
      <c r="AE9" s="1263"/>
      <c r="AF9" s="1263"/>
      <c r="AG9" s="1231"/>
    </row>
    <row r="10" spans="2:33" ht="12.75">
      <c r="B10" s="1268" t="s">
        <v>1448</v>
      </c>
      <c r="C10" s="1231"/>
      <c r="D10" s="1288" t="str">
        <f>+[1]Orçamento_Hab!B9</f>
        <v>Cassilândia - MS</v>
      </c>
      <c r="E10" s="1283"/>
      <c r="F10" s="1284"/>
      <c r="G10" s="1284"/>
      <c r="H10" s="1283"/>
      <c r="I10" s="1283"/>
      <c r="J10" s="1283"/>
      <c r="K10" s="1289"/>
      <c r="L10" s="1290"/>
      <c r="M10" s="1270"/>
      <c r="N10" s="1291"/>
      <c r="O10" s="1539"/>
      <c r="P10" s="1539"/>
      <c r="Q10" s="1539"/>
      <c r="R10" s="1283"/>
      <c r="S10" s="1283"/>
      <c r="T10" s="1283"/>
      <c r="U10" s="1283"/>
      <c r="V10" s="1283"/>
      <c r="W10" s="1283"/>
      <c r="X10" s="1283"/>
      <c r="Y10" s="1283"/>
      <c r="Z10" s="1283"/>
      <c r="AA10" s="1283"/>
      <c r="AB10" s="1283"/>
      <c r="AC10" s="1283"/>
      <c r="AD10" s="1283"/>
      <c r="AE10" s="1263"/>
      <c r="AF10" s="1263"/>
      <c r="AG10" s="1231"/>
    </row>
    <row r="11" spans="2:33">
      <c r="B11" s="1290"/>
      <c r="C11" s="1270"/>
      <c r="D11" s="1270"/>
      <c r="E11" s="1270"/>
      <c r="F11" s="1271"/>
      <c r="G11" s="1271"/>
      <c r="H11" s="1270"/>
      <c r="I11" s="1270"/>
      <c r="J11" s="1270"/>
      <c r="K11" s="1270"/>
      <c r="L11" s="1290"/>
      <c r="M11" s="1270"/>
      <c r="N11" s="1270"/>
      <c r="O11" s="1270"/>
      <c r="P11" s="1270"/>
      <c r="Q11" s="1270"/>
      <c r="R11" s="1270"/>
      <c r="S11" s="1270"/>
      <c r="T11" s="1270"/>
      <c r="U11" s="1270"/>
      <c r="V11" s="1270"/>
      <c r="W11" s="1270"/>
      <c r="X11" s="1270"/>
      <c r="Y11" s="1270"/>
      <c r="Z11" s="1270"/>
      <c r="AA11" s="1270"/>
      <c r="AB11" s="1270"/>
      <c r="AC11" s="1270"/>
      <c r="AD11" s="1270"/>
      <c r="AE11" s="1277"/>
      <c r="AF11" s="1277"/>
      <c r="AG11" s="1231"/>
    </row>
    <row r="12" spans="2:33">
      <c r="B12" s="1231"/>
      <c r="C12" s="1231"/>
      <c r="D12" s="1231"/>
      <c r="E12" s="1231"/>
      <c r="F12" s="1230"/>
      <c r="G12" s="1230"/>
      <c r="H12" s="1231"/>
      <c r="I12" s="1231"/>
      <c r="J12" s="1231"/>
      <c r="K12" s="1231"/>
      <c r="L12" s="1231"/>
      <c r="M12" s="1231"/>
      <c r="N12" s="1231"/>
      <c r="O12" s="1231"/>
      <c r="P12" s="1231"/>
      <c r="Q12" s="1231"/>
      <c r="R12" s="1231"/>
      <c r="S12" s="1231"/>
      <c r="T12" s="1231"/>
      <c r="U12" s="1231"/>
      <c r="V12" s="1231"/>
      <c r="W12" s="1231"/>
      <c r="X12" s="1231"/>
      <c r="Y12" s="1231"/>
      <c r="Z12" s="1231"/>
      <c r="AA12" s="1231"/>
      <c r="AB12" s="1231"/>
      <c r="AC12" s="1231"/>
      <c r="AD12" s="1231"/>
      <c r="AE12" s="1231"/>
      <c r="AF12" s="1231"/>
      <c r="AG12" s="1231"/>
    </row>
    <row r="13" spans="2:33" ht="12.75" thickBot="1">
      <c r="B13" s="1292"/>
      <c r="C13" s="1231"/>
      <c r="D13" s="1231"/>
      <c r="E13" s="1231"/>
      <c r="F13" s="1230"/>
      <c r="G13" s="1230"/>
      <c r="H13" s="1231"/>
      <c r="I13" s="1231"/>
      <c r="J13" s="1231"/>
      <c r="K13" s="1231"/>
      <c r="L13" s="1231"/>
      <c r="M13" s="1231"/>
      <c r="N13" s="1231"/>
      <c r="O13" s="1231"/>
      <c r="P13" s="1231"/>
      <c r="Q13" s="1231"/>
      <c r="R13" s="1231"/>
      <c r="S13" s="1231"/>
      <c r="T13" s="1231"/>
      <c r="U13" s="1231"/>
      <c r="V13" s="1231"/>
      <c r="W13" s="1231"/>
      <c r="X13" s="1231"/>
      <c r="Y13" s="1231"/>
      <c r="Z13" s="1231"/>
      <c r="AA13" s="1231"/>
      <c r="AB13" s="1231"/>
      <c r="AC13" s="1231"/>
      <c r="AD13" s="1231"/>
      <c r="AE13" s="1231"/>
      <c r="AF13" s="1231"/>
      <c r="AG13" s="1231"/>
    </row>
    <row r="14" spans="2:33" ht="12" customHeight="1">
      <c r="B14" s="1293"/>
      <c r="C14" s="1540" t="s">
        <v>1449</v>
      </c>
      <c r="D14" s="1541"/>
      <c r="E14" s="1528" t="s">
        <v>1450</v>
      </c>
      <c r="F14" s="1528" t="s">
        <v>1451</v>
      </c>
      <c r="G14" s="1531" t="s">
        <v>1452</v>
      </c>
      <c r="H14" s="1294"/>
      <c r="I14" s="1295"/>
      <c r="J14" s="1295"/>
      <c r="K14" s="1295"/>
      <c r="L14" s="1295"/>
      <c r="M14" s="1296" t="s">
        <v>1453</v>
      </c>
      <c r="N14" s="1295"/>
      <c r="O14" s="1295"/>
      <c r="P14" s="1295"/>
      <c r="Q14" s="1295" t="s">
        <v>1442</v>
      </c>
      <c r="R14" s="1296" t="s">
        <v>1442</v>
      </c>
      <c r="S14" s="1296" t="s">
        <v>1442</v>
      </c>
      <c r="T14" s="1296"/>
      <c r="U14" s="1296"/>
      <c r="V14" s="1296"/>
      <c r="W14" s="1296"/>
      <c r="X14" s="1296"/>
      <c r="Y14" s="1296"/>
      <c r="Z14" s="1296"/>
      <c r="AA14" s="1296"/>
      <c r="AB14" s="1296"/>
      <c r="AC14" s="1296"/>
      <c r="AD14" s="1296"/>
      <c r="AE14" s="1296"/>
      <c r="AF14" s="1297"/>
      <c r="AG14" s="1231"/>
    </row>
    <row r="15" spans="2:33">
      <c r="B15" s="1298" t="s">
        <v>1454</v>
      </c>
      <c r="C15" s="1542"/>
      <c r="D15" s="1543"/>
      <c r="E15" s="1529"/>
      <c r="F15" s="1529"/>
      <c r="G15" s="1532"/>
      <c r="H15" s="1299" t="s">
        <v>1455</v>
      </c>
      <c r="I15" s="1300" t="s">
        <v>1467</v>
      </c>
      <c r="J15" s="1301">
        <v>1</v>
      </c>
      <c r="K15" s="1300" t="s">
        <v>1468</v>
      </c>
      <c r="L15" s="1301">
        <v>2</v>
      </c>
      <c r="M15" s="1300" t="s">
        <v>1469</v>
      </c>
      <c r="N15" s="1301">
        <v>3</v>
      </c>
      <c r="O15" s="1300" t="s">
        <v>1470</v>
      </c>
      <c r="P15" s="1301">
        <v>4</v>
      </c>
      <c r="Q15" s="1300" t="s">
        <v>1471</v>
      </c>
      <c r="R15" s="1301">
        <v>5</v>
      </c>
      <c r="S15" s="1300" t="s">
        <v>1472</v>
      </c>
      <c r="T15" s="1301">
        <v>6</v>
      </c>
      <c r="U15" s="1300" t="s">
        <v>1473</v>
      </c>
      <c r="V15" s="1301">
        <v>7</v>
      </c>
      <c r="W15" s="1300" t="s">
        <v>1474</v>
      </c>
      <c r="X15" s="1301">
        <v>8</v>
      </c>
      <c r="Y15" s="1300" t="s">
        <v>1475</v>
      </c>
      <c r="Z15" s="1301">
        <v>9</v>
      </c>
      <c r="AA15" s="1300" t="s">
        <v>1476</v>
      </c>
      <c r="AB15" s="1301">
        <v>10</v>
      </c>
      <c r="AC15" s="1300" t="s">
        <v>1477</v>
      </c>
      <c r="AD15" s="1301">
        <v>11</v>
      </c>
      <c r="AE15" s="1302" t="s">
        <v>1478</v>
      </c>
      <c r="AF15" s="1303">
        <v>12</v>
      </c>
      <c r="AG15" s="1231"/>
    </row>
    <row r="16" spans="2:33" ht="24">
      <c r="B16" s="1304"/>
      <c r="C16" s="1544"/>
      <c r="D16" s="1545"/>
      <c r="E16" s="1530"/>
      <c r="F16" s="1530"/>
      <c r="G16" s="1533"/>
      <c r="H16" s="1305" t="s">
        <v>480</v>
      </c>
      <c r="I16" s="1306" t="s">
        <v>1456</v>
      </c>
      <c r="J16" s="1306" t="s">
        <v>1457</v>
      </c>
      <c r="K16" s="1306" t="s">
        <v>1456</v>
      </c>
      <c r="L16" s="1306" t="s">
        <v>1457</v>
      </c>
      <c r="M16" s="1306" t="s">
        <v>1456</v>
      </c>
      <c r="N16" s="1306" t="s">
        <v>1457</v>
      </c>
      <c r="O16" s="1306" t="s">
        <v>1456</v>
      </c>
      <c r="P16" s="1306" t="s">
        <v>1457</v>
      </c>
      <c r="Q16" s="1306" t="s">
        <v>1456</v>
      </c>
      <c r="R16" s="1306" t="s">
        <v>1457</v>
      </c>
      <c r="S16" s="1306" t="s">
        <v>1456</v>
      </c>
      <c r="T16" s="1306" t="s">
        <v>1457</v>
      </c>
      <c r="U16" s="1306" t="s">
        <v>1456</v>
      </c>
      <c r="V16" s="1306" t="s">
        <v>1457</v>
      </c>
      <c r="W16" s="1306" t="s">
        <v>1456</v>
      </c>
      <c r="X16" s="1306" t="s">
        <v>1457</v>
      </c>
      <c r="Y16" s="1306" t="s">
        <v>1456</v>
      </c>
      <c r="Z16" s="1306" t="s">
        <v>1457</v>
      </c>
      <c r="AA16" s="1306" t="s">
        <v>1456</v>
      </c>
      <c r="AB16" s="1306" t="s">
        <v>1457</v>
      </c>
      <c r="AC16" s="1306" t="s">
        <v>1456</v>
      </c>
      <c r="AD16" s="1306" t="s">
        <v>1457</v>
      </c>
      <c r="AE16" s="1307" t="s">
        <v>1456</v>
      </c>
      <c r="AF16" s="1308" t="s">
        <v>1457</v>
      </c>
      <c r="AG16" s="1231"/>
    </row>
    <row r="17" spans="2:33" ht="27" customHeight="1">
      <c r="B17" s="1309" t="s">
        <v>1458</v>
      </c>
      <c r="C17" s="1548" t="s">
        <v>1504</v>
      </c>
      <c r="D17" s="1549"/>
      <c r="E17" s="1222">
        <f>ANEXO_IIIa_COLETA_TRANSP_SEDE!F295*12</f>
        <v>2123224.44</v>
      </c>
      <c r="F17" s="1223">
        <v>100</v>
      </c>
      <c r="G17" s="1224"/>
      <c r="H17" s="1225">
        <v>0</v>
      </c>
      <c r="I17" s="1226">
        <f>100/12</f>
        <v>8.3333333333333339</v>
      </c>
      <c r="J17" s="1227">
        <f>I17+H17</f>
        <v>8.3333333333333339</v>
      </c>
      <c r="K17" s="1226">
        <f>100/12</f>
        <v>8.3333333333333339</v>
      </c>
      <c r="L17" s="1227">
        <f>IF(K17=0,0,(J17+K17))</f>
        <v>16.666666666666668</v>
      </c>
      <c r="M17" s="1226">
        <f>100/12</f>
        <v>8.3333333333333339</v>
      </c>
      <c r="N17" s="1227">
        <f>IF(M17=0,0,(L17+M17))</f>
        <v>25</v>
      </c>
      <c r="O17" s="1226">
        <f>100/12</f>
        <v>8.3333333333333339</v>
      </c>
      <c r="P17" s="1227">
        <f>IF(O17=0,0,(N17+O17))</f>
        <v>33.333333333333336</v>
      </c>
      <c r="Q17" s="1226">
        <f>100/12</f>
        <v>8.3333333333333339</v>
      </c>
      <c r="R17" s="1227">
        <f>IF(Q17=0,0,(P17+Q17))</f>
        <v>41.666666666666671</v>
      </c>
      <c r="S17" s="1226">
        <f>100/12</f>
        <v>8.3333333333333339</v>
      </c>
      <c r="T17" s="1227">
        <f>IF(S17=0,0,(R17+S17))</f>
        <v>50.000000000000007</v>
      </c>
      <c r="U17" s="1226">
        <f>100/12</f>
        <v>8.3333333333333339</v>
      </c>
      <c r="V17" s="1227">
        <f>IF(U17=0,0,(T17+U17))</f>
        <v>58.333333333333343</v>
      </c>
      <c r="W17" s="1226">
        <f>100/12</f>
        <v>8.3333333333333339</v>
      </c>
      <c r="X17" s="1227">
        <f>IF(W17=0,0,(V17+W17))</f>
        <v>66.666666666666671</v>
      </c>
      <c r="Y17" s="1226">
        <f>100/12</f>
        <v>8.3333333333333339</v>
      </c>
      <c r="Z17" s="1227">
        <f>IF(Y17=0,0,(X17+Y17))</f>
        <v>75</v>
      </c>
      <c r="AA17" s="1226">
        <f>100/12</f>
        <v>8.3333333333333339</v>
      </c>
      <c r="AB17" s="1227">
        <f>IF(AA17=0,0,(Z17+AA17))</f>
        <v>83.333333333333329</v>
      </c>
      <c r="AC17" s="1226">
        <f>100/12</f>
        <v>8.3333333333333339</v>
      </c>
      <c r="AD17" s="1227">
        <f>IF(AC17=0,0,(AB17+AC17))</f>
        <v>91.666666666666657</v>
      </c>
      <c r="AE17" s="1228">
        <f>100/12</f>
        <v>8.3333333333333339</v>
      </c>
      <c r="AF17" s="1310">
        <f>IF(AE17=0,0,(AD17+AE17))</f>
        <v>99.999999999999986</v>
      </c>
      <c r="AG17" s="1231"/>
    </row>
    <row r="18" spans="2:33" ht="19.5" customHeight="1">
      <c r="B18" s="1309">
        <v>2</v>
      </c>
      <c r="C18" s="1548" t="s">
        <v>1532</v>
      </c>
      <c r="D18" s="1549"/>
      <c r="E18" s="1222">
        <f>ANEXO_IIIb_CONTEINERES!F95*12</f>
        <v>27469.68</v>
      </c>
      <c r="F18" s="1223">
        <v>100</v>
      </c>
      <c r="G18" s="1224"/>
      <c r="H18" s="1225">
        <v>0</v>
      </c>
      <c r="I18" s="1226">
        <f>100/12</f>
        <v>8.3333333333333339</v>
      </c>
      <c r="J18" s="1227">
        <f>I18+H18</f>
        <v>8.3333333333333339</v>
      </c>
      <c r="K18" s="1226">
        <f>100/12</f>
        <v>8.3333333333333339</v>
      </c>
      <c r="L18" s="1227">
        <f>IF(K18=0,0,(J18+K18))</f>
        <v>16.666666666666668</v>
      </c>
      <c r="M18" s="1226">
        <f>100/12</f>
        <v>8.3333333333333339</v>
      </c>
      <c r="N18" s="1227">
        <f>IF(M18=0,0,(L18+M18))</f>
        <v>25</v>
      </c>
      <c r="O18" s="1226">
        <f>100/12</f>
        <v>8.3333333333333339</v>
      </c>
      <c r="P18" s="1227">
        <f>IF(O18=0,0,(N18+O18))</f>
        <v>33.333333333333336</v>
      </c>
      <c r="Q18" s="1226">
        <f>100/12</f>
        <v>8.3333333333333339</v>
      </c>
      <c r="R18" s="1227">
        <f>IF(Q18=0,0,(P18+Q18))</f>
        <v>41.666666666666671</v>
      </c>
      <c r="S18" s="1226">
        <f>100/12</f>
        <v>8.3333333333333339</v>
      </c>
      <c r="T18" s="1227">
        <f>IF(S18=0,0,(R18+S18))</f>
        <v>50.000000000000007</v>
      </c>
      <c r="U18" s="1226">
        <f>100/12</f>
        <v>8.3333333333333339</v>
      </c>
      <c r="V18" s="1227">
        <f>IF(U18=0,0,(T18+U18))</f>
        <v>58.333333333333343</v>
      </c>
      <c r="W18" s="1226">
        <f>100/12</f>
        <v>8.3333333333333339</v>
      </c>
      <c r="X18" s="1227">
        <f>IF(W18=0,0,(V18+W18))</f>
        <v>66.666666666666671</v>
      </c>
      <c r="Y18" s="1226">
        <f>100/12</f>
        <v>8.3333333333333339</v>
      </c>
      <c r="Z18" s="1227">
        <f>IF(Y18=0,0,(X18+Y18))</f>
        <v>75</v>
      </c>
      <c r="AA18" s="1226">
        <f>100/12</f>
        <v>8.3333333333333339</v>
      </c>
      <c r="AB18" s="1227">
        <f>IF(AA18=0,0,(Z18+AA18))</f>
        <v>83.333333333333329</v>
      </c>
      <c r="AC18" s="1226">
        <f>100/12</f>
        <v>8.3333333333333339</v>
      </c>
      <c r="AD18" s="1227">
        <f>IF(AC18=0,0,(AB18+AC18))</f>
        <v>91.666666666666657</v>
      </c>
      <c r="AE18" s="1228">
        <f>100/12</f>
        <v>8.3333333333333339</v>
      </c>
      <c r="AF18" s="1353"/>
      <c r="AG18" s="1231"/>
    </row>
    <row r="19" spans="2:33" ht="37.5" customHeight="1">
      <c r="B19" s="1309">
        <v>3</v>
      </c>
      <c r="C19" s="1548" t="s">
        <v>1505</v>
      </c>
      <c r="D19" s="1549"/>
      <c r="E19" s="1222">
        <f>ANEXO_IIIc_COLETA_DISTRITOS!F106*12</f>
        <v>31862.28</v>
      </c>
      <c r="F19" s="1223">
        <v>100</v>
      </c>
      <c r="G19" s="1224"/>
      <c r="H19" s="1225">
        <v>0</v>
      </c>
      <c r="I19" s="1226">
        <f>100/12</f>
        <v>8.3333333333333339</v>
      </c>
      <c r="J19" s="1227">
        <f>I19+H19</f>
        <v>8.3333333333333339</v>
      </c>
      <c r="K19" s="1226">
        <f>100/12</f>
        <v>8.3333333333333339</v>
      </c>
      <c r="L19" s="1227">
        <f>IF(K19=0,0,(J19+K19))</f>
        <v>16.666666666666668</v>
      </c>
      <c r="M19" s="1226">
        <f>100/12</f>
        <v>8.3333333333333339</v>
      </c>
      <c r="N19" s="1227">
        <f>IF(M19=0,0,(L19+M19))</f>
        <v>25</v>
      </c>
      <c r="O19" s="1226">
        <f>100/12</f>
        <v>8.3333333333333339</v>
      </c>
      <c r="P19" s="1227">
        <f>IF(O19=0,0,(N19+O19))</f>
        <v>33.333333333333336</v>
      </c>
      <c r="Q19" s="1226">
        <f>100/12</f>
        <v>8.3333333333333339</v>
      </c>
      <c r="R19" s="1227">
        <f>IF(Q19=0,0,(P19+Q19))</f>
        <v>41.666666666666671</v>
      </c>
      <c r="S19" s="1226">
        <f>100/12</f>
        <v>8.3333333333333339</v>
      </c>
      <c r="T19" s="1227">
        <f>IF(S19=0,0,(R19+S19))</f>
        <v>50.000000000000007</v>
      </c>
      <c r="U19" s="1226">
        <f>100/12</f>
        <v>8.3333333333333339</v>
      </c>
      <c r="V19" s="1227">
        <f>IF(U19=0,0,(T19+U19))</f>
        <v>58.333333333333343</v>
      </c>
      <c r="W19" s="1226">
        <f>100/12</f>
        <v>8.3333333333333339</v>
      </c>
      <c r="X19" s="1227">
        <f>IF(W19=0,0,(V19+W19))</f>
        <v>66.666666666666671</v>
      </c>
      <c r="Y19" s="1226">
        <f>100/12</f>
        <v>8.3333333333333339</v>
      </c>
      <c r="Z19" s="1227">
        <f>IF(Y19=0,0,(X19+Y19))</f>
        <v>75</v>
      </c>
      <c r="AA19" s="1226">
        <f>100/12</f>
        <v>8.3333333333333339</v>
      </c>
      <c r="AB19" s="1227">
        <f>IF(AA19=0,0,(Z19+AA19))</f>
        <v>83.333333333333329</v>
      </c>
      <c r="AC19" s="1226">
        <f>100/12</f>
        <v>8.3333333333333339</v>
      </c>
      <c r="AD19" s="1227">
        <f>IF(AC19=0,0,(AB19+AC19))</f>
        <v>91.666666666666657</v>
      </c>
      <c r="AE19" s="1228">
        <f>100/12</f>
        <v>8.3333333333333339</v>
      </c>
      <c r="AF19" s="1353"/>
      <c r="AG19" s="1231"/>
    </row>
    <row r="20" spans="2:33">
      <c r="B20" s="1311"/>
      <c r="C20" s="1312"/>
      <c r="D20" s="1312"/>
      <c r="E20" s="1229"/>
      <c r="F20" s="1230"/>
      <c r="G20" s="1230"/>
      <c r="H20" s="1231"/>
      <c r="I20" s="1231"/>
      <c r="J20" s="1231"/>
      <c r="K20" s="1231"/>
      <c r="L20" s="1231"/>
      <c r="M20" s="1231"/>
      <c r="N20" s="1231"/>
      <c r="O20" s="1231"/>
      <c r="P20" s="1231"/>
      <c r="Q20" s="1231"/>
      <c r="R20" s="1231"/>
      <c r="S20" s="1231"/>
      <c r="T20" s="1231"/>
      <c r="U20" s="1231"/>
      <c r="V20" s="1231"/>
      <c r="W20" s="1231"/>
      <c r="X20" s="1231"/>
      <c r="Y20" s="1231"/>
      <c r="Z20" s="1231"/>
      <c r="AA20" s="1231"/>
      <c r="AB20" s="1231"/>
      <c r="AC20" s="1231"/>
      <c r="AD20" s="1231"/>
      <c r="AE20" s="1232"/>
      <c r="AF20" s="1232"/>
      <c r="AG20" s="1231"/>
    </row>
    <row r="21" spans="2:33" ht="15.75">
      <c r="B21" s="1537" t="s">
        <v>1459</v>
      </c>
      <c r="C21" s="1538"/>
      <c r="D21" s="1538"/>
      <c r="E21" s="1233">
        <f>SUM(E17:E19)</f>
        <v>2182556.4</v>
      </c>
      <c r="F21" s="1234">
        <f>SUM(F17:F17)</f>
        <v>100</v>
      </c>
      <c r="G21" s="1235" t="str">
        <f>+IF(F21=0,0,"%")</f>
        <v>%</v>
      </c>
      <c r="H21" s="1236">
        <f>SUMPRODUCT(H17,$F$17)/100</f>
        <v>0</v>
      </c>
      <c r="I21" s="1237">
        <f>+SUMPRODUCT($F$17:$F$17,I17:I17)/100</f>
        <v>8.3333333333333339</v>
      </c>
      <c r="J21" s="1234">
        <f>I21+H21</f>
        <v>8.3333333333333339</v>
      </c>
      <c r="K21" s="1237">
        <f>+SUMPRODUCT($F$17:$F$17,K17:K17)/100</f>
        <v>8.3333333333333339</v>
      </c>
      <c r="L21" s="1234">
        <f>IF(K21=0,0,J21+K21)</f>
        <v>16.666666666666668</v>
      </c>
      <c r="M21" s="1237">
        <f>+SUMPRODUCT($F$17:$F$17,M17:M17)/100</f>
        <v>8.3333333333333339</v>
      </c>
      <c r="N21" s="1234">
        <f>IF(M21=0,0,L21+M21)</f>
        <v>25</v>
      </c>
      <c r="O21" s="1237">
        <f>+SUMPRODUCT($F$17:$F$17,O17:O17)/100</f>
        <v>8.3333333333333339</v>
      </c>
      <c r="P21" s="1234">
        <f>IF(O21=0,0,N21+O21)</f>
        <v>33.333333333333336</v>
      </c>
      <c r="Q21" s="1237">
        <f>+SUMPRODUCT($F$17:$F$17,Q17:Q17)/100</f>
        <v>8.3333333333333339</v>
      </c>
      <c r="R21" s="1234">
        <f>IF(Q21=0,0,P21+Q21)</f>
        <v>41.666666666666671</v>
      </c>
      <c r="S21" s="1237">
        <f>+SUMPRODUCT($F$17:$F$17,S17:S17)/100</f>
        <v>8.3333333333333339</v>
      </c>
      <c r="T21" s="1234">
        <f>IF(S21=0,0,R21+S21)</f>
        <v>50.000000000000007</v>
      </c>
      <c r="U21" s="1237">
        <f>+SUMPRODUCT($F$17:$F$17,U17:U17)/100</f>
        <v>8.3333333333333339</v>
      </c>
      <c r="V21" s="1234">
        <f>IF(U21=0,0,T21+U21)</f>
        <v>58.333333333333343</v>
      </c>
      <c r="W21" s="1237">
        <f>+SUMPRODUCT($F$17:$F$17,W17:W17)/100</f>
        <v>8.3333333333333339</v>
      </c>
      <c r="X21" s="1234">
        <f>IF(W21=0,0,V21+W21)</f>
        <v>66.666666666666671</v>
      </c>
      <c r="Y21" s="1237">
        <f>+SUMPRODUCT($F$17:$F$17,Y17:Y17)/100</f>
        <v>8.3333333333333339</v>
      </c>
      <c r="Z21" s="1234">
        <f>IF(Y21=0,0,X21+Y21)</f>
        <v>75</v>
      </c>
      <c r="AA21" s="1237">
        <f>+SUMPRODUCT($F$17:$F$17,AA17:AA17)/100</f>
        <v>8.3333333333333339</v>
      </c>
      <c r="AB21" s="1234">
        <f>IF(AA21=0,0,Z21+AA21)</f>
        <v>83.333333333333329</v>
      </c>
      <c r="AC21" s="1237">
        <f>+SUMPRODUCT($F$17:$F$17,AC17:AC17)/100</f>
        <v>8.3333333333333339</v>
      </c>
      <c r="AD21" s="1234">
        <f>IF(AC21=0,0,AB21+AC21)</f>
        <v>91.666666666666657</v>
      </c>
      <c r="AE21" s="1238">
        <f>+SUMPRODUCT($F$17:$F$17,AE17:AE17)/100</f>
        <v>8.3333333333333339</v>
      </c>
      <c r="AF21" s="1313">
        <f>IF(AE21=0,0,AD21+AE21)</f>
        <v>99.999999999999986</v>
      </c>
      <c r="AG21" s="1231"/>
    </row>
    <row r="22" spans="2:33" ht="15.75">
      <c r="B22" s="1537" t="s">
        <v>1460</v>
      </c>
      <c r="C22" s="1538"/>
      <c r="D22" s="1538"/>
      <c r="E22" s="1239">
        <f>+E21</f>
        <v>2182556.4</v>
      </c>
      <c r="F22" s="1240">
        <f>+F21</f>
        <v>100</v>
      </c>
      <c r="G22" s="1235" t="str">
        <f>+IF(F22=0,0,"R$")</f>
        <v>R$</v>
      </c>
      <c r="H22" s="1236">
        <f>SUMPRODUCT(H17:H17,$F$17:$F$17)/100</f>
        <v>0</v>
      </c>
      <c r="I22" s="1241">
        <f>IF(I21=0,0,($E$22*I21)/100)</f>
        <v>181879.7</v>
      </c>
      <c r="J22" s="1242">
        <f>I22+H22</f>
        <v>181879.7</v>
      </c>
      <c r="K22" s="1241">
        <f>IF(K21=0,0,($E$22*K21)/100)</f>
        <v>181879.7</v>
      </c>
      <c r="L22" s="1242">
        <f>IF(K22=0,0,J22+K22)</f>
        <v>363759.4</v>
      </c>
      <c r="M22" s="1241">
        <f>IF(M21=0,0,($E$22*M21)/100)</f>
        <v>181879.7</v>
      </c>
      <c r="N22" s="1242">
        <f>IF(M22=0,0,L22+M22)</f>
        <v>545639.10000000009</v>
      </c>
      <c r="O22" s="1241">
        <f>IF(O21=0,0,($E$22*O21)/100)</f>
        <v>181879.7</v>
      </c>
      <c r="P22" s="1242">
        <f>IF(O22=0,0,N22+O22)</f>
        <v>727518.8</v>
      </c>
      <c r="Q22" s="1241">
        <f>IF(Q21=0,0,($E$22*Q21)/100)</f>
        <v>181879.7</v>
      </c>
      <c r="R22" s="1242">
        <f>IF(Q22=0,0,P22+Q22)</f>
        <v>909398.5</v>
      </c>
      <c r="S22" s="1241">
        <f>IF(S21=0,0,($E$22*S21)/100)</f>
        <v>181879.7</v>
      </c>
      <c r="T22" s="1242">
        <f>IF(S22=0,0,R22+S22)</f>
        <v>1091278.2</v>
      </c>
      <c r="U22" s="1241">
        <f>IF(U21=0,0,($E$22*U21)/100)</f>
        <v>181879.7</v>
      </c>
      <c r="V22" s="1242">
        <f>IF(U22=0,0,T22+U22)</f>
        <v>1273157.8999999999</v>
      </c>
      <c r="W22" s="1241">
        <f>IF(W21=0,0,($E$22*W21)/100)</f>
        <v>181879.7</v>
      </c>
      <c r="X22" s="1242">
        <f>IF(W22=0,0,V22+W22)</f>
        <v>1455037.5999999999</v>
      </c>
      <c r="Y22" s="1241">
        <f>IF(Y21=0,0,($E$22*Y21)/100)</f>
        <v>181879.7</v>
      </c>
      <c r="Z22" s="1242">
        <f>IF(Y22=0,0,X22+Y22)</f>
        <v>1636917.2999999998</v>
      </c>
      <c r="AA22" s="1241">
        <f>IF(AA21=0,0,($E$22*AA21)/100)</f>
        <v>181879.7</v>
      </c>
      <c r="AB22" s="1242">
        <f>IF(AA22=0,0,Z22+AA22)</f>
        <v>1818796.9999999998</v>
      </c>
      <c r="AC22" s="1241">
        <f>IF(AC21=0,0,($E$22*AC21)/100)</f>
        <v>181879.7</v>
      </c>
      <c r="AD22" s="1242">
        <f>IF(AC22=0,0,AB22+AC22)</f>
        <v>2000676.6999999997</v>
      </c>
      <c r="AE22" s="1243">
        <f>IF(AE21=0,0,($E$22*AE21)/100)</f>
        <v>181879.7</v>
      </c>
      <c r="AF22" s="1314">
        <f>IF(AE22=0,0,AD22+AE22)</f>
        <v>2182556.4</v>
      </c>
      <c r="AG22" s="1231"/>
    </row>
    <row r="23" spans="2:33" ht="15.75">
      <c r="B23" s="1315"/>
      <c r="C23" s="1316"/>
      <c r="D23" s="1316"/>
      <c r="E23" s="1244"/>
      <c r="F23" s="1245"/>
      <c r="G23" s="1245"/>
      <c r="H23" s="1246"/>
      <c r="I23" s="1247"/>
      <c r="J23" s="1248"/>
      <c r="K23" s="1247"/>
      <c r="L23" s="1248"/>
      <c r="M23" s="1247"/>
      <c r="N23" s="1248"/>
      <c r="O23" s="1247"/>
      <c r="P23" s="1248"/>
      <c r="Q23" s="1247"/>
      <c r="R23" s="1248"/>
      <c r="S23" s="1247"/>
      <c r="T23" s="1248"/>
      <c r="U23" s="1247"/>
      <c r="V23" s="1248"/>
      <c r="W23" s="1247"/>
      <c r="X23" s="1248"/>
      <c r="Y23" s="1247"/>
      <c r="Z23" s="1248"/>
      <c r="AA23" s="1247"/>
      <c r="AB23" s="1248"/>
      <c r="AC23" s="1247"/>
      <c r="AD23" s="1248"/>
      <c r="AE23" s="1249"/>
      <c r="AF23" s="1317"/>
      <c r="AG23" s="1231"/>
    </row>
    <row r="24" spans="2:33" ht="16.5" thickBot="1">
      <c r="B24" s="1546" t="s">
        <v>1461</v>
      </c>
      <c r="C24" s="1547"/>
      <c r="D24" s="1547"/>
      <c r="E24" s="1250">
        <f>+E22*1</f>
        <v>2182556.4</v>
      </c>
      <c r="F24" s="1251">
        <f>+E24/$E$21*100</f>
        <v>100</v>
      </c>
      <c r="G24" s="1252" t="str">
        <f>+IF(F24=0,0,"R$")</f>
        <v>R$</v>
      </c>
      <c r="H24" s="1253"/>
      <c r="I24" s="1254">
        <f>+I21/100*$E$24</f>
        <v>181879.7</v>
      </c>
      <c r="J24" s="1255">
        <f>I24+H24</f>
        <v>181879.7</v>
      </c>
      <c r="K24" s="1254">
        <f>+K21/100*$E$24</f>
        <v>181879.7</v>
      </c>
      <c r="L24" s="1255">
        <f>IF(K24=0,0,J24+K24)</f>
        <v>363759.4</v>
      </c>
      <c r="M24" s="1254">
        <f>+M21/100*$E$24</f>
        <v>181879.7</v>
      </c>
      <c r="N24" s="1255">
        <f>IF(M24=0,0,L24+M24)</f>
        <v>545639.10000000009</v>
      </c>
      <c r="O24" s="1254">
        <f>+O21/100*$E$24</f>
        <v>181879.7</v>
      </c>
      <c r="P24" s="1255">
        <f>IF(O24=0,0,N24+O24)</f>
        <v>727518.8</v>
      </c>
      <c r="Q24" s="1254">
        <f>+Q21/100*$E$24</f>
        <v>181879.7</v>
      </c>
      <c r="R24" s="1255">
        <f>IF(Q24=0,0,P24+Q24)</f>
        <v>909398.5</v>
      </c>
      <c r="S24" s="1254">
        <f>+S21/100*$E$24</f>
        <v>181879.7</v>
      </c>
      <c r="T24" s="1255">
        <f>IF(S24=0,0,R24+S24)</f>
        <v>1091278.2</v>
      </c>
      <c r="U24" s="1254">
        <f>+U21/100*$E$24</f>
        <v>181879.7</v>
      </c>
      <c r="V24" s="1255">
        <f>IF(U24=0,0,T24+U24)</f>
        <v>1273157.8999999999</v>
      </c>
      <c r="W24" s="1254">
        <f>+W21/100*$E$24</f>
        <v>181879.7</v>
      </c>
      <c r="X24" s="1255">
        <f>IF(W24=0,0,V24+W24)</f>
        <v>1455037.5999999999</v>
      </c>
      <c r="Y24" s="1254">
        <f>+Y21/100*$E$24</f>
        <v>181879.7</v>
      </c>
      <c r="Z24" s="1255">
        <f>IF(Y24=0,0,X24+Y24)</f>
        <v>1636917.2999999998</v>
      </c>
      <c r="AA24" s="1254">
        <f>+AA21/100*$E$24</f>
        <v>181879.7</v>
      </c>
      <c r="AB24" s="1255">
        <f>IF(AA24=0,0,Z24+AA24)</f>
        <v>1818796.9999999998</v>
      </c>
      <c r="AC24" s="1254">
        <f>+AC21/100*$E$24</f>
        <v>181879.7</v>
      </c>
      <c r="AD24" s="1255">
        <f>IF(AC24=0,0,AB24+AC24)</f>
        <v>2000676.6999999997</v>
      </c>
      <c r="AE24" s="1256">
        <f>+AE21/100*$E$24</f>
        <v>181879.7</v>
      </c>
      <c r="AF24" s="1318">
        <f>IF(AE24=0,0,AD24+AE24)</f>
        <v>2182556.4</v>
      </c>
      <c r="AG24" s="1231"/>
    </row>
    <row r="25" spans="2:33" ht="15.75">
      <c r="B25" s="1319"/>
      <c r="C25" s="1320"/>
      <c r="D25" s="1320"/>
      <c r="E25" s="1321"/>
      <c r="F25" s="1322"/>
      <c r="G25" s="1323"/>
      <c r="H25" s="1324"/>
      <c r="I25" s="1325"/>
      <c r="J25" s="1325"/>
      <c r="K25" s="1325"/>
      <c r="L25" s="1325"/>
      <c r="M25" s="1325"/>
      <c r="N25" s="1325"/>
      <c r="O25" s="1325"/>
      <c r="P25" s="1325"/>
      <c r="Q25" s="1325"/>
      <c r="R25" s="1325"/>
      <c r="S25" s="1325"/>
      <c r="T25" s="1326"/>
      <c r="U25" s="1325"/>
      <c r="V25" s="1325"/>
      <c r="W25" s="1325"/>
      <c r="X25" s="1325"/>
      <c r="Y25" s="1325"/>
      <c r="Z25" s="1325"/>
      <c r="AA25" s="1325"/>
      <c r="AB25" s="1325"/>
      <c r="AC25" s="1325"/>
      <c r="AD25" s="1325"/>
      <c r="AE25" s="1325"/>
      <c r="AF25" s="1327"/>
      <c r="AG25" s="1231"/>
    </row>
    <row r="26" spans="2:33">
      <c r="B26" s="1231"/>
      <c r="C26" s="1231"/>
      <c r="D26" s="1231"/>
      <c r="E26" s="1231"/>
      <c r="F26" s="1231"/>
      <c r="G26" s="1231"/>
      <c r="H26" s="1231"/>
      <c r="I26" s="1231"/>
      <c r="J26" s="1231"/>
      <c r="K26" s="1231"/>
      <c r="L26" s="1231"/>
      <c r="M26" s="1231"/>
      <c r="N26" s="1231"/>
      <c r="O26" s="1231"/>
      <c r="P26" s="1231"/>
      <c r="Q26" s="1231"/>
      <c r="R26" s="1231"/>
      <c r="S26" s="1231"/>
      <c r="T26" s="1231"/>
      <c r="U26" s="1231"/>
      <c r="V26" s="1231"/>
      <c r="W26" s="1231"/>
      <c r="X26" s="1231"/>
      <c r="Y26" s="1231"/>
      <c r="Z26" s="1231"/>
      <c r="AA26" s="1231"/>
      <c r="AB26" s="1231"/>
      <c r="AC26" s="1231"/>
      <c r="AD26" s="1231"/>
      <c r="AE26" s="1231"/>
      <c r="AF26" s="1231"/>
      <c r="AG26" s="1231"/>
    </row>
    <row r="27" spans="2:33">
      <c r="B27" s="1231"/>
      <c r="C27" s="1231"/>
      <c r="D27" s="1231"/>
      <c r="E27" s="1231"/>
      <c r="F27" s="1231"/>
      <c r="G27" s="1231"/>
      <c r="H27" s="1231"/>
      <c r="I27" s="1231"/>
      <c r="J27" s="1231"/>
      <c r="K27" s="1231"/>
      <c r="L27" s="1231"/>
      <c r="M27" s="1231"/>
      <c r="N27" s="1231"/>
      <c r="O27" s="1231"/>
      <c r="P27" s="1231"/>
      <c r="Q27" s="1231"/>
      <c r="R27" s="1231"/>
      <c r="S27" s="1231"/>
      <c r="T27" s="1231"/>
      <c r="U27" s="1231"/>
      <c r="V27" s="1231"/>
      <c r="W27" s="1231"/>
      <c r="X27" s="1231"/>
      <c r="Y27" s="1231"/>
      <c r="Z27" s="1231"/>
      <c r="AA27" s="1231"/>
      <c r="AB27" s="1231"/>
      <c r="AC27" s="1231"/>
      <c r="AD27" s="1231"/>
      <c r="AE27" s="1231"/>
      <c r="AF27" s="1231"/>
      <c r="AG27" s="1231"/>
    </row>
    <row r="28" spans="2:33">
      <c r="B28" s="1231"/>
      <c r="C28" s="1231"/>
      <c r="D28" s="1231"/>
      <c r="E28" s="1231"/>
      <c r="F28" s="1231"/>
      <c r="G28" s="1231"/>
      <c r="H28" s="1231"/>
      <c r="I28" s="1231"/>
      <c r="J28" s="1231"/>
      <c r="K28" s="1231"/>
      <c r="L28" s="1231"/>
      <c r="M28" s="1231"/>
      <c r="N28" s="1231"/>
      <c r="O28" s="1231"/>
      <c r="P28" s="1231"/>
      <c r="Q28" s="1231"/>
      <c r="R28" s="1231"/>
      <c r="S28" s="1231"/>
      <c r="T28" s="1231"/>
      <c r="U28" s="1231"/>
      <c r="V28" s="1231"/>
      <c r="W28" s="1231"/>
      <c r="X28" s="1231"/>
      <c r="Y28" s="1231"/>
      <c r="Z28" s="1231"/>
      <c r="AA28" s="1231"/>
      <c r="AB28" s="1231"/>
      <c r="AC28" s="1231"/>
      <c r="AD28" s="1231"/>
      <c r="AE28" s="1231"/>
      <c r="AF28" s="1231"/>
      <c r="AG28" s="1231"/>
    </row>
    <row r="29" spans="2:33">
      <c r="B29" s="1231"/>
      <c r="C29" s="1231"/>
      <c r="D29" s="1231"/>
      <c r="E29" s="1231"/>
      <c r="F29" s="1231"/>
      <c r="G29" s="1231"/>
      <c r="H29" s="1231"/>
      <c r="I29" s="1231"/>
      <c r="J29" s="1231"/>
      <c r="K29" s="1231"/>
      <c r="L29" s="1231"/>
      <c r="M29" s="1231"/>
      <c r="N29" s="1231"/>
      <c r="O29" s="1231"/>
      <c r="P29" s="1231"/>
      <c r="Q29" s="1231"/>
      <c r="R29" s="1231"/>
      <c r="S29" s="1231"/>
      <c r="T29" s="1231"/>
      <c r="U29" s="1231"/>
      <c r="V29" s="1231"/>
      <c r="W29" s="1231"/>
      <c r="X29" s="1231"/>
      <c r="Y29" s="1231"/>
      <c r="Z29" s="1231"/>
      <c r="AA29" s="1231"/>
      <c r="AB29" s="1231"/>
      <c r="AC29" s="1231"/>
      <c r="AD29" s="1231"/>
      <c r="AE29" s="1231"/>
      <c r="AF29" s="1231"/>
      <c r="AG29" s="1231"/>
    </row>
    <row r="30" spans="2:33">
      <c r="B30" s="1231"/>
      <c r="C30" s="1328">
        <f ca="1">+NOW()</f>
        <v>45845.420813888886</v>
      </c>
      <c r="D30" s="1231"/>
      <c r="E30" s="1231"/>
      <c r="F30" s="1230"/>
      <c r="G30" s="1230"/>
      <c r="H30" s="1231"/>
      <c r="I30" s="1231"/>
      <c r="J30" s="1231"/>
      <c r="K30" s="1231"/>
      <c r="L30" s="1231"/>
      <c r="M30" s="1231"/>
      <c r="N30" s="1231"/>
      <c r="O30" s="1231"/>
      <c r="P30" s="1231"/>
      <c r="Q30" s="1270"/>
      <c r="R30" s="1270"/>
      <c r="S30" s="1270"/>
      <c r="T30" s="1270"/>
      <c r="U30" s="1270"/>
      <c r="V30" s="1270"/>
      <c r="W30" s="1270"/>
      <c r="X30" s="1231"/>
      <c r="Y30" s="1231"/>
      <c r="Z30" s="1231"/>
      <c r="AA30" s="1231"/>
      <c r="AB30" s="1231"/>
      <c r="AC30" s="1231"/>
      <c r="AD30" s="1231"/>
      <c r="AE30" s="1231"/>
      <c r="AF30" s="1231"/>
      <c r="AG30" s="1231"/>
    </row>
    <row r="31" spans="2:33" ht="12" customHeight="1">
      <c r="B31" s="1231"/>
      <c r="C31" s="1230" t="s">
        <v>1462</v>
      </c>
      <c r="D31" s="1231"/>
      <c r="E31" s="1231"/>
      <c r="F31" s="1230"/>
      <c r="G31" s="1230"/>
      <c r="H31" s="1231"/>
      <c r="I31" s="1231"/>
      <c r="J31" s="1231"/>
      <c r="K31" s="1231"/>
      <c r="L31" s="1231"/>
      <c r="M31" s="1231"/>
      <c r="N31" s="1231"/>
      <c r="O31" s="1231"/>
      <c r="P31" s="1231"/>
      <c r="Q31" s="1527" t="str">
        <f>_xlfn.CONCAT(Q6," - ",SUBSTITUTE(O7,":",""))</f>
        <v>Renato Cesar de Freitas - CREA 228795-D/SP</v>
      </c>
      <c r="R31" s="1527"/>
      <c r="S31" s="1527"/>
      <c r="T31" s="1527"/>
      <c r="U31" s="1527"/>
      <c r="V31" s="1527"/>
      <c r="W31" s="1527"/>
      <c r="X31" s="1231"/>
      <c r="Y31" s="1231"/>
      <c r="Z31" s="1231"/>
      <c r="AA31" s="1231"/>
      <c r="AB31" s="1231"/>
      <c r="AC31" s="1231"/>
      <c r="AD31" s="1231"/>
      <c r="AE31" s="1231"/>
      <c r="AF31" s="1231"/>
      <c r="AG31" s="1231"/>
    </row>
    <row r="32" spans="2:33">
      <c r="B32" s="1231"/>
      <c r="C32" s="1231"/>
      <c r="D32" s="1231"/>
      <c r="E32" s="1231"/>
      <c r="F32" s="1230"/>
      <c r="G32" s="1230"/>
      <c r="H32" s="1231"/>
      <c r="I32" s="1231"/>
      <c r="J32" s="1329"/>
      <c r="K32" s="1329"/>
      <c r="L32" s="1329"/>
      <c r="M32" s="1329"/>
      <c r="N32" s="1231"/>
      <c r="O32" s="1231"/>
      <c r="P32" s="1231"/>
      <c r="Q32" s="1231"/>
      <c r="R32" s="1231"/>
      <c r="S32" s="1231"/>
      <c r="T32" s="1231"/>
      <c r="U32" s="1231"/>
      <c r="V32" s="1231"/>
      <c r="W32" s="1231"/>
      <c r="X32" s="1231"/>
      <c r="Y32" s="1231"/>
      <c r="Z32" s="1231"/>
      <c r="AA32" s="1231"/>
      <c r="AB32" s="1231"/>
      <c r="AC32" s="1231"/>
      <c r="AD32" s="1231"/>
      <c r="AE32" s="1231"/>
      <c r="AF32" s="1231"/>
      <c r="AG32" s="1231"/>
    </row>
    <row r="33" spans="6:32">
      <c r="F33" s="1015"/>
      <c r="G33" s="1015"/>
      <c r="H33" s="1016"/>
      <c r="I33" s="1016"/>
      <c r="Q33" s="1017"/>
      <c r="R33" s="1018"/>
      <c r="S33" s="1017"/>
      <c r="T33" s="1017"/>
      <c r="U33" s="1017"/>
      <c r="V33" s="1017"/>
      <c r="W33" s="1017"/>
      <c r="X33" s="1017"/>
      <c r="Y33" s="1017"/>
      <c r="Z33" s="1017"/>
      <c r="AA33" s="1017"/>
      <c r="AB33" s="1017"/>
      <c r="AC33" s="1017"/>
      <c r="AD33" s="1017"/>
      <c r="AE33" s="1017"/>
      <c r="AF33" s="1017"/>
    </row>
  </sheetData>
  <protectedRanges>
    <protectedRange sqref="D9 Q6 O7" name="Intervalo1"/>
  </protectedRanges>
  <mergeCells count="15">
    <mergeCell ref="L6:O6"/>
    <mergeCell ref="Q31:W31"/>
    <mergeCell ref="E14:E16"/>
    <mergeCell ref="G14:G16"/>
    <mergeCell ref="L8:M8"/>
    <mergeCell ref="F14:F16"/>
    <mergeCell ref="D9:I9"/>
    <mergeCell ref="B22:D22"/>
    <mergeCell ref="O10:Q10"/>
    <mergeCell ref="C14:D16"/>
    <mergeCell ref="B24:D24"/>
    <mergeCell ref="B21:D21"/>
    <mergeCell ref="C17:D17"/>
    <mergeCell ref="C18:D18"/>
    <mergeCell ref="C19:D19"/>
  </mergeCells>
  <conditionalFormatting sqref="H21">
    <cfRule type="cellIs" dxfId="12" priority="6" stopIfTrue="1" operator="notEqual">
      <formula>0</formula>
    </cfRule>
  </conditionalFormatting>
  <conditionalFormatting sqref="J17:J19 L17:L19 N17:N19 P17:P19 R17:R19 T17:T19 V17:V19 X17:X19 Z17:Z19 AB17:AB19 AD17:AD19">
    <cfRule type="cellIs" dxfId="11" priority="1" stopIfTrue="1" operator="greaterThan">
      <formula>100</formula>
    </cfRule>
  </conditionalFormatting>
  <conditionalFormatting sqref="AF17:AF19">
    <cfRule type="cellIs" dxfId="10" priority="3" stopIfTrue="1" operator="greaterThan">
      <formula>100</formula>
    </cfRule>
  </conditionalFormatting>
  <printOptions horizontalCentered="1"/>
  <pageMargins left="0.39370078740157483" right="0.39370078740157483" top="1.1811023622047245" bottom="0.78740157480314965" header="0.31496062992125984" footer="0.31496062992125984"/>
  <pageSetup paperSize="9" scale="57" fitToHeight="0" orientation="landscape" r:id="rId1"/>
  <headerFooter>
    <oddHeader>&amp;L&amp;G&amp;C&amp;"Times New Roman,Negrito itálico"&amp;14Estado de Mato Grosso do Sul
Prefeitura Municipal de Cassilândia/MS&amp;R&amp;G</oddHeader>
    <oddFooter>&amp;C&amp;"Times New Roman,Normal"&amp;10&amp;K130BB5Rua Domingos de Souza França, nº420 – Centro - (67) 3596-1301 – Cassilândia – MS</oddFooter>
  </headerFooter>
  <legacyDrawing r:id="rId2"/>
  <legacyDrawingHF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B1:R297"/>
  <sheetViews>
    <sheetView showGridLines="0" view="pageBreakPreview" topLeftCell="A286" zoomScale="115" zoomScaleNormal="85" zoomScaleSheetLayoutView="115" zoomScalePageLayoutView="85" workbookViewId="0">
      <selection activeCell="E25" sqref="E25"/>
    </sheetView>
  </sheetViews>
  <sheetFormatPr defaultColWidth="9.140625" defaultRowHeight="15"/>
  <cols>
    <col min="1" max="1" width="9.140625" style="940"/>
    <col min="2" max="2" width="18" style="954" customWidth="1"/>
    <col min="3" max="3" width="12.5703125" style="954" customWidth="1"/>
    <col min="4" max="4" width="13.7109375" style="954" customWidth="1"/>
    <col min="5" max="6" width="14.28515625" style="954" customWidth="1"/>
    <col min="7" max="7" width="16.85546875" style="954" customWidth="1"/>
    <col min="8" max="8" width="15" style="954" customWidth="1"/>
    <col min="9" max="9" width="10" style="940" bestFit="1" customWidth="1"/>
    <col min="10" max="11" width="9.140625" style="940"/>
    <col min="12" max="12" width="9.140625" style="942"/>
    <col min="13" max="14" width="9.140625" style="940"/>
    <col min="15" max="15" width="39" style="940" bestFit="1" customWidth="1"/>
    <col min="16" max="16" width="25.5703125" style="940" bestFit="1" customWidth="1"/>
    <col min="17" max="17" width="16.85546875" style="940" bestFit="1" customWidth="1"/>
    <col min="18" max="16384" width="9.140625" style="940"/>
  </cols>
  <sheetData>
    <row r="1" spans="2:17">
      <c r="B1" s="1023"/>
      <c r="C1" s="1023"/>
      <c r="D1" s="1024"/>
      <c r="E1" s="1024"/>
      <c r="F1" s="1024"/>
      <c r="G1" s="1024"/>
      <c r="H1" s="1024"/>
      <c r="I1" s="941"/>
    </row>
    <row r="2" spans="2:17" ht="45" customHeight="1">
      <c r="B2" s="1524" t="s">
        <v>1540</v>
      </c>
      <c r="C2" s="1524"/>
      <c r="D2" s="1524"/>
      <c r="E2" s="1524"/>
      <c r="F2" s="1524"/>
      <c r="G2" s="1524"/>
      <c r="H2" s="1524"/>
      <c r="I2" s="941"/>
    </row>
    <row r="3" spans="2:17">
      <c r="B3" s="1023"/>
      <c r="C3" s="1023"/>
      <c r="D3" s="1024"/>
      <c r="E3" s="1024"/>
      <c r="F3" s="1024"/>
      <c r="G3" s="1024"/>
      <c r="H3" s="1024"/>
      <c r="I3" s="941"/>
    </row>
    <row r="4" spans="2:17" ht="18.75">
      <c r="B4" s="1025" t="s">
        <v>1527</v>
      </c>
      <c r="C4" s="1024"/>
      <c r="D4" s="1024"/>
      <c r="E4" s="1024"/>
      <c r="F4" s="1024"/>
      <c r="G4" s="1024"/>
      <c r="H4" s="1024"/>
      <c r="I4" s="943"/>
    </row>
    <row r="5" spans="2:17" ht="18.75">
      <c r="B5" s="1025"/>
      <c r="C5" s="1024"/>
      <c r="D5" s="1024"/>
      <c r="E5" s="1024"/>
      <c r="F5" s="1024"/>
      <c r="G5" s="1024"/>
      <c r="H5" s="1024"/>
      <c r="I5" s="941"/>
    </row>
    <row r="6" spans="2:17">
      <c r="B6" s="1026" t="s">
        <v>1488</v>
      </c>
      <c r="C6" s="1024"/>
      <c r="D6" s="1024"/>
      <c r="E6" s="1024"/>
      <c r="F6" s="1024"/>
      <c r="G6" s="1027" t="s">
        <v>1509</v>
      </c>
      <c r="H6" s="1351">
        <v>25.25</v>
      </c>
      <c r="I6" s="941"/>
      <c r="J6" s="944"/>
    </row>
    <row r="7" spans="2:17">
      <c r="B7" s="1023"/>
      <c r="C7" s="1023"/>
      <c r="D7" s="1023"/>
      <c r="E7" s="1023"/>
      <c r="F7" s="1023"/>
      <c r="G7" s="1024"/>
      <c r="H7" s="1024"/>
      <c r="I7" s="941"/>
      <c r="O7" s="945"/>
      <c r="P7" s="945"/>
      <c r="Q7" s="945"/>
    </row>
    <row r="8" spans="2:17" ht="15.75" customHeight="1">
      <c r="B8" s="1029" t="s">
        <v>1348</v>
      </c>
      <c r="C8" s="1030"/>
      <c r="D8" s="1030"/>
      <c r="E8" s="1030" t="s">
        <v>1351</v>
      </c>
      <c r="F8" s="1031">
        <v>22778</v>
      </c>
      <c r="G8" s="1024"/>
      <c r="H8" s="1024"/>
      <c r="I8" s="941"/>
      <c r="O8" s="945"/>
      <c r="P8" s="945"/>
      <c r="Q8" s="945"/>
    </row>
    <row r="9" spans="2:17" ht="15.75" customHeight="1">
      <c r="B9" s="1032" t="s">
        <v>1350</v>
      </c>
      <c r="C9" s="1024"/>
      <c r="D9" s="1024"/>
      <c r="E9" s="1024" t="s">
        <v>601</v>
      </c>
      <c r="F9" s="1033">
        <v>7937</v>
      </c>
      <c r="G9" s="1024"/>
      <c r="H9" s="1024"/>
      <c r="I9" s="941"/>
      <c r="O9" s="945"/>
      <c r="P9" s="945"/>
      <c r="Q9" s="945"/>
    </row>
    <row r="10" spans="2:17" ht="15.75" customHeight="1">
      <c r="B10" s="1034" t="s">
        <v>1479</v>
      </c>
      <c r="C10" s="1035"/>
      <c r="D10" s="1035"/>
      <c r="E10" s="1035" t="s">
        <v>1041</v>
      </c>
      <c r="F10" s="1345">
        <v>6817.2447999999995</v>
      </c>
      <c r="G10" s="1024"/>
      <c r="H10" s="1024"/>
      <c r="I10" s="941"/>
      <c r="O10" s="945"/>
      <c r="P10" s="945"/>
      <c r="Q10" s="945"/>
    </row>
    <row r="11" spans="2:17">
      <c r="B11" s="1023"/>
      <c r="C11" s="1023"/>
      <c r="D11" s="1023"/>
      <c r="E11" s="1023"/>
      <c r="F11" s="1023"/>
      <c r="G11" s="1023"/>
      <c r="H11" s="1024"/>
      <c r="I11" s="941"/>
      <c r="Q11" s="945"/>
    </row>
    <row r="12" spans="2:17">
      <c r="B12" s="1349" t="s">
        <v>1480</v>
      </c>
      <c r="C12" s="1349"/>
      <c r="D12" s="1350"/>
      <c r="E12" s="1349">
        <v>153.54</v>
      </c>
      <c r="F12" s="1350" t="s">
        <v>1243</v>
      </c>
      <c r="G12" s="1023"/>
      <c r="H12" s="1024"/>
      <c r="I12" s="941"/>
      <c r="Q12" s="945"/>
    </row>
    <row r="13" spans="2:17">
      <c r="B13" s="1023"/>
      <c r="C13" s="1023"/>
      <c r="D13" s="1023"/>
      <c r="E13" s="1023"/>
      <c r="F13" s="1023"/>
      <c r="G13" s="1023"/>
      <c r="H13" s="1024"/>
      <c r="I13" s="941"/>
      <c r="Q13" s="945"/>
    </row>
    <row r="14" spans="2:17">
      <c r="B14" s="1024" t="s">
        <v>1034</v>
      </c>
      <c r="C14" s="1024"/>
      <c r="D14" s="1024"/>
      <c r="E14" s="1028">
        <f>F10/(H6*12)</f>
        <v>22.499157755775578</v>
      </c>
      <c r="F14" s="1024" t="s">
        <v>1363</v>
      </c>
      <c r="G14" s="1023"/>
      <c r="H14" s="1024"/>
      <c r="I14" s="941"/>
      <c r="O14" s="945"/>
      <c r="P14" s="945"/>
      <c r="Q14" s="945"/>
    </row>
    <row r="15" spans="2:17">
      <c r="B15" s="1024" t="s">
        <v>1034</v>
      </c>
      <c r="C15" s="1024"/>
      <c r="D15" s="1024"/>
      <c r="E15" s="1037">
        <f>E14*1000/E12</f>
        <v>146.53613231584981</v>
      </c>
      <c r="F15" s="1024" t="s">
        <v>712</v>
      </c>
      <c r="G15" s="1023"/>
      <c r="H15" s="1024"/>
      <c r="I15" s="941"/>
      <c r="O15" s="945"/>
      <c r="P15" s="946"/>
      <c r="Q15" s="945"/>
    </row>
    <row r="16" spans="2:17" ht="15.75" thickBot="1">
      <c r="B16" s="1024"/>
      <c r="C16" s="1024"/>
      <c r="D16" s="1024"/>
      <c r="E16" s="1024"/>
      <c r="F16" s="1024"/>
      <c r="G16" s="1023"/>
      <c r="H16" s="1024"/>
      <c r="I16" s="941"/>
      <c r="O16" s="945"/>
      <c r="P16" s="946"/>
      <c r="Q16" s="945"/>
    </row>
    <row r="17" spans="2:17" ht="15.75" thickBot="1">
      <c r="B17" s="1038" t="s">
        <v>1060</v>
      </c>
      <c r="C17" s="1039"/>
      <c r="D17" s="1039"/>
      <c r="E17" s="1039"/>
      <c r="F17" s="1040">
        <v>2</v>
      </c>
      <c r="G17" s="1041"/>
      <c r="H17" s="1024"/>
      <c r="I17" s="941"/>
      <c r="O17" s="945"/>
      <c r="P17" s="946"/>
      <c r="Q17" s="945"/>
    </row>
    <row r="18" spans="2:17">
      <c r="B18" s="1024"/>
      <c r="C18" s="1024"/>
      <c r="D18" s="1024"/>
      <c r="E18" s="1024"/>
      <c r="F18" s="1024"/>
      <c r="G18" s="1024"/>
      <c r="H18" s="1024"/>
      <c r="I18" s="941"/>
      <c r="O18" s="945"/>
      <c r="P18" s="946"/>
      <c r="Q18" s="945"/>
    </row>
    <row r="19" spans="2:17">
      <c r="B19" s="1026" t="s">
        <v>1430</v>
      </c>
      <c r="C19" s="1024"/>
      <c r="D19" s="1024"/>
      <c r="E19" s="1024"/>
      <c r="F19" s="1024"/>
      <c r="G19" s="1024"/>
      <c r="H19" s="1024"/>
      <c r="I19" s="941"/>
      <c r="O19" s="945"/>
      <c r="P19" s="946"/>
      <c r="Q19" s="945"/>
    </row>
    <row r="20" spans="2:17">
      <c r="B20" s="1024"/>
      <c r="C20" s="1024"/>
      <c r="D20" s="1024"/>
      <c r="E20" s="1024"/>
      <c r="F20" s="1024"/>
      <c r="G20" s="1024"/>
      <c r="H20" s="1024"/>
      <c r="I20" s="941"/>
      <c r="O20" s="945"/>
      <c r="P20" s="946"/>
      <c r="Q20" s="945"/>
    </row>
    <row r="21" spans="2:17">
      <c r="B21" s="1036" t="s">
        <v>576</v>
      </c>
      <c r="C21" s="1036"/>
      <c r="D21" s="1036"/>
      <c r="E21" s="1042">
        <v>0</v>
      </c>
      <c r="F21" s="1023"/>
      <c r="G21" s="1024"/>
      <c r="H21" s="1024"/>
      <c r="I21" s="941"/>
      <c r="O21" s="945"/>
      <c r="P21" s="946"/>
      <c r="Q21" s="945"/>
    </row>
    <row r="22" spans="2:17" ht="15.75" thickBot="1">
      <c r="B22" s="1024"/>
      <c r="C22" s="1024"/>
      <c r="D22" s="1024"/>
      <c r="E22" s="1024"/>
      <c r="F22" s="1024"/>
      <c r="G22" s="1024"/>
      <c r="H22" s="1024"/>
      <c r="I22" s="941"/>
      <c r="O22" s="945"/>
      <c r="P22" s="946"/>
      <c r="Q22" s="945"/>
    </row>
    <row r="23" spans="2:17">
      <c r="B23" s="1365" t="s">
        <v>1066</v>
      </c>
      <c r="C23" s="1366"/>
      <c r="D23" s="1367"/>
      <c r="E23" s="1368">
        <v>2</v>
      </c>
      <c r="F23" s="1024"/>
      <c r="G23" s="1024"/>
      <c r="H23" s="1024"/>
      <c r="I23" s="941"/>
      <c r="O23" s="945"/>
      <c r="P23" s="947"/>
      <c r="Q23" s="945"/>
    </row>
    <row r="24" spans="2:17">
      <c r="B24" s="1369" t="s">
        <v>1357</v>
      </c>
      <c r="C24" s="1370"/>
      <c r="D24" s="1371"/>
      <c r="E24" s="1372">
        <v>4</v>
      </c>
      <c r="F24" s="1024"/>
      <c r="G24" s="1024"/>
      <c r="H24" s="1024"/>
      <c r="I24" s="941"/>
    </row>
    <row r="25" spans="2:17">
      <c r="B25" s="1369" t="s">
        <v>1347</v>
      </c>
      <c r="C25" s="1370"/>
      <c r="D25" s="1371"/>
      <c r="E25" s="1372">
        <v>1</v>
      </c>
      <c r="F25" s="1024"/>
      <c r="G25" s="1024"/>
      <c r="H25" s="1024"/>
      <c r="I25" s="941"/>
    </row>
    <row r="26" spans="2:17">
      <c r="B26" s="1369" t="s">
        <v>555</v>
      </c>
      <c r="C26" s="1370"/>
      <c r="D26" s="1371"/>
      <c r="E26" s="1373">
        <f>E21</f>
        <v>0</v>
      </c>
      <c r="F26" s="1024"/>
      <c r="G26" s="1023"/>
      <c r="H26" s="1023"/>
      <c r="I26" s="941"/>
    </row>
    <row r="27" spans="2:17" ht="15.75" thickBot="1">
      <c r="B27" s="1374" t="s">
        <v>1180</v>
      </c>
      <c r="C27" s="1375"/>
      <c r="D27" s="1376"/>
      <c r="E27" s="1377">
        <f>SUM(E23:E26)</f>
        <v>7</v>
      </c>
      <c r="F27" s="1024"/>
      <c r="G27" s="1024"/>
      <c r="H27" s="1024"/>
      <c r="I27" s="941"/>
      <c r="O27" s="945"/>
      <c r="P27" s="945"/>
      <c r="Q27" s="945"/>
    </row>
    <row r="28" spans="2:17">
      <c r="B28" s="1024"/>
      <c r="C28" s="1024"/>
      <c r="D28" s="1024"/>
      <c r="E28" s="1024"/>
      <c r="F28" s="1024"/>
      <c r="G28" s="1024"/>
      <c r="H28" s="1024"/>
      <c r="I28" s="941"/>
      <c r="O28" s="945"/>
      <c r="P28" s="945"/>
      <c r="Q28" s="945"/>
    </row>
    <row r="29" spans="2:17">
      <c r="B29" s="1026" t="s">
        <v>1431</v>
      </c>
      <c r="C29" s="1024"/>
      <c r="D29" s="1024"/>
      <c r="E29" s="1024"/>
      <c r="F29" s="1024"/>
      <c r="G29" s="1024"/>
      <c r="H29" s="1024"/>
      <c r="I29" s="941"/>
      <c r="O29" s="945"/>
      <c r="P29" s="948"/>
      <c r="Q29" s="945"/>
    </row>
    <row r="30" spans="2:17" ht="15.75" thickBot="1">
      <c r="B30" s="1026" t="s">
        <v>565</v>
      </c>
      <c r="C30" s="1024"/>
      <c r="D30" s="1024"/>
      <c r="E30" s="1024"/>
      <c r="F30" s="1024"/>
      <c r="G30" s="1024"/>
      <c r="H30" s="1024"/>
      <c r="I30" s="941"/>
      <c r="O30" s="945"/>
      <c r="P30" s="945"/>
      <c r="Q30" s="945"/>
    </row>
    <row r="31" spans="2:17" ht="14.25">
      <c r="B31" s="1044" t="s">
        <v>900</v>
      </c>
      <c r="C31" s="1045"/>
      <c r="D31" s="1045"/>
      <c r="E31" s="1044" t="s">
        <v>901</v>
      </c>
      <c r="F31" s="1045"/>
      <c r="G31" s="1046"/>
      <c r="H31" s="1047" t="s">
        <v>584</v>
      </c>
      <c r="I31" s="941"/>
    </row>
    <row r="32" spans="2:17">
      <c r="B32" s="1029" t="s">
        <v>423</v>
      </c>
      <c r="C32" s="1030"/>
      <c r="D32" s="1030"/>
      <c r="E32" s="1330">
        <v>12</v>
      </c>
      <c r="F32" s="1048" t="s">
        <v>1039</v>
      </c>
      <c r="G32" s="1030"/>
      <c r="H32" s="1049">
        <f>TRUNC($F$17*E32/12,2)</f>
        <v>2</v>
      </c>
      <c r="I32" s="941"/>
      <c r="L32" s="949"/>
    </row>
    <row r="33" spans="2:12">
      <c r="B33" s="1032" t="s">
        <v>1349</v>
      </c>
      <c r="C33" s="1024"/>
      <c r="D33" s="1024"/>
      <c r="E33" s="1331">
        <v>6</v>
      </c>
      <c r="F33" s="1050" t="s">
        <v>1039</v>
      </c>
      <c r="G33" s="1051"/>
      <c r="H33" s="1043">
        <f>TRUNC($F$17*E33/12,2)</f>
        <v>1</v>
      </c>
      <c r="I33" s="941"/>
      <c r="L33" s="949"/>
    </row>
    <row r="34" spans="2:12">
      <c r="B34" s="1032" t="s">
        <v>1361</v>
      </c>
      <c r="C34" s="1024"/>
      <c r="D34" s="1024"/>
      <c r="E34" s="1331">
        <v>1000</v>
      </c>
      <c r="F34" s="1050" t="s">
        <v>1039</v>
      </c>
      <c r="G34" s="1051"/>
      <c r="H34" s="1043">
        <f>TRUNC($F$17*E34/12,2)</f>
        <v>166.66</v>
      </c>
      <c r="I34" s="941"/>
      <c r="L34" s="949"/>
    </row>
    <row r="35" spans="2:12">
      <c r="B35" s="1032" t="s">
        <v>1428</v>
      </c>
      <c r="C35" s="1024"/>
      <c r="D35" s="1024"/>
      <c r="E35" s="1331">
        <v>0</v>
      </c>
      <c r="F35" s="1052" t="s">
        <v>1427</v>
      </c>
      <c r="G35" s="1051"/>
      <c r="H35" s="1043">
        <f>TRUNC($F$9*E35/12,2)</f>
        <v>0</v>
      </c>
      <c r="I35" s="941"/>
      <c r="L35" s="949"/>
    </row>
    <row r="36" spans="2:12" ht="15.75" thickBot="1">
      <c r="B36" s="1034" t="s">
        <v>1429</v>
      </c>
      <c r="C36" s="1035"/>
      <c r="D36" s="1035"/>
      <c r="E36" s="1332">
        <v>0</v>
      </c>
      <c r="F36" s="1053" t="s">
        <v>1427</v>
      </c>
      <c r="G36" s="1054"/>
      <c r="H36" s="1055">
        <f>TRUNC($F$9*E36/12,2)</f>
        <v>0</v>
      </c>
      <c r="I36" s="941"/>
      <c r="L36" s="949"/>
    </row>
    <row r="37" spans="2:12">
      <c r="B37" s="1056" t="s">
        <v>595</v>
      </c>
      <c r="C37" s="1024"/>
      <c r="D37" s="1024"/>
      <c r="E37" s="1024"/>
      <c r="F37" s="1024"/>
      <c r="G37" s="1024"/>
      <c r="H37" s="1024"/>
      <c r="I37" s="941"/>
    </row>
    <row r="38" spans="2:12">
      <c r="B38" s="1056"/>
      <c r="C38" s="1024"/>
      <c r="D38" s="1024"/>
      <c r="E38" s="1024"/>
      <c r="F38" s="1024"/>
      <c r="G38" s="1024"/>
      <c r="H38" s="1024"/>
      <c r="I38" s="941"/>
    </row>
    <row r="39" spans="2:12" ht="15.75" thickBot="1">
      <c r="B39" s="1026" t="s">
        <v>547</v>
      </c>
      <c r="C39" s="1024"/>
      <c r="D39" s="1024"/>
      <c r="E39" s="1024"/>
      <c r="F39" s="1024"/>
      <c r="G39" s="1024"/>
      <c r="H39" s="1024"/>
      <c r="I39" s="941"/>
    </row>
    <row r="40" spans="2:12" ht="14.25">
      <c r="B40" s="1044" t="s">
        <v>900</v>
      </c>
      <c r="C40" s="1045"/>
      <c r="D40" s="1045"/>
      <c r="E40" s="1044" t="s">
        <v>901</v>
      </c>
      <c r="F40" s="1045"/>
      <c r="G40" s="1057" t="s">
        <v>1163</v>
      </c>
      <c r="H40" s="1047" t="s">
        <v>384</v>
      </c>
      <c r="I40" s="941"/>
    </row>
    <row r="41" spans="2:12" ht="15.75" thickBot="1">
      <c r="B41" s="1038"/>
      <c r="C41" s="1039"/>
      <c r="D41" s="1039"/>
      <c r="E41" s="1058"/>
      <c r="F41" s="1059"/>
      <c r="G41" s="1060"/>
      <c r="H41" s="1061"/>
      <c r="I41" s="941"/>
    </row>
    <row r="42" spans="2:12">
      <c r="B42" s="1056" t="s">
        <v>595</v>
      </c>
      <c r="C42" s="1024"/>
      <c r="D42" s="1024"/>
      <c r="E42" s="1024"/>
      <c r="F42" s="1024"/>
      <c r="G42" s="1024"/>
      <c r="H42" s="1024"/>
      <c r="I42" s="941"/>
    </row>
    <row r="43" spans="2:12">
      <c r="B43" s="1056"/>
      <c r="C43" s="1024"/>
      <c r="D43" s="1024"/>
      <c r="E43" s="1024"/>
      <c r="F43" s="1024"/>
      <c r="G43" s="1024"/>
      <c r="H43" s="1024"/>
      <c r="I43" s="941"/>
    </row>
    <row r="44" spans="2:12" ht="15.75" thickBot="1">
      <c r="B44" s="1026" t="s">
        <v>1161</v>
      </c>
      <c r="C44" s="1024"/>
      <c r="D44" s="1024"/>
      <c r="E44" s="1024"/>
      <c r="F44" s="1024"/>
      <c r="G44" s="1024"/>
      <c r="H44" s="1024"/>
    </row>
    <row r="45" spans="2:12" ht="14.25">
      <c r="B45" s="1044" t="s">
        <v>900</v>
      </c>
      <c r="C45" s="1045"/>
      <c r="D45" s="1045"/>
      <c r="E45" s="1044" t="s">
        <v>901</v>
      </c>
      <c r="F45" s="1045"/>
      <c r="G45" s="1046"/>
      <c r="H45" s="1047" t="s">
        <v>584</v>
      </c>
    </row>
    <row r="46" spans="2:12">
      <c r="B46" s="1029" t="s">
        <v>604</v>
      </c>
      <c r="C46" s="1030"/>
      <c r="D46" s="1030"/>
      <c r="E46" s="1330">
        <v>5</v>
      </c>
      <c r="F46" s="1048" t="s">
        <v>1039</v>
      </c>
      <c r="G46" s="1030"/>
      <c r="H46" s="1049">
        <f>TRUNC(E46*$F$17/12,2)</f>
        <v>0.83</v>
      </c>
    </row>
    <row r="47" spans="2:12">
      <c r="B47" s="1032" t="s">
        <v>1038</v>
      </c>
      <c r="C47" s="1024"/>
      <c r="D47" s="1024"/>
      <c r="E47" s="1331">
        <v>6</v>
      </c>
      <c r="F47" s="1052" t="s">
        <v>1039</v>
      </c>
      <c r="G47" s="1024"/>
      <c r="H47" s="1043">
        <f>TRUNC(E47*$F$17/12,2)</f>
        <v>1</v>
      </c>
      <c r="L47" s="949"/>
    </row>
    <row r="48" spans="2:12" ht="15.75" thickBot="1">
      <c r="B48" s="1034" t="s">
        <v>457</v>
      </c>
      <c r="C48" s="1035"/>
      <c r="D48" s="1035"/>
      <c r="E48" s="1332">
        <v>6</v>
      </c>
      <c r="F48" s="1062" t="s">
        <v>1039</v>
      </c>
      <c r="G48" s="1063"/>
      <c r="H48" s="1064">
        <f>TRUNC(E48*$F$17/12,2)</f>
        <v>1</v>
      </c>
      <c r="L48" s="949"/>
    </row>
    <row r="49" spans="2:8">
      <c r="B49" s="1056" t="s">
        <v>595</v>
      </c>
      <c r="C49" s="1023"/>
      <c r="D49" s="1023"/>
      <c r="E49" s="1023"/>
      <c r="F49" s="1023"/>
      <c r="G49" s="1023"/>
      <c r="H49" s="1023"/>
    </row>
    <row r="50" spans="2:8">
      <c r="B50" s="1056"/>
      <c r="C50" s="1023"/>
      <c r="D50" s="1023"/>
      <c r="E50" s="1023"/>
      <c r="F50" s="1023"/>
      <c r="G50" s="1023"/>
      <c r="H50" s="1023"/>
    </row>
    <row r="51" spans="2:8" ht="15.75" thickBot="1">
      <c r="B51" s="1026" t="s">
        <v>679</v>
      </c>
      <c r="C51" s="1024"/>
      <c r="D51" s="1024"/>
      <c r="E51" s="1024"/>
      <c r="F51" s="1024"/>
      <c r="G51" s="1024"/>
      <c r="H51" s="1024"/>
    </row>
    <row r="52" spans="2:8" ht="14.25">
      <c r="B52" s="1044" t="s">
        <v>567</v>
      </c>
      <c r="C52" s="1046"/>
      <c r="D52" s="1044" t="s">
        <v>904</v>
      </c>
      <c r="E52" s="1045"/>
      <c r="F52" s="1046"/>
      <c r="G52" s="1045" t="s">
        <v>1163</v>
      </c>
      <c r="H52" s="1047" t="s">
        <v>384</v>
      </c>
    </row>
    <row r="53" spans="2:8" ht="15.75" thickBot="1">
      <c r="B53" s="1029" t="s">
        <v>1482</v>
      </c>
      <c r="C53" s="1030"/>
      <c r="D53" s="1065"/>
      <c r="E53" s="1030"/>
      <c r="F53" s="1030"/>
      <c r="G53" s="1333">
        <f>5*12</f>
        <v>60</v>
      </c>
      <c r="H53" s="1049">
        <f>TRUNC(F17,2)</f>
        <v>2</v>
      </c>
    </row>
    <row r="54" spans="2:8" ht="14.25">
      <c r="B54" s="1044" t="s">
        <v>1086</v>
      </c>
      <c r="C54" s="1046"/>
      <c r="D54" s="1044" t="s">
        <v>904</v>
      </c>
      <c r="E54" s="1045"/>
      <c r="F54" s="1046"/>
      <c r="G54" s="1045" t="s">
        <v>1163</v>
      </c>
      <c r="H54" s="1047" t="s">
        <v>384</v>
      </c>
    </row>
    <row r="55" spans="2:8" ht="15.75" thickBot="1">
      <c r="B55" s="1034" t="s">
        <v>1483</v>
      </c>
      <c r="C55" s="1035"/>
      <c r="D55" s="1066">
        <v>1</v>
      </c>
      <c r="E55" s="1035" t="s">
        <v>865</v>
      </c>
      <c r="F55" s="1035"/>
      <c r="G55" s="1067">
        <f>G53</f>
        <v>60</v>
      </c>
      <c r="H55" s="1064">
        <f>H53</f>
        <v>2</v>
      </c>
    </row>
    <row r="56" spans="2:8">
      <c r="B56" s="1056" t="s">
        <v>595</v>
      </c>
      <c r="C56" s="1024"/>
      <c r="D56" s="1024"/>
      <c r="E56" s="1024"/>
      <c r="F56" s="1024"/>
      <c r="G56" s="1024"/>
      <c r="H56" s="1024"/>
    </row>
    <row r="57" spans="2:8">
      <c r="B57" s="1024"/>
      <c r="C57" s="1024"/>
      <c r="D57" s="1024"/>
      <c r="E57" s="1024"/>
      <c r="F57" s="1024"/>
      <c r="G57" s="1024"/>
      <c r="H57" s="1024"/>
    </row>
    <row r="58" spans="2:8">
      <c r="B58" s="1026" t="s">
        <v>1029</v>
      </c>
      <c r="C58" s="1024"/>
      <c r="D58" s="1024"/>
      <c r="E58" s="1024"/>
      <c r="F58" s="1024"/>
      <c r="G58" s="1024"/>
      <c r="H58" s="1024"/>
    </row>
    <row r="59" spans="2:8" ht="15.75" thickBot="1">
      <c r="B59" s="1026" t="s">
        <v>1432</v>
      </c>
      <c r="C59" s="1024"/>
      <c r="D59" s="1024"/>
      <c r="E59" s="1024"/>
      <c r="F59" s="1024"/>
      <c r="G59" s="1024"/>
      <c r="H59" s="1024"/>
    </row>
    <row r="60" spans="2:8" ht="14.25">
      <c r="B60" s="1068" t="s">
        <v>729</v>
      </c>
      <c r="C60" s="1069"/>
      <c r="D60" s="1069"/>
      <c r="E60" s="1069"/>
      <c r="F60" s="1069"/>
      <c r="G60" s="1070"/>
      <c r="H60" s="1071">
        <f>H76+H78+H82+H84+H104</f>
        <v>6668.9800000000005</v>
      </c>
    </row>
    <row r="61" spans="2:8" ht="14.25">
      <c r="B61" s="1072" t="s">
        <v>500</v>
      </c>
      <c r="C61" s="1073"/>
      <c r="D61" s="1074"/>
      <c r="E61" s="1075" t="s">
        <v>466</v>
      </c>
      <c r="F61" s="1075">
        <v>1</v>
      </c>
      <c r="G61" s="1334">
        <v>2346.04</v>
      </c>
      <c r="H61" s="1076">
        <f>TRUNC(F61*G61,2)</f>
        <v>2346.04</v>
      </c>
    </row>
    <row r="62" spans="2:8" ht="14.25">
      <c r="B62" s="1077" t="s">
        <v>855</v>
      </c>
      <c r="C62" s="1078"/>
      <c r="D62" s="1078"/>
      <c r="E62" s="1079" t="s">
        <v>466</v>
      </c>
      <c r="F62" s="1079">
        <v>1</v>
      </c>
      <c r="G62" s="1080">
        <v>1518</v>
      </c>
      <c r="H62" s="1081"/>
    </row>
    <row r="63" spans="2:8" ht="14.25">
      <c r="B63" s="1077" t="s">
        <v>468</v>
      </c>
      <c r="C63" s="1078"/>
      <c r="D63" s="1078"/>
      <c r="E63" s="1079" t="s">
        <v>469</v>
      </c>
      <c r="F63" s="1082"/>
      <c r="G63" s="1083"/>
      <c r="H63" s="1084"/>
    </row>
    <row r="64" spans="2:8" ht="14.25">
      <c r="B64" s="1077"/>
      <c r="C64" s="1078"/>
      <c r="D64" s="1078"/>
      <c r="E64" s="1079" t="s">
        <v>470</v>
      </c>
      <c r="F64" s="1080">
        <v>0</v>
      </c>
      <c r="G64" s="1085">
        <f>G61/220*0.2</f>
        <v>2.1327636363636362</v>
      </c>
      <c r="H64" s="1081">
        <f>TRUNC(F64*G64,2)</f>
        <v>0</v>
      </c>
    </row>
    <row r="65" spans="2:8" ht="14.25">
      <c r="B65" s="1077" t="s">
        <v>471</v>
      </c>
      <c r="C65" s="1078"/>
      <c r="D65" s="1078"/>
      <c r="E65" s="1079" t="s">
        <v>472</v>
      </c>
      <c r="F65" s="1082"/>
      <c r="G65" s="1080">
        <f>G61/220*2</f>
        <v>21.327636363636362</v>
      </c>
      <c r="H65" s="1081">
        <f>TRUNC(F65*G65,2)</f>
        <v>0</v>
      </c>
    </row>
    <row r="66" spans="2:8" ht="14.25">
      <c r="B66" s="1077" t="s">
        <v>473</v>
      </c>
      <c r="C66" s="1078"/>
      <c r="D66" s="1078"/>
      <c r="E66" s="1079" t="s">
        <v>469</v>
      </c>
      <c r="F66" s="1082"/>
      <c r="G66" s="1080"/>
      <c r="H66" s="1081"/>
    </row>
    <row r="67" spans="2:8" ht="14.25">
      <c r="B67" s="1077"/>
      <c r="C67" s="1078"/>
      <c r="D67" s="1078"/>
      <c r="E67" s="1079" t="s">
        <v>470</v>
      </c>
      <c r="F67" s="1080">
        <v>0</v>
      </c>
      <c r="G67" s="1080">
        <f>G61/220*2*1.2</f>
        <v>25.593163636363634</v>
      </c>
      <c r="H67" s="1081">
        <f>TRUNC(F67*G67,2)</f>
        <v>0</v>
      </c>
    </row>
    <row r="68" spans="2:8" ht="14.25">
      <c r="B68" s="1077" t="s">
        <v>474</v>
      </c>
      <c r="C68" s="1078"/>
      <c r="D68" s="1078"/>
      <c r="E68" s="1079" t="s">
        <v>472</v>
      </c>
      <c r="F68" s="1082"/>
      <c r="G68" s="1080">
        <f>G61/220*1.5</f>
        <v>15.995727272727272</v>
      </c>
      <c r="H68" s="1081">
        <f>TRUNC(F68*G68,2)</f>
        <v>0</v>
      </c>
    </row>
    <row r="69" spans="2:8" ht="14.25">
      <c r="B69" s="1077" t="s">
        <v>475</v>
      </c>
      <c r="C69" s="1078"/>
      <c r="D69" s="1078"/>
      <c r="E69" s="1079" t="s">
        <v>469</v>
      </c>
      <c r="F69" s="1082"/>
      <c r="G69" s="1080"/>
      <c r="H69" s="1081"/>
    </row>
    <row r="70" spans="2:8" ht="14.25">
      <c r="B70" s="1077" t="s">
        <v>1546</v>
      </c>
      <c r="C70" s="1078"/>
      <c r="D70" s="1078"/>
      <c r="E70" s="1079" t="s">
        <v>466</v>
      </c>
      <c r="F70" s="1396">
        <v>1</v>
      </c>
      <c r="G70" s="1080">
        <f>750/12</f>
        <v>62.5</v>
      </c>
      <c r="H70" s="1081">
        <f>TRUNC(F70*G70,2)</f>
        <v>62.5</v>
      </c>
    </row>
    <row r="71" spans="2:8" ht="14.25">
      <c r="B71" s="1077" t="s">
        <v>476</v>
      </c>
      <c r="C71" s="1078"/>
      <c r="D71" s="1078"/>
      <c r="E71" s="1079" t="s">
        <v>477</v>
      </c>
      <c r="F71" s="1083"/>
      <c r="G71" s="1080">
        <f>TRUNC(((52+9)/304)*(SUM(H65:H70)),2)</f>
        <v>12.54</v>
      </c>
      <c r="H71" s="1081">
        <f>G71</f>
        <v>12.54</v>
      </c>
    </row>
    <row r="72" spans="2:8" ht="14.25">
      <c r="B72" s="1077" t="s">
        <v>1547</v>
      </c>
      <c r="C72" s="1078"/>
      <c r="D72" s="1078"/>
      <c r="E72" s="1079" t="s">
        <v>466</v>
      </c>
      <c r="F72" s="1086">
        <v>1</v>
      </c>
      <c r="G72" s="1080">
        <v>300</v>
      </c>
      <c r="H72" s="1081">
        <f>G72*F72</f>
        <v>300</v>
      </c>
    </row>
    <row r="73" spans="2:8" ht="14.25">
      <c r="B73" s="1077" t="s">
        <v>479</v>
      </c>
      <c r="C73" s="1078"/>
      <c r="D73" s="1078"/>
      <c r="E73" s="1079" t="s">
        <v>480</v>
      </c>
      <c r="F73" s="1334">
        <v>40</v>
      </c>
      <c r="G73" s="1080">
        <f>IF(F72=2,SUM(H61:H71),IF(F72=1,SUM(H61:H71)*G62/G61,0))</f>
        <v>1566.5544662495099</v>
      </c>
      <c r="H73" s="1081">
        <f>TRUNC(F73*G73/100,2)</f>
        <v>626.62</v>
      </c>
    </row>
    <row r="74" spans="2:8" ht="14.25">
      <c r="B74" s="1087" t="s">
        <v>481</v>
      </c>
      <c r="C74" s="1078"/>
      <c r="D74" s="1078"/>
      <c r="E74" s="1088"/>
      <c r="F74" s="1088"/>
      <c r="G74" s="1089"/>
      <c r="H74" s="1090">
        <f>SUM(H61:H73)</f>
        <v>3347.7</v>
      </c>
    </row>
    <row r="75" spans="2:8" ht="14.25">
      <c r="B75" s="1091" t="s">
        <v>482</v>
      </c>
      <c r="C75" s="1092"/>
      <c r="D75" s="1093"/>
      <c r="E75" s="1094" t="s">
        <v>480</v>
      </c>
      <c r="F75" s="1095">
        <f>ANEXO_IIIe_ENCARGOS_SOCIAIS!D45*100</f>
        <v>71.460000000000008</v>
      </c>
      <c r="G75" s="1095">
        <f>H74</f>
        <v>3347.7</v>
      </c>
      <c r="H75" s="1096">
        <f>TRUNC(G75*F75/100,2)</f>
        <v>2392.2600000000002</v>
      </c>
    </row>
    <row r="76" spans="2:8" ht="14.25">
      <c r="B76" s="1097" t="s">
        <v>861</v>
      </c>
      <c r="C76" s="1078"/>
      <c r="D76" s="1078"/>
      <c r="E76" s="1098"/>
      <c r="F76" s="1098"/>
      <c r="G76" s="1099"/>
      <c r="H76" s="1100">
        <f>TRUNC(H74+H75,2)</f>
        <v>5739.96</v>
      </c>
    </row>
    <row r="77" spans="2:8" ht="14.25">
      <c r="B77" s="1101" t="s">
        <v>483</v>
      </c>
      <c r="C77" s="1102"/>
      <c r="D77" s="1102"/>
      <c r="E77" s="1102"/>
      <c r="F77" s="1102"/>
      <c r="G77" s="1102"/>
      <c r="H77" s="1103"/>
    </row>
    <row r="78" spans="2:8" ht="14.25">
      <c r="B78" s="1104" t="s">
        <v>860</v>
      </c>
      <c r="C78" s="1105"/>
      <c r="D78" s="1106"/>
      <c r="E78" s="1107" t="s">
        <v>484</v>
      </c>
      <c r="F78" s="1108">
        <v>1</v>
      </c>
      <c r="G78" s="1108">
        <f>H81</f>
        <v>0</v>
      </c>
      <c r="H78" s="1109">
        <f>TRUNC(G78*F78,2)</f>
        <v>0</v>
      </c>
    </row>
    <row r="79" spans="2:8" ht="14.25">
      <c r="B79" s="1077" t="s">
        <v>485</v>
      </c>
      <c r="C79" s="1078"/>
      <c r="D79" s="1078"/>
      <c r="E79" s="1079" t="s">
        <v>477</v>
      </c>
      <c r="F79" s="1080">
        <v>1</v>
      </c>
      <c r="G79" s="1334"/>
      <c r="H79" s="1081"/>
    </row>
    <row r="80" spans="2:8" ht="14.25">
      <c r="B80" s="1077" t="s">
        <v>486</v>
      </c>
      <c r="C80" s="1078"/>
      <c r="D80" s="1078"/>
      <c r="E80" s="1079" t="s">
        <v>487</v>
      </c>
      <c r="F80" s="1080">
        <f>$H$6</f>
        <v>25.25</v>
      </c>
      <c r="G80" s="1080"/>
      <c r="H80" s="1081"/>
    </row>
    <row r="81" spans="2:8" ht="14.25">
      <c r="B81" s="1110" t="str">
        <f>CONCATENATE("Vale Transporte - ",B60)</f>
        <v>Vale Transporte - Motorista</v>
      </c>
      <c r="C81" s="1078"/>
      <c r="D81" s="1078"/>
      <c r="E81" s="1111" t="s">
        <v>488</v>
      </c>
      <c r="F81" s="1112">
        <f>F80*2*1</f>
        <v>50.5</v>
      </c>
      <c r="G81" s="1112">
        <f>IF(TRUNC(IFERROR(((G79)-((G61*0.06)/(F80*2))),"-"),2)&lt;=0,0,TRUNC(IFERROR(((G79)-((G61*0.06)/(F80*2))),"-"),2))</f>
        <v>0</v>
      </c>
      <c r="H81" s="1113">
        <f>TRUNC(IFERROR(F81*G81,"-"),2)</f>
        <v>0</v>
      </c>
    </row>
    <row r="82" spans="2:8" ht="14.25">
      <c r="B82" s="1104" t="s">
        <v>859</v>
      </c>
      <c r="C82" s="1105"/>
      <c r="D82" s="1106"/>
      <c r="E82" s="1107" t="s">
        <v>484</v>
      </c>
      <c r="F82" s="1108">
        <v>1</v>
      </c>
      <c r="G82" s="1108">
        <f>H83</f>
        <v>413.09</v>
      </c>
      <c r="H82" s="1109">
        <f>G82*F82</f>
        <v>413.09</v>
      </c>
    </row>
    <row r="83" spans="2:8" ht="14.25">
      <c r="B83" s="1114" t="s">
        <v>489</v>
      </c>
      <c r="C83" s="1115"/>
      <c r="D83" s="1116"/>
      <c r="E83" s="1117" t="s">
        <v>490</v>
      </c>
      <c r="F83" s="1108">
        <f>F80</f>
        <v>25.25</v>
      </c>
      <c r="G83" s="1335">
        <v>16.36</v>
      </c>
      <c r="H83" s="1118">
        <f>TRUNC(F83*G83,2)</f>
        <v>413.09</v>
      </c>
    </row>
    <row r="84" spans="2:8" ht="14.25">
      <c r="B84" s="1104" t="s">
        <v>1542</v>
      </c>
      <c r="C84" s="1105"/>
      <c r="D84" s="1106"/>
      <c r="E84" s="1107" t="s">
        <v>484</v>
      </c>
      <c r="F84" s="1108">
        <v>1</v>
      </c>
      <c r="G84" s="1335">
        <v>120</v>
      </c>
      <c r="H84" s="1109">
        <f>G84*F84</f>
        <v>120</v>
      </c>
    </row>
    <row r="85" spans="2:8" ht="14.25">
      <c r="B85" s="1119"/>
      <c r="C85" s="1119"/>
      <c r="D85" s="1119"/>
      <c r="E85" s="1119"/>
      <c r="F85" s="1119"/>
      <c r="G85" s="1119"/>
      <c r="H85" s="1119"/>
    </row>
    <row r="86" spans="2:8" ht="14.25">
      <c r="B86" s="1120" t="s">
        <v>1352</v>
      </c>
      <c r="C86" s="1056"/>
      <c r="D86" s="1056"/>
      <c r="E86" s="1056"/>
      <c r="F86" s="1056"/>
      <c r="G86" s="1056"/>
      <c r="H86" s="1056"/>
    </row>
    <row r="87" spans="2:8" ht="21">
      <c r="B87" s="1121" t="s">
        <v>900</v>
      </c>
      <c r="C87" s="1122"/>
      <c r="D87" s="1123"/>
      <c r="E87" s="1124" t="s">
        <v>1164</v>
      </c>
      <c r="F87" s="1125" t="s">
        <v>1353</v>
      </c>
      <c r="G87" s="1124" t="s">
        <v>1166</v>
      </c>
      <c r="H87" s="1126" t="s">
        <v>1167</v>
      </c>
    </row>
    <row r="88" spans="2:8" ht="14.25">
      <c r="B88" s="1127" t="s">
        <v>1489</v>
      </c>
      <c r="C88" s="1128"/>
      <c r="D88" s="1129"/>
      <c r="E88" s="1130" t="s">
        <v>1500</v>
      </c>
      <c r="F88" s="1336">
        <v>12</v>
      </c>
      <c r="G88" s="1336">
        <v>95</v>
      </c>
      <c r="H88" s="1131">
        <f t="shared" ref="H88:H102" si="0">TRUNC(F88*G88/12,2)</f>
        <v>95</v>
      </c>
    </row>
    <row r="89" spans="2:8" ht="14.25" customHeight="1">
      <c r="B89" s="1346" t="s">
        <v>438</v>
      </c>
      <c r="C89" s="1347"/>
      <c r="D89" s="1348"/>
      <c r="E89" s="1083" t="s">
        <v>1500</v>
      </c>
      <c r="F89" s="1337">
        <v>8</v>
      </c>
      <c r="G89" s="1337">
        <v>45</v>
      </c>
      <c r="H89" s="1132">
        <f t="shared" si="0"/>
        <v>30</v>
      </c>
    </row>
    <row r="90" spans="2:8" ht="14.25">
      <c r="B90" s="1077" t="s">
        <v>1490</v>
      </c>
      <c r="C90" s="1133"/>
      <c r="D90" s="1134"/>
      <c r="E90" s="1083" t="s">
        <v>1501</v>
      </c>
      <c r="F90" s="1337">
        <v>3</v>
      </c>
      <c r="G90" s="1337">
        <v>72.400000000000006</v>
      </c>
      <c r="H90" s="1132">
        <f t="shared" si="0"/>
        <v>18.100000000000001</v>
      </c>
    </row>
    <row r="91" spans="2:8" ht="14.25">
      <c r="B91" s="1077" t="s">
        <v>1491</v>
      </c>
      <c r="C91" s="1133"/>
      <c r="D91" s="1134"/>
      <c r="E91" s="1083" t="s">
        <v>1501</v>
      </c>
      <c r="F91" s="1337">
        <v>3</v>
      </c>
      <c r="G91" s="1337">
        <v>65.319999999999993</v>
      </c>
      <c r="H91" s="1132">
        <f t="shared" si="0"/>
        <v>16.329999999999998</v>
      </c>
    </row>
    <row r="92" spans="2:8" ht="14.25">
      <c r="B92" s="1077" t="s">
        <v>1492</v>
      </c>
      <c r="C92" s="1133"/>
      <c r="D92" s="1134"/>
      <c r="E92" s="1083" t="s">
        <v>1500</v>
      </c>
      <c r="F92" s="1337">
        <v>0</v>
      </c>
      <c r="G92" s="1337">
        <v>120</v>
      </c>
      <c r="H92" s="1132">
        <f t="shared" si="0"/>
        <v>0</v>
      </c>
    </row>
    <row r="93" spans="2:8" ht="14.25">
      <c r="B93" s="1077" t="s">
        <v>1493</v>
      </c>
      <c r="C93" s="1133"/>
      <c r="D93" s="1134"/>
      <c r="E93" s="1083" t="s">
        <v>1500</v>
      </c>
      <c r="F93" s="1337">
        <v>6</v>
      </c>
      <c r="G93" s="1337">
        <v>120</v>
      </c>
      <c r="H93" s="1132">
        <f t="shared" si="0"/>
        <v>60</v>
      </c>
    </row>
    <row r="94" spans="2:8" ht="14.25">
      <c r="B94" s="1077" t="s">
        <v>1494</v>
      </c>
      <c r="C94" s="1133"/>
      <c r="D94" s="1134"/>
      <c r="E94" s="1083" t="s">
        <v>1500</v>
      </c>
      <c r="F94" s="1337">
        <v>0</v>
      </c>
      <c r="G94" s="1337">
        <v>68.2</v>
      </c>
      <c r="H94" s="1132">
        <f t="shared" si="0"/>
        <v>0</v>
      </c>
    </row>
    <row r="95" spans="2:8" ht="14.25">
      <c r="B95" s="1077" t="s">
        <v>1495</v>
      </c>
      <c r="C95" s="1133"/>
      <c r="D95" s="1134"/>
      <c r="E95" s="1083" t="s">
        <v>1500</v>
      </c>
      <c r="F95" s="1337">
        <v>6</v>
      </c>
      <c r="G95" s="1337">
        <v>90</v>
      </c>
      <c r="H95" s="1153">
        <f t="shared" si="0"/>
        <v>45</v>
      </c>
    </row>
    <row r="96" spans="2:8" ht="14.25">
      <c r="B96" s="1077" t="s">
        <v>1496</v>
      </c>
      <c r="C96" s="1133"/>
      <c r="D96" s="1134"/>
      <c r="E96" s="1083" t="s">
        <v>1500</v>
      </c>
      <c r="F96" s="1337">
        <v>0</v>
      </c>
      <c r="G96" s="1337">
        <v>46.23</v>
      </c>
      <c r="H96" s="1153">
        <f t="shared" si="0"/>
        <v>0</v>
      </c>
    </row>
    <row r="97" spans="2:8" ht="14.25">
      <c r="B97" s="1077" t="s">
        <v>1497</v>
      </c>
      <c r="C97" s="1133"/>
      <c r="D97" s="1134"/>
      <c r="E97" s="1083" t="s">
        <v>1500</v>
      </c>
      <c r="F97" s="1337">
        <v>0</v>
      </c>
      <c r="G97" s="1337">
        <v>22.05</v>
      </c>
      <c r="H97" s="1153">
        <f t="shared" si="0"/>
        <v>0</v>
      </c>
    </row>
    <row r="98" spans="2:8" ht="14.25">
      <c r="B98" s="1077" t="s">
        <v>1358</v>
      </c>
      <c r="C98" s="1133"/>
      <c r="D98" s="1134"/>
      <c r="E98" s="1083" t="s">
        <v>1500</v>
      </c>
      <c r="F98" s="1337">
        <v>0</v>
      </c>
      <c r="G98" s="1337">
        <v>22.15</v>
      </c>
      <c r="H98" s="1153">
        <f t="shared" si="0"/>
        <v>0</v>
      </c>
    </row>
    <row r="99" spans="2:8" ht="14.25">
      <c r="B99" s="1077" t="s">
        <v>1498</v>
      </c>
      <c r="C99" s="1133"/>
      <c r="D99" s="1134"/>
      <c r="E99" s="1083" t="s">
        <v>1500</v>
      </c>
      <c r="F99" s="1337">
        <v>0</v>
      </c>
      <c r="G99" s="1337">
        <v>67.900000000000006</v>
      </c>
      <c r="H99" s="1153">
        <f t="shared" si="0"/>
        <v>0</v>
      </c>
    </row>
    <row r="100" spans="2:8" ht="14.25">
      <c r="B100" s="1077" t="s">
        <v>1359</v>
      </c>
      <c r="C100" s="1133"/>
      <c r="D100" s="1134"/>
      <c r="E100" s="1083" t="s">
        <v>1501</v>
      </c>
      <c r="F100" s="1337">
        <v>0</v>
      </c>
      <c r="G100" s="1337">
        <v>9.65</v>
      </c>
      <c r="H100" s="1153">
        <f t="shared" si="0"/>
        <v>0</v>
      </c>
    </row>
    <row r="101" spans="2:8" ht="14.25">
      <c r="B101" s="1077" t="s">
        <v>1354</v>
      </c>
      <c r="C101" s="1347"/>
      <c r="D101" s="1348"/>
      <c r="E101" s="1083" t="s">
        <v>1500</v>
      </c>
      <c r="F101" s="1337">
        <v>303</v>
      </c>
      <c r="G101" s="1337">
        <v>5</v>
      </c>
      <c r="H101" s="1153">
        <f t="shared" si="0"/>
        <v>126.25</v>
      </c>
    </row>
    <row r="102" spans="2:8" ht="14.25">
      <c r="B102" s="1110" t="s">
        <v>1499</v>
      </c>
      <c r="C102" s="1135"/>
      <c r="D102" s="1136"/>
      <c r="E102" s="1137" t="s">
        <v>1501</v>
      </c>
      <c r="F102" s="1338">
        <v>12</v>
      </c>
      <c r="G102" s="1338">
        <v>5.25</v>
      </c>
      <c r="H102" s="1138">
        <f t="shared" si="0"/>
        <v>5.25</v>
      </c>
    </row>
    <row r="103" spans="2:8" thickBot="1">
      <c r="B103" s="1056" t="s">
        <v>595</v>
      </c>
      <c r="C103" s="1056"/>
      <c r="D103" s="1056"/>
      <c r="E103" s="1056"/>
      <c r="F103" s="1056"/>
      <c r="G103" s="1056"/>
      <c r="H103" s="1056"/>
    </row>
    <row r="104" spans="2:8" thickBot="1">
      <c r="B104" s="1139" t="s">
        <v>614</v>
      </c>
      <c r="C104" s="1140"/>
      <c r="D104" s="1140"/>
      <c r="E104" s="1140"/>
      <c r="F104" s="1140"/>
      <c r="G104" s="1140"/>
      <c r="H104" s="1141">
        <f>SUM(H88:H102)</f>
        <v>395.93</v>
      </c>
    </row>
    <row r="105" spans="2:8" ht="14.25">
      <c r="B105" s="1142"/>
      <c r="C105" s="1143"/>
      <c r="D105" s="1143"/>
      <c r="E105" s="1143"/>
      <c r="F105" s="1144"/>
      <c r="G105" s="1144"/>
      <c r="H105" s="1145"/>
    </row>
    <row r="106" spans="2:8" ht="14.25">
      <c r="B106" s="1146" t="s">
        <v>384</v>
      </c>
      <c r="C106" s="1147"/>
      <c r="D106" s="1147"/>
      <c r="E106" s="1147"/>
      <c r="F106" s="1147"/>
      <c r="G106" s="1147"/>
      <c r="H106" s="1148">
        <f>E23</f>
        <v>2</v>
      </c>
    </row>
    <row r="107" spans="2:8" thickBot="1">
      <c r="B107" s="1149" t="s">
        <v>854</v>
      </c>
      <c r="C107" s="1150"/>
      <c r="D107" s="1150"/>
      <c r="E107" s="1150"/>
      <c r="F107" s="1150"/>
      <c r="G107" s="1150"/>
      <c r="H107" s="1151">
        <f>H106*H60</f>
        <v>13337.960000000001</v>
      </c>
    </row>
    <row r="108" spans="2:8">
      <c r="B108" s="1024"/>
      <c r="C108" s="1024"/>
      <c r="D108" s="1024"/>
      <c r="E108" s="1024"/>
      <c r="F108" s="1024"/>
      <c r="G108" s="1024"/>
      <c r="H108" s="1024"/>
    </row>
    <row r="109" spans="2:8" ht="15.75" thickBot="1">
      <c r="B109" s="1026" t="s">
        <v>1433</v>
      </c>
      <c r="C109" s="1024"/>
      <c r="D109" s="1024"/>
      <c r="E109" s="1024"/>
      <c r="F109" s="1024"/>
      <c r="G109" s="1024"/>
      <c r="H109" s="1024"/>
    </row>
    <row r="110" spans="2:8" ht="14.25">
      <c r="B110" s="1068" t="s">
        <v>1356</v>
      </c>
      <c r="C110" s="1069"/>
      <c r="D110" s="1069"/>
      <c r="E110" s="1069"/>
      <c r="F110" s="1069"/>
      <c r="G110" s="1070"/>
      <c r="H110" s="1071">
        <f>H126+H128+H132+H134+H154</f>
        <v>6000.22</v>
      </c>
    </row>
    <row r="111" spans="2:8" ht="14.25">
      <c r="B111" s="1072" t="s">
        <v>1355</v>
      </c>
      <c r="C111" s="1073"/>
      <c r="D111" s="1074"/>
      <c r="E111" s="1075" t="s">
        <v>466</v>
      </c>
      <c r="F111" s="1075">
        <v>1</v>
      </c>
      <c r="G111" s="1334">
        <f>1535+320.67</f>
        <v>1855.67</v>
      </c>
      <c r="H111" s="1076">
        <f>TRUNC(F111*G111,2)</f>
        <v>1855.67</v>
      </c>
    </row>
    <row r="112" spans="2:8" ht="14.25">
      <c r="B112" s="1077" t="s">
        <v>855</v>
      </c>
      <c r="C112" s="1078"/>
      <c r="D112" s="1078"/>
      <c r="E112" s="1079" t="s">
        <v>466</v>
      </c>
      <c r="F112" s="1079">
        <v>1</v>
      </c>
      <c r="G112" s="1080">
        <f>G62</f>
        <v>1518</v>
      </c>
      <c r="H112" s="1081"/>
    </row>
    <row r="113" spans="2:8" ht="14.25">
      <c r="B113" s="1077" t="s">
        <v>468</v>
      </c>
      <c r="C113" s="1078"/>
      <c r="D113" s="1078"/>
      <c r="E113" s="1079" t="s">
        <v>469</v>
      </c>
      <c r="F113" s="1082"/>
      <c r="G113" s="1083"/>
      <c r="H113" s="1084"/>
    </row>
    <row r="114" spans="2:8" ht="14.25">
      <c r="B114" s="1077"/>
      <c r="C114" s="1078"/>
      <c r="D114" s="1078"/>
      <c r="E114" s="1079" t="s">
        <v>470</v>
      </c>
      <c r="F114" s="1080">
        <v>0</v>
      </c>
      <c r="G114" s="1085">
        <f>G111/220*0.2</f>
        <v>1.6869727272727275</v>
      </c>
      <c r="H114" s="1081">
        <f>TRUNC(F114*G114,2)</f>
        <v>0</v>
      </c>
    </row>
    <row r="115" spans="2:8" ht="14.25">
      <c r="B115" s="1077" t="s">
        <v>471</v>
      </c>
      <c r="C115" s="1078"/>
      <c r="D115" s="1078"/>
      <c r="E115" s="1079" t="s">
        <v>472</v>
      </c>
      <c r="F115" s="1082"/>
      <c r="G115" s="1080">
        <f>G111/220*2</f>
        <v>16.869727272727275</v>
      </c>
      <c r="H115" s="1081">
        <f>TRUNC(F115*G115,2)</f>
        <v>0</v>
      </c>
    </row>
    <row r="116" spans="2:8" ht="14.25">
      <c r="B116" s="1077" t="s">
        <v>473</v>
      </c>
      <c r="C116" s="1078"/>
      <c r="D116" s="1078"/>
      <c r="E116" s="1079" t="s">
        <v>469</v>
      </c>
      <c r="F116" s="1082"/>
      <c r="G116" s="1080"/>
      <c r="H116" s="1081"/>
    </row>
    <row r="117" spans="2:8" ht="14.25">
      <c r="B117" s="1077"/>
      <c r="C117" s="1078"/>
      <c r="D117" s="1078"/>
      <c r="E117" s="1079" t="s">
        <v>470</v>
      </c>
      <c r="F117" s="1080">
        <v>0</v>
      </c>
      <c r="G117" s="1080">
        <f>G111/220*2*1.2</f>
        <v>20.243672727272727</v>
      </c>
      <c r="H117" s="1081">
        <f>TRUNC(F117*G117,2)</f>
        <v>0</v>
      </c>
    </row>
    <row r="118" spans="2:8" ht="14.25">
      <c r="B118" s="1077" t="s">
        <v>474</v>
      </c>
      <c r="C118" s="1078"/>
      <c r="D118" s="1078"/>
      <c r="E118" s="1079" t="s">
        <v>472</v>
      </c>
      <c r="F118" s="1082"/>
      <c r="G118" s="1080">
        <f>G111/220*1.5</f>
        <v>12.652295454545456</v>
      </c>
      <c r="H118" s="1081">
        <f>TRUNC(F118*G118,2)</f>
        <v>0</v>
      </c>
    </row>
    <row r="119" spans="2:8" ht="14.25">
      <c r="B119" s="1077" t="s">
        <v>475</v>
      </c>
      <c r="C119" s="1078"/>
      <c r="D119" s="1078"/>
      <c r="E119" s="1079" t="s">
        <v>469</v>
      </c>
      <c r="F119" s="1082"/>
      <c r="G119" s="1080"/>
      <c r="H119" s="1081"/>
    </row>
    <row r="120" spans="2:8" ht="14.25">
      <c r="B120" s="1077" t="s">
        <v>1546</v>
      </c>
      <c r="C120" s="1078"/>
      <c r="D120" s="1078"/>
      <c r="E120" s="1079" t="s">
        <v>466</v>
      </c>
      <c r="F120" s="1396">
        <v>1</v>
      </c>
      <c r="G120" s="1080">
        <f>750/12</f>
        <v>62.5</v>
      </c>
      <c r="H120" s="1081">
        <f>TRUNC(F120*G120,2)</f>
        <v>62.5</v>
      </c>
    </row>
    <row r="121" spans="2:8" ht="14.25">
      <c r="B121" s="1077" t="s">
        <v>476</v>
      </c>
      <c r="C121" s="1078"/>
      <c r="D121" s="1078"/>
      <c r="E121" s="1079" t="s">
        <v>477</v>
      </c>
      <c r="F121" s="1083"/>
      <c r="G121" s="1080">
        <f>TRUNC(((52+9)/304)*(SUM(H115:H120)),2)</f>
        <v>12.54</v>
      </c>
      <c r="H121" s="1081">
        <f>G121</f>
        <v>12.54</v>
      </c>
    </row>
    <row r="122" spans="2:8" ht="14.25">
      <c r="B122" s="1077" t="s">
        <v>1547</v>
      </c>
      <c r="C122" s="1078"/>
      <c r="D122" s="1078"/>
      <c r="E122" s="1079" t="s">
        <v>466</v>
      </c>
      <c r="F122" s="1086">
        <v>1</v>
      </c>
      <c r="G122" s="1080">
        <v>300</v>
      </c>
      <c r="H122" s="1081">
        <f>G122*F122</f>
        <v>300</v>
      </c>
    </row>
    <row r="123" spans="2:8" ht="14.25">
      <c r="B123" s="1077" t="s">
        <v>479</v>
      </c>
      <c r="C123" s="1078"/>
      <c r="D123" s="1078"/>
      <c r="E123" s="1079" t="s">
        <v>480</v>
      </c>
      <c r="F123" s="1334">
        <v>40</v>
      </c>
      <c r="G123" s="1080">
        <f>IF(F122=2,SUM(H111:H121),IF(F122=1,SUM(H111:H121)*G112/G111,0))</f>
        <v>1579.3852247436237</v>
      </c>
      <c r="H123" s="1081">
        <f>TRUNC(F123*G123/100,2)</f>
        <v>631.75</v>
      </c>
    </row>
    <row r="124" spans="2:8" ht="14.25">
      <c r="B124" s="1087" t="s">
        <v>481</v>
      </c>
      <c r="C124" s="1078"/>
      <c r="D124" s="1078"/>
      <c r="E124" s="1088"/>
      <c r="F124" s="1088"/>
      <c r="G124" s="1089"/>
      <c r="H124" s="1090">
        <f>SUM(H111:H123)</f>
        <v>2862.46</v>
      </c>
    </row>
    <row r="125" spans="2:8" ht="14.25">
      <c r="B125" s="1091" t="s">
        <v>482</v>
      </c>
      <c r="C125" s="1092"/>
      <c r="D125" s="1093"/>
      <c r="E125" s="1094" t="s">
        <v>480</v>
      </c>
      <c r="F125" s="1095">
        <f>$F$75</f>
        <v>71.460000000000008</v>
      </c>
      <c r="G125" s="1095">
        <f>H124</f>
        <v>2862.46</v>
      </c>
      <c r="H125" s="1096">
        <f>TRUNC(G125*F125/100,2)</f>
        <v>2045.51</v>
      </c>
    </row>
    <row r="126" spans="2:8" ht="14.25">
      <c r="B126" s="1097" t="s">
        <v>861</v>
      </c>
      <c r="C126" s="1078"/>
      <c r="D126" s="1078"/>
      <c r="E126" s="1098"/>
      <c r="F126" s="1098"/>
      <c r="G126" s="1099"/>
      <c r="H126" s="1100">
        <f>TRUNC(H124+H125,2)</f>
        <v>4907.97</v>
      </c>
    </row>
    <row r="127" spans="2:8" ht="14.25">
      <c r="B127" s="1101" t="s">
        <v>483</v>
      </c>
      <c r="C127" s="1102"/>
      <c r="D127" s="1102"/>
      <c r="E127" s="1102"/>
      <c r="F127" s="1102"/>
      <c r="G127" s="1102"/>
      <c r="H127" s="1103"/>
    </row>
    <row r="128" spans="2:8" ht="14.25">
      <c r="B128" s="1104" t="s">
        <v>860</v>
      </c>
      <c r="C128" s="1105"/>
      <c r="D128" s="1106"/>
      <c r="E128" s="1107" t="s">
        <v>484</v>
      </c>
      <c r="F128" s="1108">
        <v>1</v>
      </c>
      <c r="G128" s="1108">
        <f>H131</f>
        <v>0</v>
      </c>
      <c r="H128" s="1109">
        <f>TRUNC(G128*F128,2)</f>
        <v>0</v>
      </c>
    </row>
    <row r="129" spans="2:8" ht="14.25">
      <c r="B129" s="1077" t="s">
        <v>485</v>
      </c>
      <c r="C129" s="1078"/>
      <c r="D129" s="1078"/>
      <c r="E129" s="1079" t="s">
        <v>477</v>
      </c>
      <c r="F129" s="1080">
        <v>1</v>
      </c>
      <c r="G129" s="1334">
        <v>0</v>
      </c>
      <c r="H129" s="1081"/>
    </row>
    <row r="130" spans="2:8" ht="14.25">
      <c r="B130" s="1077" t="s">
        <v>486</v>
      </c>
      <c r="C130" s="1078"/>
      <c r="D130" s="1078"/>
      <c r="E130" s="1079" t="s">
        <v>487</v>
      </c>
      <c r="F130" s="1080">
        <f>$H$6</f>
        <v>25.25</v>
      </c>
      <c r="G130" s="1080"/>
      <c r="H130" s="1081"/>
    </row>
    <row r="131" spans="2:8" ht="14.25">
      <c r="B131" s="1110" t="str">
        <f>CONCATENATE("Vale Transporte - ",B110)</f>
        <v>Vale Transporte - Coletor de lixo</v>
      </c>
      <c r="C131" s="1078"/>
      <c r="D131" s="1078"/>
      <c r="E131" s="1111" t="s">
        <v>488</v>
      </c>
      <c r="F131" s="1112">
        <f>F130*2*1</f>
        <v>50.5</v>
      </c>
      <c r="G131" s="1112">
        <f>IF(TRUNC(IFERROR(((G129)-((G111*0.06)/(F130*2))),"-"),2)&lt;=0,0,TRUNC(IFERROR(((G129)-((G111*0.06)/(F130*2))),"-"),2))</f>
        <v>0</v>
      </c>
      <c r="H131" s="1113">
        <f>TRUNC(IFERROR(F131*G131,"-"),2)</f>
        <v>0</v>
      </c>
    </row>
    <row r="132" spans="2:8" ht="14.25">
      <c r="B132" s="1104" t="s">
        <v>859</v>
      </c>
      <c r="C132" s="1105"/>
      <c r="D132" s="1106"/>
      <c r="E132" s="1107" t="s">
        <v>484</v>
      </c>
      <c r="F132" s="1108">
        <v>1</v>
      </c>
      <c r="G132" s="1108">
        <f>H133</f>
        <v>413.09</v>
      </c>
      <c r="H132" s="1109">
        <f>G132*F132</f>
        <v>413.09</v>
      </c>
    </row>
    <row r="133" spans="2:8" ht="14.25">
      <c r="B133" s="1114" t="s">
        <v>489</v>
      </c>
      <c r="C133" s="1115"/>
      <c r="D133" s="1116"/>
      <c r="E133" s="1117" t="s">
        <v>490</v>
      </c>
      <c r="F133" s="1108">
        <f>F130</f>
        <v>25.25</v>
      </c>
      <c r="G133" s="1335">
        <v>16.36</v>
      </c>
      <c r="H133" s="1118">
        <f>TRUNC(F133*G133,2)</f>
        <v>413.09</v>
      </c>
    </row>
    <row r="134" spans="2:8" ht="14.25">
      <c r="B134" s="1104" t="s">
        <v>491</v>
      </c>
      <c r="C134" s="1105"/>
      <c r="D134" s="1106"/>
      <c r="E134" s="1107" t="s">
        <v>484</v>
      </c>
      <c r="F134" s="1108">
        <v>1</v>
      </c>
      <c r="G134" s="1335">
        <v>120</v>
      </c>
      <c r="H134" s="1109">
        <f>G134*F134</f>
        <v>120</v>
      </c>
    </row>
    <row r="135" spans="2:8" ht="14.25">
      <c r="B135" s="1119"/>
      <c r="C135" s="1119"/>
      <c r="D135" s="1119"/>
      <c r="E135" s="1119"/>
      <c r="F135" s="1119"/>
      <c r="G135" s="1119"/>
      <c r="H135" s="1119"/>
    </row>
    <row r="136" spans="2:8" ht="14.25">
      <c r="B136" s="1120" t="s">
        <v>1360</v>
      </c>
      <c r="C136" s="1056"/>
      <c r="D136" s="1056"/>
      <c r="E136" s="1056"/>
      <c r="F136" s="1056"/>
      <c r="G136" s="1056"/>
      <c r="H136" s="1056"/>
    </row>
    <row r="137" spans="2:8" ht="21">
      <c r="B137" s="1121" t="s">
        <v>900</v>
      </c>
      <c r="C137" s="1122"/>
      <c r="D137" s="1123"/>
      <c r="E137" s="1124" t="s">
        <v>1164</v>
      </c>
      <c r="F137" s="1125" t="s">
        <v>1353</v>
      </c>
      <c r="G137" s="1124" t="s">
        <v>1166</v>
      </c>
      <c r="H137" s="1126" t="s">
        <v>1167</v>
      </c>
    </row>
    <row r="138" spans="2:8" ht="14.25">
      <c r="B138" s="1127" t="s">
        <v>1489</v>
      </c>
      <c r="C138" s="1128"/>
      <c r="D138" s="1129"/>
      <c r="E138" s="1130" t="s">
        <v>1500</v>
      </c>
      <c r="F138" s="1336">
        <v>18</v>
      </c>
      <c r="G138" s="1336">
        <v>95</v>
      </c>
      <c r="H138" s="1131">
        <f t="shared" ref="H138:H152" si="1">TRUNC(F138*G138/12,2)</f>
        <v>142.5</v>
      </c>
    </row>
    <row r="139" spans="2:8" ht="23.25" customHeight="1">
      <c r="B139" s="1346" t="s">
        <v>438</v>
      </c>
      <c r="C139" s="1347"/>
      <c r="D139" s="1348"/>
      <c r="E139" s="1083" t="s">
        <v>1500</v>
      </c>
      <c r="F139" s="1337">
        <v>6</v>
      </c>
      <c r="G139" s="1337">
        <v>45</v>
      </c>
      <c r="H139" s="1132">
        <f t="shared" si="1"/>
        <v>22.5</v>
      </c>
    </row>
    <row r="140" spans="2:8" ht="14.25">
      <c r="B140" s="1077" t="s">
        <v>1490</v>
      </c>
      <c r="C140" s="1133"/>
      <c r="D140" s="1134"/>
      <c r="E140" s="1083" t="s">
        <v>1501</v>
      </c>
      <c r="F140" s="1337">
        <v>6</v>
      </c>
      <c r="G140" s="1337">
        <v>72.400000000000006</v>
      </c>
      <c r="H140" s="1132">
        <f t="shared" si="1"/>
        <v>36.200000000000003</v>
      </c>
    </row>
    <row r="141" spans="2:8" ht="14.25">
      <c r="B141" s="1077" t="s">
        <v>1491</v>
      </c>
      <c r="C141" s="1133"/>
      <c r="D141" s="1134"/>
      <c r="E141" s="1083" t="s">
        <v>1501</v>
      </c>
      <c r="F141" s="1337">
        <v>0</v>
      </c>
      <c r="G141" s="1337">
        <v>65.319999999999993</v>
      </c>
      <c r="H141" s="1132">
        <f t="shared" si="1"/>
        <v>0</v>
      </c>
    </row>
    <row r="142" spans="2:8" ht="14.25">
      <c r="B142" s="1077" t="s">
        <v>1492</v>
      </c>
      <c r="C142" s="1133"/>
      <c r="D142" s="1134"/>
      <c r="E142" s="1083" t="s">
        <v>1500</v>
      </c>
      <c r="F142" s="1337">
        <v>6</v>
      </c>
      <c r="G142" s="1337">
        <v>120</v>
      </c>
      <c r="H142" s="1132">
        <f t="shared" si="1"/>
        <v>60</v>
      </c>
    </row>
    <row r="143" spans="2:8" ht="14.25">
      <c r="B143" s="1077" t="s">
        <v>1493</v>
      </c>
      <c r="C143" s="1133"/>
      <c r="D143" s="1134"/>
      <c r="E143" s="1083" t="s">
        <v>1500</v>
      </c>
      <c r="F143" s="1337">
        <v>0</v>
      </c>
      <c r="G143" s="1337">
        <v>120</v>
      </c>
      <c r="H143" s="1132">
        <f t="shared" si="1"/>
        <v>0</v>
      </c>
    </row>
    <row r="144" spans="2:8" ht="14.25">
      <c r="B144" s="1077" t="s">
        <v>1494</v>
      </c>
      <c r="C144" s="1133"/>
      <c r="D144" s="1134"/>
      <c r="E144" s="1083" t="s">
        <v>1500</v>
      </c>
      <c r="F144" s="1337">
        <v>0</v>
      </c>
      <c r="G144" s="1337">
        <v>68.2</v>
      </c>
      <c r="H144" s="1132">
        <f t="shared" si="1"/>
        <v>0</v>
      </c>
    </row>
    <row r="145" spans="2:8" ht="14.25">
      <c r="B145" s="1077" t="s">
        <v>1495</v>
      </c>
      <c r="C145" s="1133"/>
      <c r="D145" s="1134"/>
      <c r="E145" s="1083" t="s">
        <v>1500</v>
      </c>
      <c r="F145" s="1337">
        <v>6</v>
      </c>
      <c r="G145" s="1337">
        <v>90</v>
      </c>
      <c r="H145" s="1153">
        <f t="shared" si="1"/>
        <v>45</v>
      </c>
    </row>
    <row r="146" spans="2:8" ht="14.25">
      <c r="B146" s="1077" t="s">
        <v>1496</v>
      </c>
      <c r="C146" s="1133"/>
      <c r="D146" s="1134"/>
      <c r="E146" s="1083" t="s">
        <v>1500</v>
      </c>
      <c r="F146" s="1337">
        <v>0</v>
      </c>
      <c r="G146" s="1337">
        <v>46.23</v>
      </c>
      <c r="H146" s="1153">
        <f t="shared" si="1"/>
        <v>0</v>
      </c>
    </row>
    <row r="147" spans="2:8" ht="14.25">
      <c r="B147" s="1077" t="s">
        <v>1497</v>
      </c>
      <c r="C147" s="1133"/>
      <c r="D147" s="1134"/>
      <c r="E147" s="1083" t="s">
        <v>1500</v>
      </c>
      <c r="F147" s="1337">
        <v>3</v>
      </c>
      <c r="G147" s="1337">
        <v>22.05</v>
      </c>
      <c r="H147" s="1153">
        <f t="shared" si="1"/>
        <v>5.51</v>
      </c>
    </row>
    <row r="148" spans="2:8" ht="14.25">
      <c r="B148" s="1077" t="s">
        <v>1358</v>
      </c>
      <c r="C148" s="1133"/>
      <c r="D148" s="1134"/>
      <c r="E148" s="1083" t="s">
        <v>1500</v>
      </c>
      <c r="F148" s="1337">
        <v>3</v>
      </c>
      <c r="G148" s="1337">
        <v>22.15</v>
      </c>
      <c r="H148" s="1153">
        <f t="shared" si="1"/>
        <v>5.53</v>
      </c>
    </row>
    <row r="149" spans="2:8" ht="14.25">
      <c r="B149" s="1077" t="s">
        <v>1498</v>
      </c>
      <c r="C149" s="1133"/>
      <c r="D149" s="1134"/>
      <c r="E149" s="1083" t="s">
        <v>1500</v>
      </c>
      <c r="F149" s="1337">
        <v>0</v>
      </c>
      <c r="G149" s="1337">
        <v>67.900000000000006</v>
      </c>
      <c r="H149" s="1153">
        <f t="shared" si="1"/>
        <v>0</v>
      </c>
    </row>
    <row r="150" spans="2:8" ht="14.25">
      <c r="B150" s="1077" t="s">
        <v>1359</v>
      </c>
      <c r="C150" s="1133"/>
      <c r="D150" s="1134"/>
      <c r="E150" s="1083" t="s">
        <v>1501</v>
      </c>
      <c r="F150" s="1337">
        <v>42</v>
      </c>
      <c r="G150" s="1337">
        <v>31.55</v>
      </c>
      <c r="H150" s="1153">
        <f t="shared" si="1"/>
        <v>110.42</v>
      </c>
    </row>
    <row r="151" spans="2:8" ht="21.75" customHeight="1">
      <c r="B151" s="1077" t="s">
        <v>1354</v>
      </c>
      <c r="C151" s="1347"/>
      <c r="D151" s="1348"/>
      <c r="E151" s="1083" t="s">
        <v>1500</v>
      </c>
      <c r="F151" s="1337">
        <v>303</v>
      </c>
      <c r="G151" s="1337">
        <v>5</v>
      </c>
      <c r="H151" s="1153">
        <f t="shared" si="1"/>
        <v>126.25</v>
      </c>
    </row>
    <row r="152" spans="2:8" ht="14.25">
      <c r="B152" s="1110" t="s">
        <v>1499</v>
      </c>
      <c r="C152" s="1135"/>
      <c r="D152" s="1136"/>
      <c r="E152" s="1137" t="s">
        <v>1501</v>
      </c>
      <c r="F152" s="1338">
        <v>12</v>
      </c>
      <c r="G152" s="1338">
        <v>5.25</v>
      </c>
      <c r="H152" s="1138">
        <f t="shared" si="1"/>
        <v>5.25</v>
      </c>
    </row>
    <row r="153" spans="2:8" thickBot="1">
      <c r="B153" s="1056" t="s">
        <v>595</v>
      </c>
      <c r="C153" s="1056"/>
      <c r="D153" s="1056"/>
      <c r="E153" s="1056"/>
      <c r="F153" s="1056"/>
      <c r="G153" s="1056"/>
      <c r="H153" s="1056"/>
    </row>
    <row r="154" spans="2:8" thickBot="1">
      <c r="B154" s="1139" t="s">
        <v>614</v>
      </c>
      <c r="C154" s="1140"/>
      <c r="D154" s="1140"/>
      <c r="E154" s="1140"/>
      <c r="F154" s="1140"/>
      <c r="G154" s="1140"/>
      <c r="H154" s="1141">
        <f>SUM(H138:H152)</f>
        <v>559.16</v>
      </c>
    </row>
    <row r="155" spans="2:8" ht="14.25">
      <c r="B155" s="1142"/>
      <c r="C155" s="1143"/>
      <c r="D155" s="1143"/>
      <c r="E155" s="1143"/>
      <c r="F155" s="1144"/>
      <c r="G155" s="1144"/>
      <c r="H155" s="1145"/>
    </row>
    <row r="156" spans="2:8" ht="14.25">
      <c r="B156" s="1146" t="s">
        <v>384</v>
      </c>
      <c r="C156" s="1147"/>
      <c r="D156" s="1147"/>
      <c r="E156" s="1147"/>
      <c r="F156" s="1147"/>
      <c r="G156" s="1147"/>
      <c r="H156" s="1148">
        <f>E24</f>
        <v>4</v>
      </c>
    </row>
    <row r="157" spans="2:8" thickBot="1">
      <c r="B157" s="1149" t="s">
        <v>854</v>
      </c>
      <c r="C157" s="1150"/>
      <c r="D157" s="1150"/>
      <c r="E157" s="1150"/>
      <c r="F157" s="1150"/>
      <c r="G157" s="1150"/>
      <c r="H157" s="1151">
        <f>H156*H110</f>
        <v>24000.880000000001</v>
      </c>
    </row>
    <row r="158" spans="2:8">
      <c r="B158" s="1024"/>
      <c r="C158" s="1024"/>
      <c r="D158" s="1024"/>
      <c r="E158" s="1024"/>
      <c r="F158" s="1024"/>
      <c r="G158" s="1024"/>
      <c r="H158" s="1024"/>
    </row>
    <row r="159" spans="2:8" ht="15.75" thickBot="1">
      <c r="B159" s="1026" t="s">
        <v>1434</v>
      </c>
      <c r="C159" s="1024"/>
      <c r="D159" s="1024"/>
      <c r="E159" s="1024"/>
      <c r="F159" s="1024"/>
      <c r="G159" s="1024"/>
      <c r="H159" s="1024"/>
    </row>
    <row r="160" spans="2:8" ht="14.25">
      <c r="B160" s="1068" t="s">
        <v>1364</v>
      </c>
      <c r="C160" s="1069"/>
      <c r="D160" s="1069"/>
      <c r="E160" s="1069"/>
      <c r="F160" s="1069"/>
      <c r="G160" s="1070"/>
      <c r="H160" s="1071">
        <f>H176+H178+H182+H184+H203</f>
        <v>29794.76</v>
      </c>
    </row>
    <row r="161" spans="2:8" ht="14.25">
      <c r="B161" s="1072" t="s">
        <v>1365</v>
      </c>
      <c r="C161" s="1073"/>
      <c r="D161" s="1074"/>
      <c r="E161" s="1075" t="s">
        <v>466</v>
      </c>
      <c r="F161" s="1075">
        <v>1</v>
      </c>
      <c r="G161" s="1334">
        <v>4000</v>
      </c>
      <c r="H161" s="1076">
        <f>TRUNC(F161*G161,2)</f>
        <v>4000</v>
      </c>
    </row>
    <row r="162" spans="2:8" ht="14.25">
      <c r="B162" s="1077" t="s">
        <v>855</v>
      </c>
      <c r="C162" s="1078"/>
      <c r="D162" s="1078"/>
      <c r="E162" s="1079" t="s">
        <v>466</v>
      </c>
      <c r="F162" s="1079">
        <v>1</v>
      </c>
      <c r="G162" s="1080">
        <v>1518</v>
      </c>
      <c r="H162" s="1081"/>
    </row>
    <row r="163" spans="2:8" ht="14.25">
      <c r="B163" s="1077" t="s">
        <v>468</v>
      </c>
      <c r="C163" s="1078"/>
      <c r="D163" s="1078"/>
      <c r="E163" s="1079" t="s">
        <v>469</v>
      </c>
      <c r="F163" s="1082"/>
      <c r="G163" s="1083"/>
      <c r="H163" s="1084"/>
    </row>
    <row r="164" spans="2:8" ht="14.25">
      <c r="B164" s="1077"/>
      <c r="C164" s="1078"/>
      <c r="D164" s="1078"/>
      <c r="E164" s="1079" t="s">
        <v>470</v>
      </c>
      <c r="F164" s="1080">
        <v>0</v>
      </c>
      <c r="G164" s="1085">
        <f>G161/220*0.2</f>
        <v>3.6363636363636367</v>
      </c>
      <c r="H164" s="1081">
        <f>TRUNC(F164*G164,2)</f>
        <v>0</v>
      </c>
    </row>
    <row r="165" spans="2:8" ht="14.25">
      <c r="B165" s="1077" t="s">
        <v>471</v>
      </c>
      <c r="C165" s="1078"/>
      <c r="D165" s="1078"/>
      <c r="E165" s="1079" t="s">
        <v>472</v>
      </c>
      <c r="F165" s="1082"/>
      <c r="G165" s="1080">
        <f>G161/220*2</f>
        <v>36.363636363636367</v>
      </c>
      <c r="H165" s="1081">
        <f>TRUNC(F165*G165,2)</f>
        <v>0</v>
      </c>
    </row>
    <row r="166" spans="2:8" ht="14.25">
      <c r="B166" s="1077" t="s">
        <v>473</v>
      </c>
      <c r="C166" s="1078"/>
      <c r="D166" s="1078"/>
      <c r="E166" s="1079" t="s">
        <v>469</v>
      </c>
      <c r="F166" s="1082"/>
      <c r="G166" s="1080"/>
      <c r="H166" s="1081"/>
    </row>
    <row r="167" spans="2:8" ht="14.25">
      <c r="B167" s="1077"/>
      <c r="C167" s="1078"/>
      <c r="D167" s="1078"/>
      <c r="E167" s="1079" t="s">
        <v>470</v>
      </c>
      <c r="F167" s="1080">
        <v>0</v>
      </c>
      <c r="G167" s="1080">
        <f>G161/220*2*1.2</f>
        <v>43.63636363636364</v>
      </c>
      <c r="H167" s="1081">
        <f>TRUNC(F167*G167,2)</f>
        <v>0</v>
      </c>
    </row>
    <row r="168" spans="2:8" ht="14.25">
      <c r="B168" s="1077" t="s">
        <v>474</v>
      </c>
      <c r="C168" s="1078"/>
      <c r="D168" s="1078"/>
      <c r="E168" s="1079" t="s">
        <v>472</v>
      </c>
      <c r="F168" s="1082"/>
      <c r="G168" s="1080">
        <f>G161/220*1.5</f>
        <v>27.272727272727273</v>
      </c>
      <c r="H168" s="1081">
        <f>TRUNC(F168*G168,2)</f>
        <v>0</v>
      </c>
    </row>
    <row r="169" spans="2:8" ht="14.25">
      <c r="B169" s="1077" t="s">
        <v>475</v>
      </c>
      <c r="C169" s="1078"/>
      <c r="D169" s="1078"/>
      <c r="E169" s="1079" t="s">
        <v>469</v>
      </c>
      <c r="F169" s="1082"/>
      <c r="G169" s="1080"/>
      <c r="H169" s="1081"/>
    </row>
    <row r="170" spans="2:8" ht="14.25">
      <c r="B170" s="1077" t="s">
        <v>1546</v>
      </c>
      <c r="C170" s="1078"/>
      <c r="D170" s="1078"/>
      <c r="E170" s="1079" t="s">
        <v>466</v>
      </c>
      <c r="F170" s="1396">
        <v>1</v>
      </c>
      <c r="G170" s="1080">
        <f>750/12</f>
        <v>62.5</v>
      </c>
      <c r="H170" s="1081">
        <f>TRUNC(F170*G170,2)</f>
        <v>62.5</v>
      </c>
    </row>
    <row r="171" spans="2:8" ht="14.25">
      <c r="B171" s="1077" t="s">
        <v>476</v>
      </c>
      <c r="C171" s="1078"/>
      <c r="D171" s="1078"/>
      <c r="E171" s="1079" t="s">
        <v>477</v>
      </c>
      <c r="F171" s="1083"/>
      <c r="G171" s="1080">
        <f>TRUNC(((52+9)/304)*(SUM(H165:H170)),2)</f>
        <v>12.54</v>
      </c>
      <c r="H171" s="1081">
        <f>G171</f>
        <v>12.54</v>
      </c>
    </row>
    <row r="172" spans="2:8" ht="14.25">
      <c r="B172" s="1077" t="s">
        <v>1547</v>
      </c>
      <c r="C172" s="1078"/>
      <c r="D172" s="1078"/>
      <c r="E172" s="1079" t="s">
        <v>466</v>
      </c>
      <c r="F172" s="1086">
        <v>1</v>
      </c>
      <c r="G172" s="1080">
        <v>300</v>
      </c>
      <c r="H172" s="1081">
        <f>G172*F172</f>
        <v>300</v>
      </c>
    </row>
    <row r="173" spans="2:8" ht="14.25">
      <c r="B173" s="1077" t="s">
        <v>479</v>
      </c>
      <c r="C173" s="1078"/>
      <c r="D173" s="1078"/>
      <c r="E173" s="1079" t="s">
        <v>480</v>
      </c>
      <c r="F173" s="1334">
        <v>40</v>
      </c>
      <c r="G173" s="1080">
        <f>IF(F172=2,SUM(H161:H171),IF(F172=1,SUM(H161:H171)*G162/G161,0))</f>
        <v>1546.47768</v>
      </c>
      <c r="H173" s="1081">
        <f>TRUNC(F173*G173/100,2)</f>
        <v>618.59</v>
      </c>
    </row>
    <row r="174" spans="2:8" ht="14.25">
      <c r="B174" s="1087" t="s">
        <v>481</v>
      </c>
      <c r="C174" s="1078"/>
      <c r="D174" s="1078"/>
      <c r="E174" s="1088"/>
      <c r="F174" s="1088"/>
      <c r="G174" s="1089"/>
      <c r="H174" s="1090">
        <f>SUM(H161:H173)</f>
        <v>4993.63</v>
      </c>
    </row>
    <row r="175" spans="2:8" ht="14.25">
      <c r="B175" s="1091" t="s">
        <v>482</v>
      </c>
      <c r="C175" s="1092"/>
      <c r="D175" s="1093"/>
      <c r="E175" s="1094" t="s">
        <v>480</v>
      </c>
      <c r="F175" s="1095">
        <f>$F$75</f>
        <v>71.460000000000008</v>
      </c>
      <c r="G175" s="1095">
        <f>H174</f>
        <v>4993.63</v>
      </c>
      <c r="H175" s="1096">
        <f>TRUNC(G175*F175/100,2)</f>
        <v>3568.44</v>
      </c>
    </row>
    <row r="176" spans="2:8" ht="14.25">
      <c r="B176" s="1097" t="s">
        <v>861</v>
      </c>
      <c r="C176" s="1078"/>
      <c r="D176" s="1078"/>
      <c r="E176" s="1098"/>
      <c r="F176" s="1098"/>
      <c r="G176" s="1099"/>
      <c r="H176" s="1100">
        <f>TRUNC(H174+H175,2)</f>
        <v>8562.07</v>
      </c>
    </row>
    <row r="177" spans="2:8" ht="14.25">
      <c r="B177" s="1101" t="s">
        <v>483</v>
      </c>
      <c r="C177" s="1102"/>
      <c r="D177" s="1102"/>
      <c r="E177" s="1102"/>
      <c r="F177" s="1102"/>
      <c r="G177" s="1102"/>
      <c r="H177" s="1103"/>
    </row>
    <row r="178" spans="2:8" ht="14.25">
      <c r="B178" s="1104" t="s">
        <v>860</v>
      </c>
      <c r="C178" s="1105"/>
      <c r="D178" s="1106"/>
      <c r="E178" s="1107" t="s">
        <v>484</v>
      </c>
      <c r="F178" s="1108">
        <v>1</v>
      </c>
      <c r="G178" s="1108">
        <f>H181</f>
        <v>0</v>
      </c>
      <c r="H178" s="1109">
        <f>TRUNC(G178*F178,2)</f>
        <v>0</v>
      </c>
    </row>
    <row r="179" spans="2:8" ht="14.25">
      <c r="B179" s="1077" t="s">
        <v>485</v>
      </c>
      <c r="C179" s="1078"/>
      <c r="D179" s="1078"/>
      <c r="E179" s="1079" t="s">
        <v>477</v>
      </c>
      <c r="F179" s="1080">
        <v>1</v>
      </c>
      <c r="G179" s="1334">
        <v>0</v>
      </c>
      <c r="H179" s="1081"/>
    </row>
    <row r="180" spans="2:8" ht="14.25">
      <c r="B180" s="1077" t="s">
        <v>486</v>
      </c>
      <c r="C180" s="1078"/>
      <c r="D180" s="1078"/>
      <c r="E180" s="1079" t="s">
        <v>487</v>
      </c>
      <c r="F180" s="1080">
        <f>$H$6</f>
        <v>25.25</v>
      </c>
      <c r="G180" s="1080"/>
      <c r="H180" s="1081"/>
    </row>
    <row r="181" spans="2:8" ht="14.25">
      <c r="B181" s="1110" t="str">
        <f>CONCATENATE("Vale Transporte - ",B160)</f>
        <v>Vale Transporte - Encarregado Geral</v>
      </c>
      <c r="C181" s="1078"/>
      <c r="D181" s="1078"/>
      <c r="E181" s="1111" t="s">
        <v>488</v>
      </c>
      <c r="F181" s="1112">
        <f>F180*2*1</f>
        <v>50.5</v>
      </c>
      <c r="G181" s="1112">
        <f>IF(TRUNC(IFERROR(((G179)-((G161*0.06)/(F180*2))),"-"),2)&lt;=0,0,TRUNC(IFERROR(((G179)-((G161*0.06)/(F180*2))),"-"),2))</f>
        <v>0</v>
      </c>
      <c r="H181" s="1113">
        <f>TRUNC(IFERROR(F181*G181,"-"),2)</f>
        <v>0</v>
      </c>
    </row>
    <row r="182" spans="2:8" ht="14.25">
      <c r="B182" s="1104" t="s">
        <v>859</v>
      </c>
      <c r="C182" s="1105"/>
      <c r="D182" s="1106"/>
      <c r="E182" s="1107" t="s">
        <v>484</v>
      </c>
      <c r="F182" s="1108">
        <v>1</v>
      </c>
      <c r="G182" s="1108">
        <f>H183</f>
        <v>413.09</v>
      </c>
      <c r="H182" s="1109">
        <f>G182*F182</f>
        <v>413.09</v>
      </c>
    </row>
    <row r="183" spans="2:8" ht="14.25">
      <c r="B183" s="1114" t="s">
        <v>489</v>
      </c>
      <c r="C183" s="1115"/>
      <c r="D183" s="1116"/>
      <c r="E183" s="1117" t="s">
        <v>490</v>
      </c>
      <c r="F183" s="1108">
        <f>F180</f>
        <v>25.25</v>
      </c>
      <c r="G183" s="1335">
        <v>16.36</v>
      </c>
      <c r="H183" s="1118">
        <f>TRUNC(F183*G183,2)</f>
        <v>413.09</v>
      </c>
    </row>
    <row r="184" spans="2:8" ht="14.25">
      <c r="B184" s="1104" t="s">
        <v>491</v>
      </c>
      <c r="C184" s="1105"/>
      <c r="D184" s="1106"/>
      <c r="E184" s="1107" t="s">
        <v>484</v>
      </c>
      <c r="F184" s="1108">
        <v>1</v>
      </c>
      <c r="G184" s="1335">
        <v>120</v>
      </c>
      <c r="H184" s="1109">
        <f>G184*F184</f>
        <v>120</v>
      </c>
    </row>
    <row r="185" spans="2:8" ht="14.25">
      <c r="B185" s="1119"/>
      <c r="C185" s="1119"/>
      <c r="D185" s="1119"/>
      <c r="E185" s="1119"/>
      <c r="F185" s="1119"/>
      <c r="G185" s="1119"/>
      <c r="H185" s="1119"/>
    </row>
    <row r="186" spans="2:8" ht="14.25">
      <c r="B186" s="1120" t="s">
        <v>1548</v>
      </c>
      <c r="C186" s="1056"/>
      <c r="D186" s="1056"/>
      <c r="E186" s="1056"/>
      <c r="F186" s="1056"/>
      <c r="G186" s="1056"/>
      <c r="H186" s="1056"/>
    </row>
    <row r="187" spans="2:8" ht="21">
      <c r="B187" s="1121" t="s">
        <v>900</v>
      </c>
      <c r="C187" s="1122"/>
      <c r="D187" s="1123"/>
      <c r="E187" s="1124" t="s">
        <v>1164</v>
      </c>
      <c r="F187" s="1125" t="s">
        <v>1353</v>
      </c>
      <c r="G187" s="1124" t="s">
        <v>1166</v>
      </c>
      <c r="H187" s="1152" t="s">
        <v>1167</v>
      </c>
    </row>
    <row r="188" spans="2:8" ht="14.25">
      <c r="B188" s="1127" t="s">
        <v>1489</v>
      </c>
      <c r="C188" s="1128"/>
      <c r="D188" s="1129"/>
      <c r="E188" s="1130" t="s">
        <v>1500</v>
      </c>
      <c r="F188" s="1336">
        <v>12</v>
      </c>
      <c r="G188" s="1336">
        <f>G88</f>
        <v>95</v>
      </c>
      <c r="H188" s="1131">
        <f t="shared" ref="H188:H202" si="2">TRUNC(F188*G188/12,2)</f>
        <v>95</v>
      </c>
    </row>
    <row r="189" spans="2:8" ht="25.5" customHeight="1">
      <c r="B189" s="1346" t="s">
        <v>438</v>
      </c>
      <c r="C189" s="1347"/>
      <c r="D189" s="1348"/>
      <c r="E189" s="1083" t="s">
        <v>1500</v>
      </c>
      <c r="F189" s="1337">
        <v>1</v>
      </c>
      <c r="G189" s="1337">
        <f>G89</f>
        <v>45</v>
      </c>
      <c r="H189" s="1132">
        <f t="shared" si="2"/>
        <v>3.75</v>
      </c>
    </row>
    <row r="190" spans="2:8" ht="14.25">
      <c r="B190" s="1077" t="s">
        <v>1490</v>
      </c>
      <c r="C190" s="1133"/>
      <c r="D190" s="1134"/>
      <c r="E190" s="1083" t="s">
        <v>1501</v>
      </c>
      <c r="F190" s="1337">
        <v>2</v>
      </c>
      <c r="G190" s="1337">
        <f t="shared" ref="G190:G198" si="3">G90</f>
        <v>72.400000000000006</v>
      </c>
      <c r="H190" s="1132">
        <f t="shared" si="2"/>
        <v>12.06</v>
      </c>
    </row>
    <row r="191" spans="2:8" ht="14.25">
      <c r="B191" s="1077" t="s">
        <v>1491</v>
      </c>
      <c r="C191" s="1133"/>
      <c r="D191" s="1134"/>
      <c r="E191" s="1083" t="s">
        <v>1501</v>
      </c>
      <c r="F191" s="1337">
        <v>0</v>
      </c>
      <c r="G191" s="1337">
        <f t="shared" si="3"/>
        <v>65.319999999999993</v>
      </c>
      <c r="H191" s="1132">
        <f t="shared" si="2"/>
        <v>0</v>
      </c>
    </row>
    <row r="192" spans="2:8" ht="14.25">
      <c r="B192" s="1077" t="s">
        <v>1492</v>
      </c>
      <c r="C192" s="1133"/>
      <c r="D192" s="1134"/>
      <c r="E192" s="1083" t="s">
        <v>1500</v>
      </c>
      <c r="F192" s="1337">
        <v>0</v>
      </c>
      <c r="G192" s="1337">
        <f t="shared" si="3"/>
        <v>120</v>
      </c>
      <c r="H192" s="1132">
        <f t="shared" si="2"/>
        <v>0</v>
      </c>
    </row>
    <row r="193" spans="2:8" ht="14.25">
      <c r="B193" s="1077" t="s">
        <v>1493</v>
      </c>
      <c r="C193" s="1133"/>
      <c r="D193" s="1134"/>
      <c r="E193" s="1083" t="s">
        <v>1500</v>
      </c>
      <c r="F193" s="1337">
        <v>6</v>
      </c>
      <c r="G193" s="1337">
        <f t="shared" si="3"/>
        <v>120</v>
      </c>
      <c r="H193" s="1132">
        <f t="shared" si="2"/>
        <v>60</v>
      </c>
    </row>
    <row r="194" spans="2:8" ht="14.25">
      <c r="B194" s="1077" t="s">
        <v>1494</v>
      </c>
      <c r="C194" s="1133"/>
      <c r="D194" s="1134"/>
      <c r="E194" s="1083" t="s">
        <v>1500</v>
      </c>
      <c r="F194" s="1337">
        <v>6</v>
      </c>
      <c r="G194" s="1337">
        <f t="shared" si="3"/>
        <v>68.2</v>
      </c>
      <c r="H194" s="1132">
        <f t="shared" si="2"/>
        <v>34.1</v>
      </c>
    </row>
    <row r="195" spans="2:8" ht="14.25">
      <c r="B195" s="1110" t="s">
        <v>1499</v>
      </c>
      <c r="C195" s="1133"/>
      <c r="D195" s="1134"/>
      <c r="E195" s="1083" t="s">
        <v>1500</v>
      </c>
      <c r="F195" s="1337">
        <v>12</v>
      </c>
      <c r="G195" s="1337">
        <v>5.25</v>
      </c>
      <c r="H195" s="1153">
        <f t="shared" si="2"/>
        <v>5.25</v>
      </c>
    </row>
    <row r="196" spans="2:8" ht="14.25">
      <c r="B196" s="1077" t="s">
        <v>1496</v>
      </c>
      <c r="C196" s="1133"/>
      <c r="D196" s="1134"/>
      <c r="E196" s="1083" t="s">
        <v>1500</v>
      </c>
      <c r="F196" s="1337">
        <v>6</v>
      </c>
      <c r="G196" s="1337">
        <f t="shared" si="3"/>
        <v>46.23</v>
      </c>
      <c r="H196" s="1153">
        <f t="shared" si="2"/>
        <v>23.11</v>
      </c>
    </row>
    <row r="197" spans="2:8" ht="14.25">
      <c r="B197" s="1077" t="s">
        <v>1497</v>
      </c>
      <c r="C197" s="1133"/>
      <c r="D197" s="1134"/>
      <c r="E197" s="1083" t="s">
        <v>1500</v>
      </c>
      <c r="F197" s="1337">
        <v>1</v>
      </c>
      <c r="G197" s="1337">
        <f t="shared" si="3"/>
        <v>22.05</v>
      </c>
      <c r="H197" s="1153">
        <f t="shared" si="2"/>
        <v>1.83</v>
      </c>
    </row>
    <row r="198" spans="2:8" ht="14.25">
      <c r="B198" s="1077" t="s">
        <v>1358</v>
      </c>
      <c r="C198" s="1133"/>
      <c r="D198" s="1134"/>
      <c r="E198" s="1083" t="s">
        <v>1500</v>
      </c>
      <c r="F198" s="1337">
        <v>1</v>
      </c>
      <c r="G198" s="1337">
        <f t="shared" si="3"/>
        <v>22.15</v>
      </c>
      <c r="H198" s="1153">
        <f t="shared" si="2"/>
        <v>1.84</v>
      </c>
    </row>
    <row r="199" spans="2:8" ht="14.25">
      <c r="B199" s="1077" t="s">
        <v>1549</v>
      </c>
      <c r="C199" s="1133"/>
      <c r="D199" s="1134"/>
      <c r="E199" s="1083" t="s">
        <v>1044</v>
      </c>
      <c r="F199" s="1337">
        <v>12</v>
      </c>
      <c r="G199" s="1337">
        <v>6000</v>
      </c>
      <c r="H199" s="1153">
        <f t="shared" si="2"/>
        <v>6000</v>
      </c>
    </row>
    <row r="200" spans="2:8" ht="14.25">
      <c r="B200" s="1077" t="s">
        <v>1543</v>
      </c>
      <c r="C200" s="1133"/>
      <c r="D200" s="1134"/>
      <c r="E200" s="1083" t="s">
        <v>1500</v>
      </c>
      <c r="F200" s="1337">
        <v>1</v>
      </c>
      <c r="G200" s="1337">
        <v>110000</v>
      </c>
      <c r="H200" s="1153">
        <f t="shared" si="2"/>
        <v>9166.66</v>
      </c>
    </row>
    <row r="201" spans="2:8" ht="21.75" customHeight="1">
      <c r="B201" s="1077" t="s">
        <v>1544</v>
      </c>
      <c r="C201" s="1347"/>
      <c r="D201" s="1348"/>
      <c r="E201" s="1083" t="s">
        <v>1500</v>
      </c>
      <c r="F201" s="1337">
        <v>1</v>
      </c>
      <c r="G201" s="1337">
        <v>52752</v>
      </c>
      <c r="H201" s="1153">
        <f t="shared" si="2"/>
        <v>4396</v>
      </c>
    </row>
    <row r="202" spans="2:8" thickBot="1">
      <c r="B202" s="1110" t="s">
        <v>1545</v>
      </c>
      <c r="C202" s="1135"/>
      <c r="D202" s="1136"/>
      <c r="E202" s="1137" t="s">
        <v>601</v>
      </c>
      <c r="F202" s="1338">
        <v>1</v>
      </c>
      <c r="G202" s="1338">
        <v>10800</v>
      </c>
      <c r="H202" s="1138">
        <f t="shared" si="2"/>
        <v>900</v>
      </c>
    </row>
    <row r="203" spans="2:8" thickBot="1">
      <c r="B203" s="1139" t="s">
        <v>614</v>
      </c>
      <c r="C203" s="1140"/>
      <c r="D203" s="1140"/>
      <c r="E203" s="1140"/>
      <c r="F203" s="1140"/>
      <c r="G203" s="1140"/>
      <c r="H203" s="1141">
        <f>SUM(H188:H202)</f>
        <v>20699.599999999999</v>
      </c>
    </row>
    <row r="204" spans="2:8" ht="14.25">
      <c r="B204" s="1142"/>
      <c r="C204" s="1143"/>
      <c r="D204" s="1143"/>
      <c r="E204" s="1143"/>
      <c r="F204" s="1144"/>
      <c r="G204" s="1144"/>
      <c r="H204" s="1145"/>
    </row>
    <row r="205" spans="2:8" ht="14.25">
      <c r="B205" s="1146" t="s">
        <v>384</v>
      </c>
      <c r="C205" s="1147"/>
      <c r="D205" s="1147"/>
      <c r="E205" s="1147"/>
      <c r="F205" s="1147"/>
      <c r="G205" s="1147"/>
      <c r="H205" s="1148">
        <f>E25</f>
        <v>1</v>
      </c>
    </row>
    <row r="206" spans="2:8" thickBot="1">
      <c r="B206" s="1149" t="s">
        <v>854</v>
      </c>
      <c r="C206" s="1150"/>
      <c r="D206" s="1150"/>
      <c r="E206" s="1150"/>
      <c r="F206" s="1150"/>
      <c r="G206" s="1150"/>
      <c r="H206" s="1151">
        <f>H205*H160</f>
        <v>29794.76</v>
      </c>
    </row>
    <row r="207" spans="2:8" ht="15.75" thickBot="1">
      <c r="B207" s="1023"/>
      <c r="C207" s="1023"/>
      <c r="D207" s="1023"/>
      <c r="E207" s="1023"/>
      <c r="F207" s="1023"/>
      <c r="G207" s="1023"/>
      <c r="H207" s="1023"/>
    </row>
    <row r="208" spans="2:8" ht="15.75" thickBot="1">
      <c r="B208" s="1044" t="s">
        <v>598</v>
      </c>
      <c r="C208" s="1039"/>
      <c r="D208" s="1039"/>
      <c r="E208" s="1039"/>
      <c r="F208" s="1039"/>
      <c r="G208" s="1039"/>
      <c r="H208" s="1154">
        <f>IFERROR(H157+H107+H206,0)</f>
        <v>67133.600000000006</v>
      </c>
    </row>
    <row r="209" spans="2:8">
      <c r="B209" s="1024"/>
      <c r="C209" s="1024"/>
      <c r="D209" s="1024"/>
      <c r="E209" s="1024"/>
      <c r="F209" s="1024"/>
      <c r="G209" s="1024"/>
      <c r="H209" s="1024"/>
    </row>
    <row r="210" spans="2:8">
      <c r="B210" s="1026" t="s">
        <v>1030</v>
      </c>
      <c r="C210" s="1024"/>
      <c r="D210" s="1024"/>
      <c r="E210" s="1024"/>
      <c r="F210" s="1024"/>
      <c r="G210" s="1024"/>
      <c r="H210" s="1024"/>
    </row>
    <row r="211" spans="2:8" ht="28.5">
      <c r="B211" s="1155" t="s">
        <v>900</v>
      </c>
      <c r="C211" s="1156"/>
      <c r="D211" s="1157"/>
      <c r="E211" s="1158" t="s">
        <v>1164</v>
      </c>
      <c r="F211" s="1159" t="s">
        <v>1165</v>
      </c>
      <c r="G211" s="1158" t="s">
        <v>1166</v>
      </c>
      <c r="H211" s="1160" t="s">
        <v>1167</v>
      </c>
    </row>
    <row r="212" spans="2:8">
      <c r="B212" s="1029" t="str">
        <f>B32</f>
        <v>vassourão</v>
      </c>
      <c r="C212" s="1030"/>
      <c r="D212" s="1030"/>
      <c r="E212" s="1161" t="s">
        <v>601</v>
      </c>
      <c r="F212" s="1162">
        <v>2</v>
      </c>
      <c r="G212" s="1339">
        <v>39.5</v>
      </c>
      <c r="H212" s="1163">
        <f>TRUNC(G212*F212,2)</f>
        <v>79</v>
      </c>
    </row>
    <row r="213" spans="2:8">
      <c r="B213" s="1032" t="str">
        <f>B33</f>
        <v>pá quadrada</v>
      </c>
      <c r="C213" s="1024"/>
      <c r="D213" s="1024"/>
      <c r="E213" s="1164" t="s">
        <v>601</v>
      </c>
      <c r="F213" s="1165">
        <f>H33</f>
        <v>1</v>
      </c>
      <c r="G213" s="1339">
        <v>38.5</v>
      </c>
      <c r="H213" s="1166">
        <f>TRUNC(G213*F213,2)</f>
        <v>38.5</v>
      </c>
    </row>
    <row r="214" spans="2:8">
      <c r="B214" s="1032" t="str">
        <f>B34</f>
        <v>saco plástico de lixo</v>
      </c>
      <c r="C214" s="1024"/>
      <c r="D214" s="1024"/>
      <c r="E214" s="1164" t="s">
        <v>601</v>
      </c>
      <c r="F214" s="1165">
        <v>200</v>
      </c>
      <c r="G214" s="1339">
        <v>0.8</v>
      </c>
      <c r="H214" s="1166">
        <f>TRUNC(G214*F214,2)</f>
        <v>160</v>
      </c>
    </row>
    <row r="215" spans="2:8">
      <c r="B215" s="1032" t="str">
        <f>B35</f>
        <v>cedência de sacolas reutilizáveis</v>
      </c>
      <c r="C215" s="1024"/>
      <c r="D215" s="1024"/>
      <c r="E215" s="1164" t="s">
        <v>601</v>
      </c>
      <c r="F215" s="1165">
        <f>H35</f>
        <v>0</v>
      </c>
      <c r="G215" s="1339">
        <v>2</v>
      </c>
      <c r="H215" s="1166">
        <f>TRUNC(G215*F215,2)</f>
        <v>0</v>
      </c>
    </row>
    <row r="216" spans="2:8">
      <c r="B216" s="1034" t="str">
        <f>B36</f>
        <v>material orientativo (Panfletos)</v>
      </c>
      <c r="C216" s="1035"/>
      <c r="D216" s="1035"/>
      <c r="E216" s="1167" t="s">
        <v>601</v>
      </c>
      <c r="F216" s="1168">
        <f>H36</f>
        <v>0</v>
      </c>
      <c r="G216" s="1340">
        <v>1.5</v>
      </c>
      <c r="H216" s="1169">
        <f>TRUNC(G216*F216,2)</f>
        <v>0</v>
      </c>
    </row>
    <row r="217" spans="2:8" ht="15.75" thickBot="1">
      <c r="B217" s="1056" t="s">
        <v>595</v>
      </c>
      <c r="C217" s="1024"/>
      <c r="D217" s="1024"/>
      <c r="E217" s="1024"/>
      <c r="F217" s="1024"/>
      <c r="G217" s="1024"/>
      <c r="H217" s="1024"/>
    </row>
    <row r="218" spans="2:8" ht="15.75" thickBot="1">
      <c r="B218" s="1044" t="s">
        <v>602</v>
      </c>
      <c r="C218" s="1039"/>
      <c r="D218" s="1039"/>
      <c r="E218" s="1039"/>
      <c r="F218" s="1039"/>
      <c r="G218" s="1039"/>
      <c r="H218" s="1154">
        <f>SUM(H212:H216)</f>
        <v>277.5</v>
      </c>
    </row>
    <row r="219" spans="2:8">
      <c r="B219" s="1024"/>
      <c r="C219" s="1024"/>
      <c r="D219" s="1024"/>
      <c r="E219" s="1024"/>
      <c r="F219" s="1024"/>
      <c r="G219" s="1024"/>
      <c r="H219" s="1024"/>
    </row>
    <row r="220" spans="2:8">
      <c r="B220" s="1026" t="s">
        <v>1031</v>
      </c>
      <c r="C220" s="1024"/>
      <c r="D220" s="1024"/>
      <c r="E220" s="1024"/>
      <c r="F220" s="1024"/>
      <c r="G220" s="1024"/>
      <c r="H220" s="1024"/>
    </row>
    <row r="221" spans="2:8" ht="15.75" thickBot="1">
      <c r="B221" s="1024"/>
      <c r="C221" s="1024"/>
      <c r="D221" s="1024"/>
      <c r="E221" s="1024"/>
      <c r="F221" s="1024"/>
      <c r="G221" s="1024"/>
      <c r="H221" s="1024"/>
    </row>
    <row r="222" spans="2:8" ht="15.75" thickBot="1">
      <c r="B222" s="1044" t="s">
        <v>1485</v>
      </c>
      <c r="C222" s="1039"/>
      <c r="D222" s="1039"/>
      <c r="E222" s="1039"/>
      <c r="F222" s="1039"/>
      <c r="G222" s="1039"/>
      <c r="H222" s="1154">
        <f>IFERROR(#REF!,0)</f>
        <v>0</v>
      </c>
    </row>
    <row r="223" spans="2:8">
      <c r="B223" s="1024"/>
      <c r="C223" s="1024"/>
      <c r="D223" s="1024"/>
      <c r="E223" s="1024"/>
      <c r="F223" s="1024"/>
      <c r="G223" s="1024"/>
      <c r="H223" s="1024"/>
    </row>
    <row r="224" spans="2:8">
      <c r="B224" s="1026" t="s">
        <v>1435</v>
      </c>
      <c r="C224" s="1024"/>
      <c r="D224" s="1024"/>
      <c r="E224" s="1024"/>
      <c r="F224" s="1024"/>
      <c r="G224" s="1024"/>
      <c r="H224" s="1170"/>
    </row>
    <row r="225" spans="2:13" ht="28.5">
      <c r="B225" s="1155" t="s">
        <v>900</v>
      </c>
      <c r="C225" s="1156"/>
      <c r="D225" s="1157"/>
      <c r="E225" s="1158" t="s">
        <v>1164</v>
      </c>
      <c r="F225" s="1159" t="s">
        <v>1165</v>
      </c>
      <c r="G225" s="1158" t="s">
        <v>1166</v>
      </c>
      <c r="H225" s="1160" t="s">
        <v>1167</v>
      </c>
    </row>
    <row r="226" spans="2:13">
      <c r="B226" s="1029" t="str">
        <f>B46</f>
        <v>Recipiente térmico para água (5L)</v>
      </c>
      <c r="C226" s="1030"/>
      <c r="D226" s="1030"/>
      <c r="E226" s="1161" t="s">
        <v>601</v>
      </c>
      <c r="F226" s="1171">
        <f>H46</f>
        <v>0.83</v>
      </c>
      <c r="G226" s="1341">
        <v>65.5</v>
      </c>
      <c r="H226" s="1172">
        <f>TRUNC(F226*G226,2)</f>
        <v>54.36</v>
      </c>
    </row>
    <row r="227" spans="2:13">
      <c r="B227" s="1032" t="str">
        <f>B47</f>
        <v>Cone de sinalização</v>
      </c>
      <c r="C227" s="1024"/>
      <c r="D227" s="1024"/>
      <c r="E227" s="1164" t="s">
        <v>601</v>
      </c>
      <c r="F227" s="1173">
        <f>H47</f>
        <v>1</v>
      </c>
      <c r="G227" s="1339">
        <v>48.98</v>
      </c>
      <c r="H227" s="1174">
        <f>TRUNC(F227*G227,2)</f>
        <v>48.98</v>
      </c>
    </row>
    <row r="228" spans="2:13">
      <c r="B228" s="1034" t="str">
        <f>B48</f>
        <v>Bandeirola</v>
      </c>
      <c r="C228" s="1035"/>
      <c r="D228" s="1035"/>
      <c r="E228" s="1167" t="s">
        <v>601</v>
      </c>
      <c r="F228" s="1175">
        <f>H48</f>
        <v>1</v>
      </c>
      <c r="G228" s="1340">
        <v>12.72</v>
      </c>
      <c r="H228" s="1176">
        <f>TRUNC(F228*G228,2)</f>
        <v>12.72</v>
      </c>
    </row>
    <row r="229" spans="2:13" ht="15.75" thickBot="1">
      <c r="B229" s="1056" t="s">
        <v>595</v>
      </c>
      <c r="C229" s="1024"/>
      <c r="D229" s="1024"/>
      <c r="E229" s="1024"/>
      <c r="F229" s="1024"/>
      <c r="G229" s="1024"/>
      <c r="H229" s="1170"/>
    </row>
    <row r="230" spans="2:13" ht="15.75" thickBot="1">
      <c r="B230" s="1044" t="s">
        <v>1174</v>
      </c>
      <c r="C230" s="1039"/>
      <c r="D230" s="1039"/>
      <c r="E230" s="1039"/>
      <c r="F230" s="1039"/>
      <c r="G230" s="1039"/>
      <c r="H230" s="1154">
        <f>SUM(H226:H228)</f>
        <v>116.06</v>
      </c>
    </row>
    <row r="231" spans="2:13">
      <c r="B231" s="1024"/>
      <c r="C231" s="1024"/>
      <c r="D231" s="1024"/>
      <c r="E231" s="1024"/>
      <c r="F231" s="1024"/>
      <c r="G231" s="1024"/>
      <c r="H231" s="1024"/>
    </row>
    <row r="232" spans="2:13">
      <c r="B232" s="1026" t="s">
        <v>1436</v>
      </c>
      <c r="C232" s="1024"/>
      <c r="D232" s="1024"/>
      <c r="E232" s="1024"/>
      <c r="F232" s="1024"/>
      <c r="G232" s="1024"/>
      <c r="H232" s="1024"/>
    </row>
    <row r="233" spans="2:13" ht="15.75" thickBot="1">
      <c r="B233" s="1026" t="str">
        <f>"1.2.5.1) "&amp;B53&amp;" c/ implemento "&amp;B55</f>
        <v>1.2.5.1) Caminhão médio (toco) c/ implemento Compactador de 15 m³</v>
      </c>
      <c r="C233" s="1024"/>
      <c r="D233" s="1024"/>
      <c r="E233" s="1024"/>
      <c r="F233" s="1024"/>
      <c r="G233" s="1024"/>
      <c r="H233" s="1024"/>
    </row>
    <row r="234" spans="2:13" ht="14.25">
      <c r="B234" s="1567" t="str">
        <f>B53&amp;" c/ implemento "&amp;B55</f>
        <v>Caminhão médio (toco) c/ implemento Compactador de 15 m³</v>
      </c>
      <c r="C234" s="1568"/>
      <c r="D234" s="1568"/>
      <c r="E234" s="1569"/>
      <c r="F234" s="1177">
        <v>0</v>
      </c>
      <c r="G234" s="1178" t="s">
        <v>814</v>
      </c>
      <c r="H234" s="1179">
        <f>TRUNC(H241+H245+H249+H256+H261+H273,2)</f>
        <v>33085.21</v>
      </c>
      <c r="M234" s="944"/>
    </row>
    <row r="235" spans="2:13">
      <c r="B235" s="1558" t="s">
        <v>799</v>
      </c>
      <c r="C235" s="1559"/>
      <c r="D235" s="1559"/>
      <c r="E235" s="1560"/>
      <c r="F235" s="1079" t="s">
        <v>477</v>
      </c>
      <c r="G235" s="1164"/>
      <c r="H235" s="1342">
        <v>800000</v>
      </c>
    </row>
    <row r="236" spans="2:13">
      <c r="B236" s="1552" t="s">
        <v>800</v>
      </c>
      <c r="C236" s="1553"/>
      <c r="D236" s="1553"/>
      <c r="E236" s="1554"/>
      <c r="F236" s="1079" t="s">
        <v>615</v>
      </c>
      <c r="G236" s="1164"/>
      <c r="H236" s="1180">
        <v>5</v>
      </c>
    </row>
    <row r="237" spans="2:13">
      <c r="B237" s="1552" t="s">
        <v>804</v>
      </c>
      <c r="C237" s="1553"/>
      <c r="D237" s="1553"/>
      <c r="E237" s="1554"/>
      <c r="F237" s="1079" t="s">
        <v>703</v>
      </c>
      <c r="G237" s="1164"/>
      <c r="H237" s="1180">
        <v>2240</v>
      </c>
    </row>
    <row r="238" spans="2:13">
      <c r="B238" s="1552" t="s">
        <v>805</v>
      </c>
      <c r="C238" s="1553"/>
      <c r="D238" s="1553"/>
      <c r="E238" s="1554"/>
      <c r="F238" s="1079" t="s">
        <v>1362</v>
      </c>
      <c r="G238" s="1164"/>
      <c r="H238" s="1180">
        <v>2.5</v>
      </c>
    </row>
    <row r="239" spans="2:13">
      <c r="B239" s="1552" t="s">
        <v>810</v>
      </c>
      <c r="C239" s="1553"/>
      <c r="D239" s="1553"/>
      <c r="E239" s="1554"/>
      <c r="F239" s="1079" t="s">
        <v>480</v>
      </c>
      <c r="G239" s="1164"/>
      <c r="H239" s="1342">
        <v>30</v>
      </c>
    </row>
    <row r="240" spans="2:13">
      <c r="B240" s="1552" t="s">
        <v>815</v>
      </c>
      <c r="C240" s="1553"/>
      <c r="D240" s="1553"/>
      <c r="E240" s="1554"/>
      <c r="F240" s="1079" t="s">
        <v>477</v>
      </c>
      <c r="G240" s="1164"/>
      <c r="H240" s="1180">
        <f>TRUNC((H235*(1-H239/100))*(H236+1)/(H236*2)+H235*H239/100,2)</f>
        <v>576000</v>
      </c>
    </row>
    <row r="241" spans="2:17" ht="14.25">
      <c r="B241" s="1555" t="s">
        <v>817</v>
      </c>
      <c r="C241" s="1556"/>
      <c r="D241" s="1556"/>
      <c r="E241" s="1556"/>
      <c r="F241" s="1105" t="s">
        <v>814</v>
      </c>
      <c r="G241" s="1181"/>
      <c r="H241" s="1182">
        <f>TRUNC(H244,2)</f>
        <v>9333.33</v>
      </c>
      <c r="L241" s="950"/>
    </row>
    <row r="242" spans="2:17">
      <c r="B242" s="1558" t="s">
        <v>810</v>
      </c>
      <c r="C242" s="1559"/>
      <c r="D242" s="1559"/>
      <c r="E242" s="1560"/>
      <c r="F242" s="1075" t="s">
        <v>480</v>
      </c>
      <c r="G242" s="1161"/>
      <c r="H242" s="1183">
        <f>H239/100</f>
        <v>0.3</v>
      </c>
    </row>
    <row r="243" spans="2:17">
      <c r="B243" s="1552" t="s">
        <v>811</v>
      </c>
      <c r="C243" s="1553"/>
      <c r="D243" s="1553"/>
      <c r="E243" s="1554"/>
      <c r="F243" s="1079" t="s">
        <v>477</v>
      </c>
      <c r="G243" s="1164"/>
      <c r="H243" s="1180">
        <f>H242*H235</f>
        <v>240000</v>
      </c>
    </row>
    <row r="244" spans="2:17">
      <c r="B244" s="1561" t="s">
        <v>817</v>
      </c>
      <c r="C244" s="1562"/>
      <c r="D244" s="1562"/>
      <c r="E244" s="1563"/>
      <c r="F244" s="1111" t="s">
        <v>616</v>
      </c>
      <c r="G244" s="1167"/>
      <c r="H244" s="1184">
        <f>((H235-H243)/((H236*12)))</f>
        <v>9333.3333333333339</v>
      </c>
    </row>
    <row r="245" spans="2:17" ht="14.25">
      <c r="B245" s="1555" t="s">
        <v>839</v>
      </c>
      <c r="C245" s="1556"/>
      <c r="D245" s="1556"/>
      <c r="E245" s="1557"/>
      <c r="F245" s="1107" t="s">
        <v>814</v>
      </c>
      <c r="G245" s="1181"/>
      <c r="H245" s="1182">
        <f>TRUNC(H248,2)</f>
        <v>2461.3200000000002</v>
      </c>
      <c r="L245" s="950"/>
    </row>
    <row r="246" spans="2:17">
      <c r="B246" s="1558" t="s">
        <v>778</v>
      </c>
      <c r="C246" s="1559"/>
      <c r="D246" s="1559"/>
      <c r="E246" s="1560"/>
      <c r="F246" s="1075" t="s">
        <v>480</v>
      </c>
      <c r="G246" s="1161"/>
      <c r="H246" s="1343">
        <v>5.2499999999999998E-2</v>
      </c>
    </row>
    <row r="247" spans="2:17" ht="14.25">
      <c r="B247" s="1552" t="s">
        <v>815</v>
      </c>
      <c r="C247" s="1553"/>
      <c r="D247" s="1553"/>
      <c r="E247" s="1554"/>
      <c r="F247" s="1079" t="s">
        <v>477</v>
      </c>
      <c r="G247" s="1185"/>
      <c r="H247" s="1180">
        <f>H240</f>
        <v>576000</v>
      </c>
    </row>
    <row r="248" spans="2:17" ht="14.25">
      <c r="B248" s="1561" t="s">
        <v>818</v>
      </c>
      <c r="C248" s="1562"/>
      <c r="D248" s="1562"/>
      <c r="E248" s="1563"/>
      <c r="F248" s="1111" t="s">
        <v>616</v>
      </c>
      <c r="G248" s="1186"/>
      <c r="H248" s="1187">
        <f>((1+H246)^(1/12)-1)*(H247)</f>
        <v>2461.3215933070478</v>
      </c>
    </row>
    <row r="249" spans="2:17" ht="14.25">
      <c r="B249" s="1555" t="s">
        <v>840</v>
      </c>
      <c r="C249" s="1556"/>
      <c r="D249" s="1556"/>
      <c r="E249" s="1557"/>
      <c r="F249" s="1107" t="s">
        <v>814</v>
      </c>
      <c r="G249" s="1188"/>
      <c r="H249" s="1189">
        <f>TRUNC(H255,2)</f>
        <v>1534.79</v>
      </c>
      <c r="L249" s="950"/>
    </row>
    <row r="250" spans="2:17" ht="14.25">
      <c r="B250" s="1558" t="s">
        <v>819</v>
      </c>
      <c r="C250" s="1559"/>
      <c r="D250" s="1559"/>
      <c r="E250" s="1560"/>
      <c r="F250" s="1075" t="s">
        <v>814</v>
      </c>
      <c r="G250" s="1190">
        <f>H235</f>
        <v>800000</v>
      </c>
      <c r="H250" s="1191">
        <f>(H251*G250)</f>
        <v>16000</v>
      </c>
    </row>
    <row r="251" spans="2:17" ht="14.25">
      <c r="B251" s="1552" t="s">
        <v>766</v>
      </c>
      <c r="C251" s="1553"/>
      <c r="D251" s="1553"/>
      <c r="E251" s="1554"/>
      <c r="F251" s="1079" t="s">
        <v>480</v>
      </c>
      <c r="G251" s="1192"/>
      <c r="H251" s="1193">
        <v>0.02</v>
      </c>
    </row>
    <row r="252" spans="2:17" ht="14.25">
      <c r="B252" s="1552" t="s">
        <v>820</v>
      </c>
      <c r="C252" s="1553"/>
      <c r="D252" s="1553"/>
      <c r="E252" s="1554"/>
      <c r="F252" s="1079" t="s">
        <v>477</v>
      </c>
      <c r="G252" s="1192"/>
      <c r="H252" s="1180">
        <v>100</v>
      </c>
    </row>
    <row r="253" spans="2:17" ht="14.25">
      <c r="B253" s="1552" t="s">
        <v>821</v>
      </c>
      <c r="C253" s="1553"/>
      <c r="D253" s="1553"/>
      <c r="E253" s="1554"/>
      <c r="F253" s="1079" t="s">
        <v>477</v>
      </c>
      <c r="G253" s="1192"/>
      <c r="H253" s="1180">
        <v>20</v>
      </c>
      <c r="O253" s="945"/>
      <c r="P253" s="945"/>
    </row>
    <row r="254" spans="2:17" ht="14.25">
      <c r="B254" s="1552" t="s">
        <v>822</v>
      </c>
      <c r="C254" s="1553"/>
      <c r="D254" s="1553"/>
      <c r="E254" s="1554"/>
      <c r="F254" s="1079" t="s">
        <v>477</v>
      </c>
      <c r="G254" s="1194"/>
      <c r="H254" s="1342">
        <v>2297.5033333333336</v>
      </c>
      <c r="O254" s="951"/>
      <c r="P254" s="945"/>
      <c r="Q254" s="945"/>
    </row>
    <row r="255" spans="2:17" ht="14.25">
      <c r="B255" s="1552" t="s">
        <v>823</v>
      </c>
      <c r="C255" s="1553"/>
      <c r="D255" s="1553"/>
      <c r="E255" s="1554"/>
      <c r="F255" s="1111" t="s">
        <v>616</v>
      </c>
      <c r="G255" s="1195"/>
      <c r="H255" s="1187">
        <f>(H250+H252+H253+H254)/12</f>
        <v>1534.7919444444444</v>
      </c>
      <c r="O255" s="945"/>
      <c r="P255" s="952"/>
      <c r="Q255" s="952"/>
    </row>
    <row r="256" spans="2:17" ht="14.25">
      <c r="B256" s="1555" t="s">
        <v>841</v>
      </c>
      <c r="C256" s="1556"/>
      <c r="D256" s="1556"/>
      <c r="E256" s="1557"/>
      <c r="F256" s="1107" t="s">
        <v>814</v>
      </c>
      <c r="G256" s="1105"/>
      <c r="H256" s="1182">
        <f>TRUNC(H259+H260,2)</f>
        <v>6635.77</v>
      </c>
      <c r="L256" s="950"/>
      <c r="O256" s="945"/>
      <c r="P256" s="952"/>
      <c r="Q256" s="952"/>
    </row>
    <row r="257" spans="2:17" ht="14.25">
      <c r="B257" s="1564" t="s">
        <v>772</v>
      </c>
      <c r="C257" s="1565"/>
      <c r="D257" s="1565"/>
      <c r="E257" s="1566"/>
      <c r="F257" s="1075" t="s">
        <v>477</v>
      </c>
      <c r="G257" s="1196"/>
      <c r="H257" s="1344">
        <v>6.44</v>
      </c>
      <c r="O257" s="945"/>
      <c r="P257" s="952"/>
      <c r="Q257" s="952"/>
    </row>
    <row r="258" spans="2:17" ht="14.25">
      <c r="B258" s="1552" t="s">
        <v>824</v>
      </c>
      <c r="C258" s="1553"/>
      <c r="D258" s="1553"/>
      <c r="E258" s="1554"/>
      <c r="F258" s="1079" t="s">
        <v>825</v>
      </c>
      <c r="G258" s="1197">
        <v>2.5</v>
      </c>
      <c r="H258" s="1180">
        <f>H257/G258</f>
        <v>2.5760000000000001</v>
      </c>
    </row>
    <row r="259" spans="2:17" ht="14.25">
      <c r="B259" s="1552" t="s">
        <v>826</v>
      </c>
      <c r="C259" s="1553"/>
      <c r="D259" s="1553"/>
      <c r="E259" s="1554"/>
      <c r="F259" s="1079" t="s">
        <v>814</v>
      </c>
      <c r="G259" s="1197">
        <f>H237</f>
        <v>2240</v>
      </c>
      <c r="H259" s="1180">
        <f>H258*G259</f>
        <v>5770.24</v>
      </c>
    </row>
    <row r="260" spans="2:17" ht="14.25">
      <c r="B260" s="1552" t="s">
        <v>827</v>
      </c>
      <c r="C260" s="1553"/>
      <c r="D260" s="1553"/>
      <c r="E260" s="1554"/>
      <c r="F260" s="1111" t="s">
        <v>814</v>
      </c>
      <c r="G260" s="1198">
        <v>0.15</v>
      </c>
      <c r="H260" s="1187">
        <f>H259*G260</f>
        <v>865.53599999999994</v>
      </c>
    </row>
    <row r="261" spans="2:17">
      <c r="B261" s="1555" t="s">
        <v>842</v>
      </c>
      <c r="C261" s="1556"/>
      <c r="D261" s="1556"/>
      <c r="E261" s="1557"/>
      <c r="F261" s="1107" t="s">
        <v>814</v>
      </c>
      <c r="G261" s="1199"/>
      <c r="H261" s="1182">
        <f>TRUNC(H271*H272,2)</f>
        <v>1120</v>
      </c>
      <c r="L261" s="950"/>
    </row>
    <row r="262" spans="2:17">
      <c r="B262" s="1558" t="s">
        <v>1077</v>
      </c>
      <c r="C262" s="1559"/>
      <c r="D262" s="1559"/>
      <c r="E262" s="1560"/>
      <c r="F262" s="1075" t="s">
        <v>477</v>
      </c>
      <c r="G262" s="1161"/>
      <c r="H262" s="1342">
        <v>1773</v>
      </c>
    </row>
    <row r="263" spans="2:17">
      <c r="B263" s="1552" t="s">
        <v>1366</v>
      </c>
      <c r="C263" s="1553"/>
      <c r="D263" s="1553"/>
      <c r="E263" s="1554"/>
      <c r="F263" s="1079" t="s">
        <v>477</v>
      </c>
      <c r="G263" s="1164"/>
      <c r="H263" s="1342"/>
    </row>
    <row r="264" spans="2:17">
      <c r="B264" s="1552" t="s">
        <v>1367</v>
      </c>
      <c r="C264" s="1553"/>
      <c r="D264" s="1553"/>
      <c r="E264" s="1554"/>
      <c r="F264" s="1079" t="s">
        <v>477</v>
      </c>
      <c r="G264" s="1164"/>
      <c r="H264" s="1342"/>
    </row>
    <row r="265" spans="2:17">
      <c r="B265" s="1552" t="s">
        <v>828</v>
      </c>
      <c r="C265" s="1553"/>
      <c r="D265" s="1553"/>
      <c r="E265" s="1554"/>
      <c r="F265" s="1079" t="s">
        <v>829</v>
      </c>
      <c r="G265" s="1164"/>
      <c r="H265" s="1200">
        <v>6</v>
      </c>
    </row>
    <row r="266" spans="2:17">
      <c r="B266" s="1552" t="s">
        <v>830</v>
      </c>
      <c r="C266" s="1553"/>
      <c r="D266" s="1553"/>
      <c r="E266" s="1554"/>
      <c r="F266" s="1079" t="s">
        <v>829</v>
      </c>
      <c r="G266" s="1164"/>
      <c r="H266" s="1201">
        <v>0</v>
      </c>
    </row>
    <row r="267" spans="2:17">
      <c r="B267" s="1552" t="s">
        <v>1368</v>
      </c>
      <c r="C267" s="1553"/>
      <c r="D267" s="1553"/>
      <c r="E267" s="1554"/>
      <c r="F267" s="1079" t="s">
        <v>477</v>
      </c>
      <c r="G267" s="1164"/>
      <c r="H267" s="1180">
        <v>580</v>
      </c>
    </row>
    <row r="268" spans="2:17">
      <c r="B268" s="1552" t="s">
        <v>831</v>
      </c>
      <c r="C268" s="1553"/>
      <c r="D268" s="1553"/>
      <c r="E268" s="1554"/>
      <c r="F268" s="1079" t="s">
        <v>832</v>
      </c>
      <c r="G268" s="1164"/>
      <c r="H268" s="1342">
        <v>30000</v>
      </c>
    </row>
    <row r="269" spans="2:17">
      <c r="B269" s="1552" t="s">
        <v>833</v>
      </c>
      <c r="C269" s="1553"/>
      <c r="D269" s="1553"/>
      <c r="E269" s="1554"/>
      <c r="F269" s="1079" t="s">
        <v>832</v>
      </c>
      <c r="G269" s="1164"/>
      <c r="H269" s="1342">
        <v>20000</v>
      </c>
    </row>
    <row r="270" spans="2:17">
      <c r="B270" s="1552" t="s">
        <v>834</v>
      </c>
      <c r="C270" s="1553"/>
      <c r="D270" s="1553"/>
      <c r="E270" s="1554"/>
      <c r="F270" s="1079" t="s">
        <v>480</v>
      </c>
      <c r="G270" s="1164"/>
      <c r="H270" s="1202">
        <v>0.2</v>
      </c>
    </row>
    <row r="271" spans="2:17" ht="15.75" customHeight="1">
      <c r="B271" s="1552" t="s">
        <v>835</v>
      </c>
      <c r="C271" s="1553"/>
      <c r="D271" s="1553"/>
      <c r="E271" s="1554"/>
      <c r="F271" s="1079" t="s">
        <v>825</v>
      </c>
      <c r="G271" s="1164"/>
      <c r="H271" s="1180">
        <v>0.5</v>
      </c>
    </row>
    <row r="272" spans="2:17">
      <c r="B272" s="1552" t="s">
        <v>836</v>
      </c>
      <c r="C272" s="1553"/>
      <c r="D272" s="1553"/>
      <c r="E272" s="1554"/>
      <c r="F272" s="1111" t="s">
        <v>704</v>
      </c>
      <c r="G272" s="1167"/>
      <c r="H272" s="1203">
        <f>G259</f>
        <v>2240</v>
      </c>
    </row>
    <row r="273" spans="2:18" ht="14.25">
      <c r="B273" s="1555" t="s">
        <v>843</v>
      </c>
      <c r="C273" s="1556"/>
      <c r="D273" s="1556"/>
      <c r="E273" s="1557"/>
      <c r="F273" s="1204" t="s">
        <v>814</v>
      </c>
      <c r="G273" s="1205"/>
      <c r="H273" s="1182">
        <f>TRUNC(H275,2)</f>
        <v>12000</v>
      </c>
    </row>
    <row r="274" spans="2:18">
      <c r="B274" s="1558" t="s">
        <v>1503</v>
      </c>
      <c r="C274" s="1559"/>
      <c r="D274" s="1559"/>
      <c r="E274" s="1560"/>
      <c r="F274" s="1075"/>
      <c r="G274" s="1161"/>
      <c r="H274" s="1352">
        <v>0.9</v>
      </c>
    </row>
    <row r="275" spans="2:18">
      <c r="B275" s="1561" t="s">
        <v>838</v>
      </c>
      <c r="C275" s="1562"/>
      <c r="D275" s="1562"/>
      <c r="E275" s="1563"/>
      <c r="F275" s="1079" t="s">
        <v>616</v>
      </c>
      <c r="G275" s="1164"/>
      <c r="H275" s="1180">
        <f>(H235*H274)/(H236*12)</f>
        <v>12000</v>
      </c>
      <c r="J275" s="1395"/>
      <c r="O275" s="945"/>
      <c r="P275" s="945"/>
      <c r="Q275" s="945"/>
      <c r="R275" s="945"/>
    </row>
    <row r="276" spans="2:18" ht="14.25">
      <c r="B276" s="1207" t="s">
        <v>845</v>
      </c>
      <c r="C276" s="1208"/>
      <c r="D276" s="1208"/>
      <c r="E276" s="1208"/>
      <c r="F276" s="1205"/>
      <c r="G276" s="1205"/>
      <c r="H276" s="1209">
        <f>H53</f>
        <v>2</v>
      </c>
      <c r="O276" s="945"/>
      <c r="P276" s="953"/>
      <c r="Q276" s="945"/>
      <c r="R276" s="945"/>
    </row>
    <row r="277" spans="2:18" thickBot="1">
      <c r="B277" s="1550" t="s">
        <v>844</v>
      </c>
      <c r="C277" s="1551"/>
      <c r="D277" s="1551"/>
      <c r="E277" s="1551"/>
      <c r="F277" s="1210"/>
      <c r="G277" s="1210"/>
      <c r="H277" s="1211">
        <f>H276*H234</f>
        <v>66170.42</v>
      </c>
      <c r="O277" s="945"/>
      <c r="P277" s="945"/>
      <c r="Q277" s="945"/>
      <c r="R277" s="945"/>
    </row>
    <row r="278" spans="2:18" ht="15.75" thickBot="1">
      <c r="B278" s="1024"/>
      <c r="C278" s="1024"/>
      <c r="D278" s="1024"/>
      <c r="E278" s="1024"/>
      <c r="F278" s="1024"/>
      <c r="G278" s="1024"/>
      <c r="H278" s="1024"/>
      <c r="O278" s="945"/>
      <c r="P278" s="945"/>
      <c r="Q278" s="945"/>
      <c r="R278" s="945"/>
    </row>
    <row r="279" spans="2:18" ht="15.75" thickBot="1">
      <c r="B279" s="1044" t="s">
        <v>669</v>
      </c>
      <c r="C279" s="1039"/>
      <c r="D279" s="1039"/>
      <c r="E279" s="1039"/>
      <c r="F279" s="1039"/>
      <c r="G279" s="1039"/>
      <c r="H279" s="1154">
        <f>IFERROR(H277,0)</f>
        <v>66170.42</v>
      </c>
    </row>
    <row r="280" spans="2:18">
      <c r="B280" s="1024"/>
      <c r="C280" s="1024"/>
      <c r="D280" s="1024"/>
      <c r="E280" s="1024"/>
      <c r="F280" s="1024"/>
      <c r="G280" s="1024"/>
      <c r="H280" s="1024"/>
    </row>
    <row r="281" spans="2:18">
      <c r="B281" s="1026" t="s">
        <v>1033</v>
      </c>
      <c r="C281" s="1024"/>
      <c r="D281" s="1024"/>
      <c r="E281" s="1024"/>
      <c r="F281" s="1024"/>
      <c r="G281" s="1024"/>
      <c r="H281" s="1024"/>
    </row>
    <row r="282" spans="2:18">
      <c r="B282" s="1029" t="str">
        <f>B208</f>
        <v>Custo mensal com mão-de-obra (R$/mês)</v>
      </c>
      <c r="C282" s="1030"/>
      <c r="D282" s="1030"/>
      <c r="E282" s="1030"/>
      <c r="F282" s="1030"/>
      <c r="G282" s="1030"/>
      <c r="H282" s="1212">
        <f>H208</f>
        <v>67133.600000000006</v>
      </c>
    </row>
    <row r="283" spans="2:18">
      <c r="B283" s="1032" t="str">
        <f>B218</f>
        <v>Custo mensal com ferramentas (R$/mês)</v>
      </c>
      <c r="C283" s="1024"/>
      <c r="D283" s="1024"/>
      <c r="E283" s="1024"/>
      <c r="F283" s="1024"/>
      <c r="G283" s="1024"/>
      <c r="H283" s="1213">
        <f>H218</f>
        <v>277.5</v>
      </c>
    </row>
    <row r="284" spans="2:18">
      <c r="B284" s="1032" t="str">
        <f>B222</f>
        <v>Custo mensal com Equipamentos (R$/mês)</v>
      </c>
      <c r="C284" s="1024"/>
      <c r="D284" s="1024"/>
      <c r="E284" s="1024"/>
      <c r="F284" s="1024"/>
      <c r="G284" s="1024"/>
      <c r="H284" s="1213">
        <f>H222</f>
        <v>0</v>
      </c>
    </row>
    <row r="285" spans="2:18">
      <c r="B285" s="1032" t="str">
        <f>B230</f>
        <v>Custo mensal com EPC's (R$/mês)</v>
      </c>
      <c r="C285" s="1024"/>
      <c r="D285" s="1024"/>
      <c r="E285" s="1024"/>
      <c r="F285" s="1024"/>
      <c r="G285" s="1024"/>
      <c r="H285" s="1213">
        <f>H230</f>
        <v>116.06</v>
      </c>
    </row>
    <row r="286" spans="2:18" ht="15.75" thickBot="1">
      <c r="B286" s="1034" t="s">
        <v>731</v>
      </c>
      <c r="C286" s="1035"/>
      <c r="D286" s="1035"/>
      <c r="E286" s="1035"/>
      <c r="F286" s="1035"/>
      <c r="G286" s="1035"/>
      <c r="H286" s="1214">
        <f>H279</f>
        <v>66170.42</v>
      </c>
    </row>
    <row r="287" spans="2:18" ht="15.75" thickBot="1">
      <c r="B287" s="1044" t="s">
        <v>873</v>
      </c>
      <c r="C287" s="1039"/>
      <c r="D287" s="1039"/>
      <c r="E287" s="1039"/>
      <c r="F287" s="1039"/>
      <c r="G287" s="1039"/>
      <c r="H287" s="1215">
        <f>SUM(H282:H286)</f>
        <v>133697.58000000002</v>
      </c>
    </row>
    <row r="288" spans="2:18">
      <c r="B288" s="1024"/>
      <c r="C288" s="1024"/>
      <c r="D288" s="1024"/>
      <c r="E288" s="1024"/>
      <c r="F288" s="1024"/>
      <c r="G288" s="1024"/>
      <c r="H288" s="1024"/>
    </row>
    <row r="289" spans="2:8">
      <c r="B289" s="1026" t="s">
        <v>1437</v>
      </c>
      <c r="C289" s="1024"/>
      <c r="D289" s="1024"/>
      <c r="E289" s="1024"/>
      <c r="F289" s="1024"/>
      <c r="G289" s="1024"/>
      <c r="H289" s="1024"/>
    </row>
    <row r="290" spans="2:8">
      <c r="B290" s="1029" t="s">
        <v>1525</v>
      </c>
      <c r="C290" s="1030"/>
      <c r="D290" s="1030"/>
      <c r="E290" s="1030"/>
      <c r="F290" s="1216">
        <f>H287</f>
        <v>133697.58000000002</v>
      </c>
      <c r="G290" s="1024"/>
      <c r="H290" s="1024"/>
    </row>
    <row r="291" spans="2:8">
      <c r="B291" s="1034" t="s">
        <v>926</v>
      </c>
      <c r="C291" s="1035"/>
      <c r="D291" s="1035"/>
      <c r="E291" s="1024"/>
      <c r="F291" s="1217">
        <f>ANEXO_IIId_BDI!$D$16</f>
        <v>0.32340000000000002</v>
      </c>
      <c r="G291" s="1024"/>
      <c r="H291" s="1024"/>
    </row>
    <row r="292" spans="2:8">
      <c r="B292" s="1218" t="s">
        <v>1526</v>
      </c>
      <c r="C292" s="1035"/>
      <c r="D292" s="1035"/>
      <c r="E292" s="1039"/>
      <c r="F292" s="1219">
        <f>TRUNC(F290*(1+F291),2)</f>
        <v>176935.37</v>
      </c>
      <c r="G292" s="1024"/>
      <c r="H292" s="1024"/>
    </row>
    <row r="293" spans="2:8">
      <c r="B293" s="1024"/>
      <c r="C293" s="1024"/>
      <c r="D293" s="1024"/>
      <c r="E293" s="1024"/>
      <c r="F293" s="1024"/>
      <c r="G293" s="1024"/>
      <c r="H293" s="1024"/>
    </row>
    <row r="294" spans="2:8" ht="15.75" thickBot="1">
      <c r="B294" s="1026" t="s">
        <v>1438</v>
      </c>
      <c r="C294" s="1024"/>
      <c r="D294" s="1024"/>
      <c r="E294" s="1024"/>
      <c r="F294" s="1024"/>
      <c r="G294" s="1024"/>
      <c r="H294" s="1024"/>
    </row>
    <row r="295" spans="2:8" ht="15.75" thickBot="1">
      <c r="B295" s="1044" t="s">
        <v>925</v>
      </c>
      <c r="C295" s="1039"/>
      <c r="D295" s="1039"/>
      <c r="E295" s="1039"/>
      <c r="F295" s="1154">
        <f>F292</f>
        <v>176935.37</v>
      </c>
      <c r="G295" s="1173"/>
      <c r="H295" s="1024"/>
    </row>
    <row r="296" spans="2:8">
      <c r="B296" s="1023"/>
      <c r="C296" s="1023"/>
      <c r="D296" s="1023"/>
      <c r="E296" s="1023"/>
      <c r="F296" s="1041"/>
      <c r="G296" s="1173"/>
      <c r="H296" s="1024"/>
    </row>
    <row r="297" spans="2:8">
      <c r="B297" s="1023"/>
      <c r="C297" s="1023"/>
      <c r="D297" s="1023"/>
      <c r="E297" s="1023"/>
      <c r="F297" s="1023"/>
      <c r="G297" s="1023"/>
      <c r="H297" s="1023"/>
    </row>
  </sheetData>
  <protectedRanges>
    <protectedRange sqref="F123 G111 G129" name="Intervalo9"/>
    <protectedRange sqref="F95:G95 F195 F145:G145" name="pagina4_3"/>
    <protectedRange sqref="F97:G100 F197:F200 F147:G150" name="pagina4_2"/>
    <protectedRange sqref="G212:G216 G226:G228" name="pagina6"/>
    <protectedRange sqref="G161 F173 G179 F96:G96 F196 F146:G146" name="pagina5"/>
    <protectedRange sqref="E32:E36 E46:E48 G53" name="pagina2"/>
    <protectedRange sqref="E23:E25" name="pagina1"/>
    <protectedRange sqref="G61 F73 G79 G83:G84 F88:G94 F101:G102 F188:G189 F202:G202 F138:G144 F151:G152 F190:F194 F201 G190:G201 G133:G134 G183:G184" name="pagina3"/>
    <protectedRange sqref="H235 H239 H246 H254 H257 H262:H264 H268:H269" name="pagina7"/>
  </protectedRanges>
  <mergeCells count="44">
    <mergeCell ref="B2:H2"/>
    <mergeCell ref="B239:E239"/>
    <mergeCell ref="B234:E234"/>
    <mergeCell ref="B235:E235"/>
    <mergeCell ref="B236:E236"/>
    <mergeCell ref="B237:E237"/>
    <mergeCell ref="B238:E238"/>
    <mergeCell ref="B240:E240"/>
    <mergeCell ref="B245:E245"/>
    <mergeCell ref="B241:E241"/>
    <mergeCell ref="B242:E242"/>
    <mergeCell ref="B243:E243"/>
    <mergeCell ref="B244:E244"/>
    <mergeCell ref="B257:E257"/>
    <mergeCell ref="B246:E246"/>
    <mergeCell ref="B247:E247"/>
    <mergeCell ref="B248:E248"/>
    <mergeCell ref="B249:E249"/>
    <mergeCell ref="B250:E250"/>
    <mergeCell ref="B251:E251"/>
    <mergeCell ref="B252:E252"/>
    <mergeCell ref="B253:E253"/>
    <mergeCell ref="B254:E254"/>
    <mergeCell ref="B255:E255"/>
    <mergeCell ref="B256:E256"/>
    <mergeCell ref="B269:E269"/>
    <mergeCell ref="B258:E258"/>
    <mergeCell ref="B259:E259"/>
    <mergeCell ref="B260:E260"/>
    <mergeCell ref="B261:E261"/>
    <mergeCell ref="B262:E262"/>
    <mergeCell ref="B263:E263"/>
    <mergeCell ref="B264:E264"/>
    <mergeCell ref="B265:E265"/>
    <mergeCell ref="B266:E266"/>
    <mergeCell ref="B267:E267"/>
    <mergeCell ref="B268:E268"/>
    <mergeCell ref="B277:E277"/>
    <mergeCell ref="B270:E270"/>
    <mergeCell ref="B271:E271"/>
    <mergeCell ref="B272:E272"/>
    <mergeCell ref="B273:E273"/>
    <mergeCell ref="B274:E274"/>
    <mergeCell ref="B275:E275"/>
  </mergeCells>
  <pageMargins left="0.59055118110236227" right="0.39370078740157483" top="1.1811023622047245" bottom="0.78740157480314965" header="0.31496062992125984" footer="0.31496062992125984"/>
  <pageSetup paperSize="9" scale="88" fitToHeight="0" orientation="portrait" r:id="rId1"/>
  <headerFooter>
    <oddHeader>&amp;L&amp;G&amp;C&amp;"Times New Roman,Negrito itálico"&amp;14Estado de Mato Grosso do Sul
Prefeitura Municipal de Cassilândia/MS
&amp;R&amp;G</oddHeader>
    <oddFooter>&amp;C&amp;"Times New Roman,Normal"&amp;10&amp;K130BB5Rua Domingos de Souza França, nº420 – Centro - (67) 3596-1301 – Cassilândia – MS</oddFooter>
  </headerFooter>
  <rowBreaks count="7" manualBreakCount="7">
    <brk id="28" min="1" max="7" man="1"/>
    <brk id="56" min="1" max="7" man="1"/>
    <brk id="108" min="1" max="7" man="1"/>
    <brk id="158" min="1" max="7" man="1"/>
    <brk id="209" min="1" max="7" man="1"/>
    <brk id="231" min="1" max="7" man="1"/>
    <brk id="279" min="1" max="7" man="1"/>
  </rowBreaks>
  <legacyDrawing r:id="rId2"/>
  <legacyDrawingHF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94029-DE78-4415-A4E3-EC5EE5D4F6B8}">
  <sheetPr>
    <pageSetUpPr fitToPage="1"/>
  </sheetPr>
  <dimension ref="B1:R97"/>
  <sheetViews>
    <sheetView showGridLines="0" view="pageBreakPreview" topLeftCell="A82" zoomScale="85" zoomScaleNormal="85" zoomScaleSheetLayoutView="85" zoomScalePageLayoutView="85" workbookViewId="0">
      <selection activeCell="H52" sqref="H52"/>
    </sheetView>
  </sheetViews>
  <sheetFormatPr defaultColWidth="9.140625" defaultRowHeight="15"/>
  <cols>
    <col min="1" max="1" width="9.140625" style="940"/>
    <col min="2" max="2" width="18" style="954" customWidth="1"/>
    <col min="3" max="3" width="12.5703125" style="954" customWidth="1"/>
    <col min="4" max="4" width="11.140625" style="954" customWidth="1"/>
    <col min="5" max="6" width="14.28515625" style="954" customWidth="1"/>
    <col min="7" max="7" width="16.85546875" style="954" customWidth="1"/>
    <col min="8" max="8" width="15" style="954" customWidth="1"/>
    <col min="9" max="9" width="10" style="940" bestFit="1" customWidth="1"/>
    <col min="10" max="11" width="9.140625" style="940"/>
    <col min="12" max="12" width="9.140625" style="942"/>
    <col min="13" max="14" width="9.140625" style="940"/>
    <col min="15" max="15" width="39" style="940" bestFit="1" customWidth="1"/>
    <col min="16" max="16" width="25.5703125" style="940" bestFit="1" customWidth="1"/>
    <col min="17" max="17" width="16.85546875" style="940" bestFit="1" customWidth="1"/>
    <col min="18" max="16384" width="9.140625" style="940"/>
  </cols>
  <sheetData>
    <row r="1" spans="2:17">
      <c r="B1" s="1023"/>
      <c r="C1" s="1023"/>
      <c r="D1" s="1024"/>
      <c r="E1" s="1024"/>
      <c r="F1" s="1024"/>
      <c r="G1" s="1024"/>
      <c r="H1" s="1024"/>
      <c r="I1" s="941"/>
    </row>
    <row r="2" spans="2:17" ht="30" customHeight="1">
      <c r="B2" s="1570" t="s">
        <v>1536</v>
      </c>
      <c r="C2" s="1571"/>
      <c r="D2" s="1571"/>
      <c r="E2" s="1571"/>
      <c r="F2" s="1571"/>
      <c r="G2" s="1571"/>
      <c r="H2" s="1571"/>
      <c r="I2" s="941"/>
    </row>
    <row r="3" spans="2:17">
      <c r="B3" s="1023"/>
      <c r="C3" s="1023"/>
      <c r="D3" s="1024"/>
      <c r="E3" s="1024"/>
      <c r="F3" s="1024"/>
      <c r="G3" s="1024"/>
      <c r="H3" s="1024"/>
      <c r="I3" s="941"/>
    </row>
    <row r="4" spans="2:17" ht="18.75">
      <c r="B4" s="1025" t="s">
        <v>1535</v>
      </c>
      <c r="C4" s="1024"/>
      <c r="D4" s="1024"/>
      <c r="E4" s="1024"/>
      <c r="F4" s="1024"/>
      <c r="G4" s="1024"/>
      <c r="H4" s="1024"/>
      <c r="I4" s="943"/>
    </row>
    <row r="5" spans="2:17" ht="18.75">
      <c r="B5" s="1025"/>
      <c r="C5" s="1024"/>
      <c r="D5" s="1024"/>
      <c r="E5" s="1024"/>
      <c r="F5" s="1024"/>
      <c r="G5" s="1024"/>
      <c r="H5" s="1024"/>
      <c r="I5" s="941"/>
    </row>
    <row r="6" spans="2:17">
      <c r="B6" s="1026" t="s">
        <v>1506</v>
      </c>
      <c r="C6" s="1024"/>
      <c r="D6" s="1024"/>
      <c r="E6" s="1024"/>
      <c r="F6" s="1024"/>
      <c r="G6" s="1027"/>
      <c r="H6" s="1351"/>
      <c r="I6" s="941"/>
      <c r="J6" s="944"/>
    </row>
    <row r="7" spans="2:17">
      <c r="B7" s="1023"/>
      <c r="C7" s="1023"/>
      <c r="D7" s="1023"/>
      <c r="E7" s="1023"/>
      <c r="F7" s="1023"/>
      <c r="G7" s="1024"/>
      <c r="H7" s="1024"/>
      <c r="I7" s="941"/>
      <c r="O7" s="945"/>
      <c r="P7" s="945"/>
      <c r="Q7" s="945"/>
    </row>
    <row r="8" spans="2:17" ht="15.75" customHeight="1">
      <c r="B8" s="1029" t="s">
        <v>1507</v>
      </c>
      <c r="C8" s="1030"/>
      <c r="D8" s="1030"/>
      <c r="E8" s="1030" t="s">
        <v>601</v>
      </c>
      <c r="F8" s="1354">
        <v>6</v>
      </c>
      <c r="G8" s="1024"/>
      <c r="H8" s="1024"/>
      <c r="I8" s="941"/>
      <c r="O8" s="945"/>
      <c r="P8" s="945"/>
      <c r="Q8" s="945"/>
    </row>
    <row r="9" spans="2:17" ht="15.75" customHeight="1">
      <c r="B9" s="1034" t="s">
        <v>1508</v>
      </c>
      <c r="C9" s="1035"/>
      <c r="D9" s="1035"/>
      <c r="E9" s="1035" t="s">
        <v>601</v>
      </c>
      <c r="F9" s="1355">
        <v>1</v>
      </c>
      <c r="G9" s="1024"/>
      <c r="H9" s="1024"/>
      <c r="I9" s="941"/>
      <c r="O9" s="945"/>
      <c r="P9" s="945"/>
      <c r="Q9" s="945"/>
    </row>
    <row r="10" spans="2:17">
      <c r="B10" s="1023"/>
      <c r="C10" s="1023"/>
      <c r="D10" s="1023"/>
      <c r="E10" s="1023"/>
      <c r="F10" s="1023"/>
      <c r="G10" s="1023"/>
      <c r="H10" s="1024"/>
      <c r="I10" s="941"/>
      <c r="Q10" s="945"/>
    </row>
    <row r="11" spans="2:17">
      <c r="B11" s="1024"/>
      <c r="C11" s="1024"/>
      <c r="D11" s="1024"/>
      <c r="E11" s="1024"/>
      <c r="F11" s="1024"/>
      <c r="G11" s="1024"/>
      <c r="H11" s="1024"/>
      <c r="I11" s="941"/>
      <c r="O11" s="945"/>
      <c r="P11" s="946"/>
      <c r="Q11" s="945"/>
    </row>
    <row r="12" spans="2:17">
      <c r="B12" s="1026" t="s">
        <v>1430</v>
      </c>
      <c r="C12" s="1024"/>
      <c r="D12" s="1024"/>
      <c r="E12" s="1024"/>
      <c r="F12" s="1024"/>
      <c r="G12" s="1024"/>
      <c r="H12" s="1024"/>
      <c r="I12" s="941"/>
      <c r="O12" s="945"/>
      <c r="P12" s="946"/>
      <c r="Q12" s="945"/>
    </row>
    <row r="13" spans="2:17">
      <c r="B13" s="1024"/>
      <c r="C13" s="1024"/>
      <c r="D13" s="1024"/>
      <c r="E13" s="1024"/>
      <c r="F13" s="1024"/>
      <c r="G13" s="1024"/>
      <c r="H13" s="1024"/>
      <c r="I13" s="941"/>
      <c r="O13" s="945"/>
      <c r="P13" s="946"/>
      <c r="Q13" s="945"/>
    </row>
    <row r="14" spans="2:17">
      <c r="B14" s="1024"/>
      <c r="C14" s="1024"/>
      <c r="D14" s="1024"/>
      <c r="E14" s="1024"/>
      <c r="F14" s="1024"/>
      <c r="G14" s="1024"/>
      <c r="H14" s="1024"/>
      <c r="I14" s="941"/>
      <c r="O14" s="945"/>
      <c r="P14" s="945"/>
      <c r="Q14" s="945"/>
    </row>
    <row r="15" spans="2:17">
      <c r="B15" s="1026" t="s">
        <v>1431</v>
      </c>
      <c r="C15" s="1024"/>
      <c r="D15" s="1024"/>
      <c r="E15" s="1024"/>
      <c r="F15" s="1024"/>
      <c r="G15" s="1024"/>
      <c r="H15" s="1024"/>
      <c r="I15" s="941"/>
      <c r="O15" s="945"/>
      <c r="P15" s="948"/>
      <c r="Q15" s="945"/>
    </row>
    <row r="16" spans="2:17" ht="15.75" thickBot="1">
      <c r="B16" s="1026" t="s">
        <v>565</v>
      </c>
      <c r="C16" s="1024"/>
      <c r="D16" s="1024"/>
      <c r="E16" s="1024"/>
      <c r="F16" s="1024"/>
      <c r="G16" s="1024"/>
      <c r="H16" s="1024"/>
      <c r="I16" s="941"/>
      <c r="O16" s="945"/>
      <c r="P16" s="945"/>
      <c r="Q16" s="945"/>
    </row>
    <row r="17" spans="2:12" ht="14.25">
      <c r="B17" s="1044" t="s">
        <v>900</v>
      </c>
      <c r="C17" s="1045"/>
      <c r="D17" s="1045"/>
      <c r="E17" s="1044" t="s">
        <v>901</v>
      </c>
      <c r="F17" s="1045"/>
      <c r="G17" s="1046"/>
      <c r="H17" s="1047" t="s">
        <v>584</v>
      </c>
      <c r="I17" s="941"/>
    </row>
    <row r="18" spans="2:12" ht="15.75" thickBot="1">
      <c r="B18" s="1034"/>
      <c r="C18" s="1035"/>
      <c r="D18" s="1035"/>
      <c r="E18" s="1332">
        <v>0</v>
      </c>
      <c r="F18" s="1053"/>
      <c r="G18" s="1054"/>
      <c r="H18" s="1055"/>
      <c r="I18" s="941"/>
      <c r="L18" s="949"/>
    </row>
    <row r="19" spans="2:12">
      <c r="B19" s="1056" t="s">
        <v>595</v>
      </c>
      <c r="C19" s="1024"/>
      <c r="D19" s="1024"/>
      <c r="E19" s="1024"/>
      <c r="F19" s="1024"/>
      <c r="G19" s="1024"/>
      <c r="H19" s="1024"/>
      <c r="I19" s="941"/>
    </row>
    <row r="20" spans="2:12">
      <c r="B20" s="1056"/>
      <c r="C20" s="1024"/>
      <c r="D20" s="1024"/>
      <c r="E20" s="1024"/>
      <c r="F20" s="1024"/>
      <c r="G20" s="1024"/>
      <c r="H20" s="1024"/>
      <c r="I20" s="941"/>
    </row>
    <row r="21" spans="2:12" ht="15.75" thickBot="1">
      <c r="B21" s="1026" t="s">
        <v>547</v>
      </c>
      <c r="C21" s="1024"/>
      <c r="D21" s="1024"/>
      <c r="E21" s="1024"/>
      <c r="F21" s="1024"/>
      <c r="G21" s="1024"/>
      <c r="H21" s="1024"/>
      <c r="I21" s="941"/>
    </row>
    <row r="22" spans="2:12" ht="14.25">
      <c r="B22" s="1044" t="s">
        <v>900</v>
      </c>
      <c r="C22" s="1045"/>
      <c r="D22" s="1045"/>
      <c r="E22" s="1044" t="s">
        <v>901</v>
      </c>
      <c r="F22" s="1045"/>
      <c r="G22" s="1057" t="s">
        <v>1163</v>
      </c>
      <c r="H22" s="1047" t="s">
        <v>384</v>
      </c>
      <c r="I22" s="941"/>
    </row>
    <row r="23" spans="2:12" ht="15.75" thickBot="1">
      <c r="B23" s="1038" t="s">
        <v>1481</v>
      </c>
      <c r="C23" s="1039"/>
      <c r="D23" s="1039"/>
      <c r="E23" s="1058">
        <f>SUM(F8:F9)</f>
        <v>7</v>
      </c>
      <c r="F23" s="1059" t="s">
        <v>656</v>
      </c>
      <c r="G23" s="1360">
        <v>24</v>
      </c>
      <c r="H23" s="1061">
        <f>E23</f>
        <v>7</v>
      </c>
      <c r="I23" s="941"/>
    </row>
    <row r="24" spans="2:12">
      <c r="B24" s="1056" t="s">
        <v>595</v>
      </c>
      <c r="C24" s="1024"/>
      <c r="D24" s="1024"/>
      <c r="E24" s="1024"/>
      <c r="F24" s="1024"/>
      <c r="G24" s="1024"/>
      <c r="H24" s="1024"/>
      <c r="I24" s="941"/>
    </row>
    <row r="25" spans="2:12">
      <c r="B25" s="1056"/>
      <c r="C25" s="1024"/>
      <c r="D25" s="1024"/>
      <c r="E25" s="1024"/>
      <c r="F25" s="1024"/>
      <c r="G25" s="1024"/>
      <c r="H25" s="1024"/>
      <c r="I25" s="941"/>
    </row>
    <row r="26" spans="2:12" ht="15.75" thickBot="1">
      <c r="B26" s="1026" t="s">
        <v>1161</v>
      </c>
      <c r="C26" s="1024"/>
      <c r="D26" s="1024"/>
      <c r="E26" s="1024"/>
      <c r="F26" s="1024"/>
      <c r="G26" s="1024"/>
      <c r="H26" s="1024"/>
    </row>
    <row r="27" spans="2:12" ht="14.25">
      <c r="B27" s="1044" t="s">
        <v>900</v>
      </c>
      <c r="C27" s="1045"/>
      <c r="D27" s="1045"/>
      <c r="E27" s="1044" t="s">
        <v>901</v>
      </c>
      <c r="F27" s="1045"/>
      <c r="G27" s="1046"/>
      <c r="H27" s="1047" t="s">
        <v>584</v>
      </c>
    </row>
    <row r="28" spans="2:12" ht="15.75" thickBot="1">
      <c r="B28" s="1034"/>
      <c r="C28" s="1035"/>
      <c r="D28" s="1035"/>
      <c r="E28" s="1361">
        <v>0</v>
      </c>
      <c r="F28" s="1062"/>
      <c r="G28" s="1063"/>
      <c r="H28" s="1064"/>
      <c r="L28" s="949"/>
    </row>
    <row r="29" spans="2:12">
      <c r="B29" s="1056" t="s">
        <v>595</v>
      </c>
      <c r="C29" s="1023"/>
      <c r="D29" s="1023"/>
      <c r="E29" s="1023"/>
      <c r="F29" s="1023"/>
      <c r="G29" s="1023"/>
      <c r="H29" s="1023"/>
    </row>
    <row r="30" spans="2:12">
      <c r="B30" s="1056"/>
      <c r="C30" s="1023"/>
      <c r="D30" s="1023"/>
      <c r="E30" s="1023"/>
      <c r="F30" s="1023"/>
      <c r="G30" s="1023"/>
      <c r="H30" s="1023"/>
    </row>
    <row r="31" spans="2:12" ht="15.75" thickBot="1">
      <c r="B31" s="1026" t="s">
        <v>679</v>
      </c>
      <c r="C31" s="1024"/>
      <c r="D31" s="1024"/>
      <c r="E31" s="1024"/>
      <c r="F31" s="1024"/>
      <c r="G31" s="1024"/>
      <c r="H31" s="1024"/>
    </row>
    <row r="32" spans="2:12" ht="14.25">
      <c r="B32" s="1044" t="s">
        <v>567</v>
      </c>
      <c r="C32" s="1046"/>
      <c r="D32" s="1044" t="s">
        <v>904</v>
      </c>
      <c r="E32" s="1045"/>
      <c r="F32" s="1046"/>
      <c r="G32" s="1045" t="s">
        <v>1163</v>
      </c>
      <c r="H32" s="1047" t="s">
        <v>384</v>
      </c>
    </row>
    <row r="33" spans="2:8" ht="15.75" thickBot="1">
      <c r="B33" s="1029"/>
      <c r="C33" s="1030"/>
      <c r="D33" s="1065"/>
      <c r="E33" s="1030"/>
      <c r="F33" s="1030"/>
      <c r="G33" s="1362"/>
      <c r="H33" s="1049"/>
    </row>
    <row r="34" spans="2:8" ht="14.25">
      <c r="B34" s="1044" t="s">
        <v>1086</v>
      </c>
      <c r="C34" s="1046"/>
      <c r="D34" s="1044" t="s">
        <v>904</v>
      </c>
      <c r="E34" s="1045"/>
      <c r="F34" s="1046"/>
      <c r="G34" s="1045" t="s">
        <v>1163</v>
      </c>
      <c r="H34" s="1047" t="s">
        <v>384</v>
      </c>
    </row>
    <row r="35" spans="2:8" ht="15.75" thickBot="1">
      <c r="B35" s="1034"/>
      <c r="C35" s="1035"/>
      <c r="D35" s="1066"/>
      <c r="E35" s="1035"/>
      <c r="F35" s="1035"/>
      <c r="G35" s="1067">
        <f>G33</f>
        <v>0</v>
      </c>
      <c r="H35" s="1064">
        <f>H33</f>
        <v>0</v>
      </c>
    </row>
    <row r="36" spans="2:8">
      <c r="B36" s="1056" t="s">
        <v>595</v>
      </c>
      <c r="C36" s="1024"/>
      <c r="D36" s="1024"/>
      <c r="E36" s="1024"/>
      <c r="F36" s="1024"/>
      <c r="G36" s="1024"/>
      <c r="H36" s="1024"/>
    </row>
    <row r="37" spans="2:8">
      <c r="B37" s="1024"/>
      <c r="C37" s="1024"/>
      <c r="D37" s="1024"/>
      <c r="E37" s="1024"/>
      <c r="F37" s="1024"/>
      <c r="G37" s="1024"/>
      <c r="H37" s="1024"/>
    </row>
    <row r="38" spans="2:8">
      <c r="B38" s="1026" t="s">
        <v>1029</v>
      </c>
      <c r="C38" s="1024"/>
      <c r="D38" s="1024"/>
      <c r="E38" s="1024"/>
      <c r="F38" s="1024"/>
      <c r="G38" s="1024"/>
      <c r="H38" s="1024"/>
    </row>
    <row r="39" spans="2:8" ht="15.75" thickBot="1">
      <c r="B39" s="1026"/>
      <c r="C39" s="1024"/>
      <c r="D39" s="1024"/>
      <c r="E39" s="1024"/>
      <c r="F39" s="1024"/>
      <c r="G39" s="1024"/>
      <c r="H39" s="1024"/>
    </row>
    <row r="40" spans="2:8" ht="15.75" thickBot="1">
      <c r="B40" s="1044" t="s">
        <v>598</v>
      </c>
      <c r="C40" s="1039"/>
      <c r="D40" s="1039"/>
      <c r="E40" s="1039"/>
      <c r="F40" s="1039"/>
      <c r="G40" s="1039"/>
      <c r="H40" s="1154">
        <f>IFERROR(#REF!+#REF!+#REF!,0)</f>
        <v>0</v>
      </c>
    </row>
    <row r="41" spans="2:8">
      <c r="B41" s="1024"/>
      <c r="C41" s="1024"/>
      <c r="D41" s="1024"/>
      <c r="E41" s="1024"/>
      <c r="F41" s="1024"/>
      <c r="G41" s="1024"/>
      <c r="H41" s="1024"/>
    </row>
    <row r="42" spans="2:8">
      <c r="B42" s="1026" t="s">
        <v>1030</v>
      </c>
      <c r="C42" s="1024"/>
      <c r="D42" s="1024"/>
      <c r="E42" s="1024"/>
      <c r="F42" s="1024"/>
      <c r="G42" s="1024"/>
      <c r="H42" s="1024"/>
    </row>
    <row r="43" spans="2:8" ht="28.5">
      <c r="B43" s="1155" t="s">
        <v>900</v>
      </c>
      <c r="C43" s="1156"/>
      <c r="D43" s="1157"/>
      <c r="E43" s="1158" t="s">
        <v>1164</v>
      </c>
      <c r="F43" s="1159" t="s">
        <v>1165</v>
      </c>
      <c r="G43" s="1158" t="s">
        <v>1166</v>
      </c>
      <c r="H43" s="1160" t="s">
        <v>1167</v>
      </c>
    </row>
    <row r="44" spans="2:8">
      <c r="B44" s="1034">
        <f>B18</f>
        <v>0</v>
      </c>
      <c r="C44" s="1035"/>
      <c r="D44" s="1035"/>
      <c r="E44" s="1167" t="s">
        <v>601</v>
      </c>
      <c r="F44" s="1168">
        <f>H18</f>
        <v>0</v>
      </c>
      <c r="G44" s="1363"/>
      <c r="H44" s="1169">
        <f>TRUNC(G44*F44,2)</f>
        <v>0</v>
      </c>
    </row>
    <row r="45" spans="2:8" ht="15.75" thickBot="1">
      <c r="B45" s="1056" t="s">
        <v>595</v>
      </c>
      <c r="C45" s="1024"/>
      <c r="D45" s="1024"/>
      <c r="E45" s="1024"/>
      <c r="F45" s="1024"/>
      <c r="G45" s="1024"/>
      <c r="H45" s="1024"/>
    </row>
    <row r="46" spans="2:8" ht="15.75" thickBot="1">
      <c r="B46" s="1044" t="s">
        <v>602</v>
      </c>
      <c r="C46" s="1039"/>
      <c r="D46" s="1039"/>
      <c r="E46" s="1039"/>
      <c r="F46" s="1039"/>
      <c r="G46" s="1039"/>
      <c r="H46" s="1154">
        <f>SUM(H44:H44)</f>
        <v>0</v>
      </c>
    </row>
    <row r="47" spans="2:8">
      <c r="B47" s="1024"/>
      <c r="C47" s="1024"/>
      <c r="D47" s="1024"/>
      <c r="E47" s="1024"/>
      <c r="F47" s="1024"/>
      <c r="G47" s="1024"/>
      <c r="H47" s="1024"/>
    </row>
    <row r="48" spans="2:8">
      <c r="B48" s="1026" t="s">
        <v>1031</v>
      </c>
      <c r="C48" s="1024"/>
      <c r="D48" s="1024"/>
      <c r="E48" s="1024"/>
      <c r="F48" s="1024"/>
      <c r="G48" s="1024"/>
      <c r="H48" s="1024"/>
    </row>
    <row r="49" spans="2:8" ht="15.75" thickBot="1">
      <c r="B49" s="1026" t="str">
        <f>"1.2.3.1) "&amp;B23</f>
        <v>1.2.3.1) Contêiner de Lixo de 1.200L</v>
      </c>
      <c r="C49" s="1024"/>
      <c r="D49" s="1024"/>
      <c r="E49" s="1024"/>
      <c r="F49" s="1024"/>
      <c r="G49" s="1024"/>
      <c r="H49" s="1024"/>
    </row>
    <row r="50" spans="2:8" ht="14.25">
      <c r="B50" s="1567" t="str">
        <f>B23</f>
        <v>Contêiner de Lixo de 1.200L</v>
      </c>
      <c r="C50" s="1568"/>
      <c r="D50" s="1568"/>
      <c r="E50" s="1569"/>
      <c r="F50" s="1177">
        <v>0</v>
      </c>
      <c r="G50" s="1178" t="s">
        <v>814</v>
      </c>
      <c r="H50" s="1179">
        <f>TRUNC(H55+H59+H63,2)</f>
        <v>247.11</v>
      </c>
    </row>
    <row r="51" spans="2:8">
      <c r="B51" s="1558" t="s">
        <v>799</v>
      </c>
      <c r="C51" s="1559"/>
      <c r="D51" s="1559"/>
      <c r="E51" s="1560"/>
      <c r="F51" s="1079" t="s">
        <v>477</v>
      </c>
      <c r="G51" s="1164"/>
      <c r="H51" s="1342">
        <v>3000</v>
      </c>
    </row>
    <row r="52" spans="2:8">
      <c r="B52" s="1552" t="s">
        <v>800</v>
      </c>
      <c r="C52" s="1553"/>
      <c r="D52" s="1553"/>
      <c r="E52" s="1554"/>
      <c r="F52" s="1079" t="s">
        <v>615</v>
      </c>
      <c r="G52" s="1164"/>
      <c r="H52" s="1180">
        <v>2</v>
      </c>
    </row>
    <row r="53" spans="2:8">
      <c r="B53" s="1552" t="s">
        <v>810</v>
      </c>
      <c r="C53" s="1553"/>
      <c r="D53" s="1553"/>
      <c r="E53" s="1554"/>
      <c r="F53" s="1079" t="s">
        <v>480</v>
      </c>
      <c r="G53" s="1164"/>
      <c r="H53" s="1342">
        <v>0</v>
      </c>
    </row>
    <row r="54" spans="2:8">
      <c r="B54" s="1552" t="s">
        <v>815</v>
      </c>
      <c r="C54" s="1553"/>
      <c r="D54" s="1553"/>
      <c r="E54" s="1554"/>
      <c r="F54" s="1079" t="s">
        <v>477</v>
      </c>
      <c r="G54" s="1164"/>
      <c r="H54" s="1180">
        <f>TRUNC((H51*(1-H53/100))*(H52+1)/(H52*2)+H51*H53/100,2)</f>
        <v>2250</v>
      </c>
    </row>
    <row r="55" spans="2:8" ht="14.25">
      <c r="B55" s="1555" t="s">
        <v>817</v>
      </c>
      <c r="C55" s="1556"/>
      <c r="D55" s="1556"/>
      <c r="E55" s="1556"/>
      <c r="F55" s="1105" t="s">
        <v>814</v>
      </c>
      <c r="G55" s="1181"/>
      <c r="H55" s="1182">
        <f>TRUNC(H58,2)</f>
        <v>125</v>
      </c>
    </row>
    <row r="56" spans="2:8">
      <c r="B56" s="1558" t="s">
        <v>810</v>
      </c>
      <c r="C56" s="1559"/>
      <c r="D56" s="1559"/>
      <c r="E56" s="1560"/>
      <c r="F56" s="1075" t="s">
        <v>480</v>
      </c>
      <c r="G56" s="1161"/>
      <c r="H56" s="1183">
        <f>H53/100</f>
        <v>0</v>
      </c>
    </row>
    <row r="57" spans="2:8">
      <c r="B57" s="1552" t="s">
        <v>811</v>
      </c>
      <c r="C57" s="1553"/>
      <c r="D57" s="1553"/>
      <c r="E57" s="1554"/>
      <c r="F57" s="1079" t="s">
        <v>477</v>
      </c>
      <c r="G57" s="1164"/>
      <c r="H57" s="1180">
        <f>H56*H51</f>
        <v>0</v>
      </c>
    </row>
    <row r="58" spans="2:8">
      <c r="B58" s="1561" t="s">
        <v>817</v>
      </c>
      <c r="C58" s="1562"/>
      <c r="D58" s="1562"/>
      <c r="E58" s="1563"/>
      <c r="F58" s="1111" t="s">
        <v>616</v>
      </c>
      <c r="G58" s="1167"/>
      <c r="H58" s="1184">
        <f>((H51-H57)/((H52*12)))</f>
        <v>125</v>
      </c>
    </row>
    <row r="59" spans="2:8" ht="14.25">
      <c r="B59" s="1555" t="s">
        <v>839</v>
      </c>
      <c r="C59" s="1556"/>
      <c r="D59" s="1556"/>
      <c r="E59" s="1557"/>
      <c r="F59" s="1107" t="s">
        <v>814</v>
      </c>
      <c r="G59" s="1181"/>
      <c r="H59" s="1182">
        <f>TRUNC(H62,2)</f>
        <v>9.61</v>
      </c>
    </row>
    <row r="60" spans="2:8">
      <c r="B60" s="1558" t="s">
        <v>778</v>
      </c>
      <c r="C60" s="1559"/>
      <c r="D60" s="1559"/>
      <c r="E60" s="1560"/>
      <c r="F60" s="1075" t="s">
        <v>480</v>
      </c>
      <c r="G60" s="1161"/>
      <c r="H60" s="1343">
        <v>5.2499999999999998E-2</v>
      </c>
    </row>
    <row r="61" spans="2:8" ht="14.25">
      <c r="B61" s="1552" t="s">
        <v>815</v>
      </c>
      <c r="C61" s="1553"/>
      <c r="D61" s="1553"/>
      <c r="E61" s="1554"/>
      <c r="F61" s="1079" t="s">
        <v>477</v>
      </c>
      <c r="G61" s="1185"/>
      <c r="H61" s="1180">
        <f>H54</f>
        <v>2250</v>
      </c>
    </row>
    <row r="62" spans="2:8" ht="14.25">
      <c r="B62" s="1561" t="s">
        <v>818</v>
      </c>
      <c r="C62" s="1562"/>
      <c r="D62" s="1562"/>
      <c r="E62" s="1563"/>
      <c r="F62" s="1111" t="s">
        <v>616</v>
      </c>
      <c r="G62" s="1186"/>
      <c r="H62" s="1187">
        <f>((1+H60)^(1/12)-1)*(H61)</f>
        <v>9.6145374738556555</v>
      </c>
    </row>
    <row r="63" spans="2:8" ht="14.25">
      <c r="B63" s="1555" t="s">
        <v>843</v>
      </c>
      <c r="C63" s="1556"/>
      <c r="D63" s="1556"/>
      <c r="E63" s="1557"/>
      <c r="F63" s="1204" t="s">
        <v>814</v>
      </c>
      <c r="G63" s="1205"/>
      <c r="H63" s="1182">
        <f>TRUNC(H65,2)</f>
        <v>112.5</v>
      </c>
    </row>
    <row r="64" spans="2:8">
      <c r="B64" s="1558" t="s">
        <v>837</v>
      </c>
      <c r="C64" s="1559"/>
      <c r="D64" s="1559"/>
      <c r="E64" s="1560"/>
      <c r="F64" s="1075"/>
      <c r="G64" s="1161"/>
      <c r="H64" s="1206">
        <v>0.9</v>
      </c>
    </row>
    <row r="65" spans="2:18">
      <c r="B65" s="1561" t="s">
        <v>838</v>
      </c>
      <c r="C65" s="1562"/>
      <c r="D65" s="1562"/>
      <c r="E65" s="1563"/>
      <c r="F65" s="1079" t="s">
        <v>616</v>
      </c>
      <c r="G65" s="1164"/>
      <c r="H65" s="1180">
        <f>(H51*H64)/(H52*12)</f>
        <v>112.5</v>
      </c>
    </row>
    <row r="66" spans="2:18" ht="14.25">
      <c r="B66" s="1207" t="s">
        <v>1484</v>
      </c>
      <c r="C66" s="1208"/>
      <c r="D66" s="1208"/>
      <c r="E66" s="1208"/>
      <c r="F66" s="1205"/>
      <c r="G66" s="1205"/>
      <c r="H66" s="1209">
        <f>H23</f>
        <v>7</v>
      </c>
    </row>
    <row r="67" spans="2:18" thickBot="1">
      <c r="B67" s="1550" t="s">
        <v>844</v>
      </c>
      <c r="C67" s="1551"/>
      <c r="D67" s="1551"/>
      <c r="E67" s="1551"/>
      <c r="F67" s="1210"/>
      <c r="G67" s="1210"/>
      <c r="H67" s="1211">
        <f>H66*H50</f>
        <v>1729.77</v>
      </c>
    </row>
    <row r="68" spans="2:18" ht="15.75" thickBot="1">
      <c r="B68" s="1024"/>
      <c r="C68" s="1024"/>
      <c r="D68" s="1024"/>
      <c r="E68" s="1024"/>
      <c r="F68" s="1024"/>
      <c r="G68" s="1024"/>
      <c r="H68" s="1024"/>
    </row>
    <row r="69" spans="2:18" ht="15.75" thickBot="1">
      <c r="B69" s="1044" t="s">
        <v>1485</v>
      </c>
      <c r="C69" s="1039"/>
      <c r="D69" s="1039"/>
      <c r="E69" s="1039"/>
      <c r="F69" s="1039"/>
      <c r="G69" s="1039"/>
      <c r="H69" s="1154">
        <f>IFERROR(H67,0)</f>
        <v>1729.77</v>
      </c>
    </row>
    <row r="70" spans="2:18">
      <c r="B70" s="1024"/>
      <c r="C70" s="1024"/>
      <c r="D70" s="1024"/>
      <c r="E70" s="1024"/>
      <c r="F70" s="1024"/>
      <c r="G70" s="1024"/>
      <c r="H70" s="1024"/>
    </row>
    <row r="71" spans="2:18">
      <c r="B71" s="1026" t="s">
        <v>1435</v>
      </c>
      <c r="C71" s="1024"/>
      <c r="D71" s="1024"/>
      <c r="E71" s="1024"/>
      <c r="F71" s="1024"/>
      <c r="G71" s="1024"/>
      <c r="H71" s="1170"/>
    </row>
    <row r="72" spans="2:18" ht="28.5">
      <c r="B72" s="1155" t="s">
        <v>900</v>
      </c>
      <c r="C72" s="1156"/>
      <c r="D72" s="1157"/>
      <c r="E72" s="1158" t="s">
        <v>1164</v>
      </c>
      <c r="F72" s="1159" t="s">
        <v>1165</v>
      </c>
      <c r="G72" s="1158" t="s">
        <v>1166</v>
      </c>
      <c r="H72" s="1160" t="s">
        <v>1167</v>
      </c>
    </row>
    <row r="73" spans="2:18">
      <c r="B73" s="1034">
        <f>B28</f>
        <v>0</v>
      </c>
      <c r="C73" s="1035"/>
      <c r="D73" s="1035"/>
      <c r="E73" s="1167" t="s">
        <v>601</v>
      </c>
      <c r="F73" s="1175">
        <f>H28</f>
        <v>0</v>
      </c>
      <c r="G73" s="1363"/>
      <c r="H73" s="1176">
        <f>TRUNC(F73*G73,2)</f>
        <v>0</v>
      </c>
    </row>
    <row r="74" spans="2:18" ht="15.75" thickBot="1">
      <c r="B74" s="1056" t="s">
        <v>595</v>
      </c>
      <c r="C74" s="1024"/>
      <c r="D74" s="1024"/>
      <c r="E74" s="1024"/>
      <c r="F74" s="1024"/>
      <c r="G74" s="1024"/>
      <c r="H74" s="1170"/>
    </row>
    <row r="75" spans="2:18" ht="15.75" thickBot="1">
      <c r="B75" s="1044" t="s">
        <v>1174</v>
      </c>
      <c r="C75" s="1039"/>
      <c r="D75" s="1039"/>
      <c r="E75" s="1039"/>
      <c r="F75" s="1039"/>
      <c r="G75" s="1039"/>
      <c r="H75" s="1154">
        <f>SUM(H73:H73)</f>
        <v>0</v>
      </c>
    </row>
    <row r="76" spans="2:18">
      <c r="B76" s="1024"/>
      <c r="C76" s="1024"/>
      <c r="D76" s="1024"/>
      <c r="E76" s="1024"/>
      <c r="F76" s="1024"/>
      <c r="G76" s="1024"/>
      <c r="H76" s="1024"/>
    </row>
    <row r="77" spans="2:18">
      <c r="B77" s="1026" t="s">
        <v>1436</v>
      </c>
      <c r="C77" s="1024"/>
      <c r="D77" s="1024"/>
      <c r="E77" s="1024"/>
      <c r="F77" s="1024"/>
      <c r="G77" s="1024"/>
      <c r="H77" s="1024"/>
    </row>
    <row r="78" spans="2:18" ht="15.75" thickBot="1">
      <c r="B78" s="1024"/>
      <c r="C78" s="1024"/>
      <c r="D78" s="1024"/>
      <c r="E78" s="1024"/>
      <c r="F78" s="1024"/>
      <c r="G78" s="1024"/>
      <c r="H78" s="1024"/>
      <c r="O78" s="945"/>
      <c r="P78" s="945"/>
      <c r="Q78" s="945"/>
      <c r="R78" s="945"/>
    </row>
    <row r="79" spans="2:18" ht="15.75" thickBot="1">
      <c r="B79" s="1044" t="s">
        <v>669</v>
      </c>
      <c r="C79" s="1039"/>
      <c r="D79" s="1039"/>
      <c r="E79" s="1039"/>
      <c r="F79" s="1039"/>
      <c r="G79" s="1039"/>
      <c r="H79" s="1154">
        <f>IFERROR(#REF!,0)</f>
        <v>0</v>
      </c>
    </row>
    <row r="80" spans="2:18">
      <c r="B80" s="1024"/>
      <c r="C80" s="1024"/>
      <c r="D80" s="1024"/>
      <c r="E80" s="1024"/>
      <c r="F80" s="1024"/>
      <c r="G80" s="1024"/>
      <c r="H80" s="1024"/>
    </row>
    <row r="81" spans="2:8">
      <c r="B81" s="1026" t="s">
        <v>1033</v>
      </c>
      <c r="C81" s="1024"/>
      <c r="D81" s="1024"/>
      <c r="E81" s="1024"/>
      <c r="F81" s="1024"/>
      <c r="G81" s="1024"/>
      <c r="H81" s="1024"/>
    </row>
    <row r="82" spans="2:8">
      <c r="B82" s="1029" t="str">
        <f>B40</f>
        <v>Custo mensal com mão-de-obra (R$/mês)</v>
      </c>
      <c r="C82" s="1030"/>
      <c r="D82" s="1030"/>
      <c r="E82" s="1030"/>
      <c r="F82" s="1030"/>
      <c r="G82" s="1030"/>
      <c r="H82" s="1212">
        <f>H40</f>
        <v>0</v>
      </c>
    </row>
    <row r="83" spans="2:8">
      <c r="B83" s="1032" t="str">
        <f>B46</f>
        <v>Custo mensal com ferramentas (R$/mês)</v>
      </c>
      <c r="C83" s="1024"/>
      <c r="D83" s="1024"/>
      <c r="E83" s="1024"/>
      <c r="F83" s="1024"/>
      <c r="G83" s="1024"/>
      <c r="H83" s="1213">
        <f>H46</f>
        <v>0</v>
      </c>
    </row>
    <row r="84" spans="2:8">
      <c r="B84" s="1032" t="str">
        <f>B69</f>
        <v>Custo mensal com Equipamentos (R$/mês)</v>
      </c>
      <c r="C84" s="1024"/>
      <c r="D84" s="1024"/>
      <c r="E84" s="1024"/>
      <c r="F84" s="1024"/>
      <c r="G84" s="1024"/>
      <c r="H84" s="1213">
        <f>H69</f>
        <v>1729.77</v>
      </c>
    </row>
    <row r="85" spans="2:8">
      <c r="B85" s="1032" t="str">
        <f>B75</f>
        <v>Custo mensal com EPC's (R$/mês)</v>
      </c>
      <c r="C85" s="1024"/>
      <c r="D85" s="1024"/>
      <c r="E85" s="1024"/>
      <c r="F85" s="1024"/>
      <c r="G85" s="1024"/>
      <c r="H85" s="1213">
        <f>H75</f>
        <v>0</v>
      </c>
    </row>
    <row r="86" spans="2:8" ht="15.75" thickBot="1">
      <c r="B86" s="1034" t="s">
        <v>731</v>
      </c>
      <c r="C86" s="1035"/>
      <c r="D86" s="1035"/>
      <c r="E86" s="1035"/>
      <c r="F86" s="1035"/>
      <c r="G86" s="1035"/>
      <c r="H86" s="1214">
        <f>H79</f>
        <v>0</v>
      </c>
    </row>
    <row r="87" spans="2:8" ht="15.75" thickBot="1">
      <c r="B87" s="1044" t="s">
        <v>873</v>
      </c>
      <c r="C87" s="1039"/>
      <c r="D87" s="1039"/>
      <c r="E87" s="1039"/>
      <c r="F87" s="1039"/>
      <c r="G87" s="1039"/>
      <c r="H87" s="1215">
        <f>SUM(H82:H86)</f>
        <v>1729.77</v>
      </c>
    </row>
    <row r="88" spans="2:8">
      <c r="B88" s="1024"/>
      <c r="C88" s="1024"/>
      <c r="D88" s="1024"/>
      <c r="E88" s="1024"/>
      <c r="F88" s="1024"/>
      <c r="G88" s="1024"/>
      <c r="H88" s="1024"/>
    </row>
    <row r="89" spans="2:8">
      <c r="B89" s="1026" t="s">
        <v>1437</v>
      </c>
      <c r="C89" s="1024"/>
      <c r="D89" s="1024"/>
      <c r="E89" s="1024"/>
      <c r="F89" s="1024"/>
      <c r="G89" s="1024"/>
      <c r="H89" s="1024"/>
    </row>
    <row r="90" spans="2:8">
      <c r="B90" s="1029" t="s">
        <v>1516</v>
      </c>
      <c r="C90" s="1030"/>
      <c r="D90" s="1030"/>
      <c r="E90" s="1030"/>
      <c r="F90" s="1216">
        <f>TRUNC(H87/H66,2)</f>
        <v>247.11</v>
      </c>
      <c r="G90" s="1024"/>
      <c r="H90" s="1024"/>
    </row>
    <row r="91" spans="2:8">
      <c r="B91" s="1034" t="s">
        <v>926</v>
      </c>
      <c r="C91" s="1035"/>
      <c r="D91" s="1035"/>
      <c r="E91" s="1024"/>
      <c r="F91" s="1217">
        <f>ANEXO_IIId_BDI!$D$16</f>
        <v>0.32340000000000002</v>
      </c>
      <c r="G91" s="1024"/>
      <c r="H91" s="1024"/>
    </row>
    <row r="92" spans="2:8">
      <c r="B92" s="1218" t="s">
        <v>1518</v>
      </c>
      <c r="C92" s="1035"/>
      <c r="D92" s="1035"/>
      <c r="E92" s="1039"/>
      <c r="F92" s="1219">
        <f>TRUNC(F90*(1+F91),2)</f>
        <v>327.02</v>
      </c>
      <c r="G92" s="1024"/>
      <c r="H92" s="1024"/>
    </row>
    <row r="93" spans="2:8">
      <c r="B93" s="1024"/>
      <c r="C93" s="1024"/>
      <c r="D93" s="1024"/>
      <c r="E93" s="1024"/>
      <c r="F93" s="1024"/>
      <c r="G93" s="1024"/>
      <c r="H93" s="1024"/>
    </row>
    <row r="94" spans="2:8" ht="15.75" thickBot="1">
      <c r="B94" s="1026" t="s">
        <v>1438</v>
      </c>
      <c r="C94" s="1024"/>
      <c r="D94" s="1024"/>
      <c r="E94" s="1024"/>
      <c r="F94" s="1024"/>
      <c r="G94" s="1024"/>
      <c r="H94" s="1024"/>
    </row>
    <row r="95" spans="2:8" ht="15.75" thickBot="1">
      <c r="B95" s="1044" t="s">
        <v>925</v>
      </c>
      <c r="C95" s="1039"/>
      <c r="D95" s="1039"/>
      <c r="E95" s="1039"/>
      <c r="F95" s="1154">
        <f>F92*H66</f>
        <v>2289.14</v>
      </c>
      <c r="G95" s="1173"/>
      <c r="H95" s="1024"/>
    </row>
    <row r="96" spans="2:8">
      <c r="B96" s="1023"/>
      <c r="C96" s="1023"/>
      <c r="D96" s="1023"/>
      <c r="E96" s="1023"/>
      <c r="F96" s="1023"/>
      <c r="G96" s="1173"/>
      <c r="H96" s="1024"/>
    </row>
    <row r="97" spans="2:8">
      <c r="B97" s="1023"/>
      <c r="C97" s="1023"/>
      <c r="D97" s="1023"/>
      <c r="E97" s="1023"/>
      <c r="F97" s="1023"/>
      <c r="G97" s="1023"/>
      <c r="H97" s="1023"/>
    </row>
  </sheetData>
  <protectedRanges>
    <protectedRange sqref="F8:F9 G23 H51 H53 H60" name="Intervalo1"/>
  </protectedRanges>
  <mergeCells count="18">
    <mergeCell ref="B67:E67"/>
    <mergeCell ref="B55:E55"/>
    <mergeCell ref="B56:E56"/>
    <mergeCell ref="B57:E57"/>
    <mergeCell ref="B58:E58"/>
    <mergeCell ref="B59:E59"/>
    <mergeCell ref="B60:E60"/>
    <mergeCell ref="B61:E61"/>
    <mergeCell ref="B62:E62"/>
    <mergeCell ref="B63:E63"/>
    <mergeCell ref="B64:E64"/>
    <mergeCell ref="B65:E65"/>
    <mergeCell ref="B54:E54"/>
    <mergeCell ref="B2:H2"/>
    <mergeCell ref="B50:E50"/>
    <mergeCell ref="B51:E51"/>
    <mergeCell ref="B52:E52"/>
    <mergeCell ref="B53:E53"/>
  </mergeCells>
  <pageMargins left="0.59055118110236227" right="0.39370078740157483" top="1.1811023622047245" bottom="0.78740157480314965" header="0.31496062992125984" footer="0.31496062992125984"/>
  <pageSetup paperSize="9" scale="90" fitToHeight="0" orientation="portrait" r:id="rId1"/>
  <headerFooter>
    <oddHeader>&amp;L&amp;G&amp;C&amp;"Times New Roman,Negrito itálico"&amp;14Estado de Mato Grosso do Sul
Prefeitura Municipal de Cassilândia/MS
&amp;R&amp;G</oddHeader>
    <oddFooter>&amp;C&amp;"Times New Roman,Normal"&amp;10&amp;K130BB5Rua Domingos de Souza França, nº420 – Centro - (67) 3596-1301 – Cassilândia – MS</oddFooter>
  </headerFooter>
  <rowBreaks count="2" manualBreakCount="2">
    <brk id="47" min="1" max="7" man="1"/>
    <brk id="80" min="1" max="7" man="1"/>
  </rowBreaks>
  <legacyDrawing r:id="rId2"/>
  <legacyDrawingHF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B80F0-5E7B-44A2-A14E-10C9FD73EDCC}">
  <sheetPr>
    <pageSetUpPr fitToPage="1"/>
  </sheetPr>
  <dimension ref="B1:R108"/>
  <sheetViews>
    <sheetView showGridLines="0" view="pageBreakPreview" topLeftCell="A82" zoomScale="85" zoomScaleNormal="85" zoomScaleSheetLayoutView="85" zoomScalePageLayoutView="85" workbookViewId="0">
      <selection activeCell="G71" sqref="G71"/>
    </sheetView>
  </sheetViews>
  <sheetFormatPr defaultColWidth="9.140625" defaultRowHeight="15"/>
  <cols>
    <col min="1" max="1" width="9.140625" style="940"/>
    <col min="2" max="2" width="18" style="954" customWidth="1"/>
    <col min="3" max="3" width="12.5703125" style="954" customWidth="1"/>
    <col min="4" max="4" width="11.140625" style="954" customWidth="1"/>
    <col min="5" max="6" width="14.28515625" style="954" customWidth="1"/>
    <col min="7" max="7" width="16.85546875" style="954" customWidth="1"/>
    <col min="8" max="8" width="15" style="954" customWidth="1"/>
    <col min="9" max="9" width="10" style="940" bestFit="1" customWidth="1"/>
    <col min="10" max="11" width="9.140625" style="940"/>
    <col min="12" max="12" width="9.140625" style="942"/>
    <col min="13" max="14" width="9.140625" style="940"/>
    <col min="15" max="15" width="39" style="940" bestFit="1" customWidth="1"/>
    <col min="16" max="16" width="25.5703125" style="940" bestFit="1" customWidth="1"/>
    <col min="17" max="17" width="16.85546875" style="940" bestFit="1" customWidth="1"/>
    <col min="18" max="16384" width="9.140625" style="940"/>
  </cols>
  <sheetData>
    <row r="1" spans="2:17">
      <c r="B1" s="1023"/>
      <c r="C1" s="1023"/>
      <c r="D1" s="1024"/>
      <c r="E1" s="1024"/>
      <c r="F1" s="1024"/>
      <c r="G1" s="1024"/>
      <c r="H1" s="1024"/>
      <c r="I1" s="941"/>
    </row>
    <row r="2" spans="2:17" ht="40.5" customHeight="1">
      <c r="B2" s="1570" t="s">
        <v>1537</v>
      </c>
      <c r="C2" s="1570"/>
      <c r="D2" s="1570"/>
      <c r="E2" s="1570"/>
      <c r="F2" s="1570"/>
      <c r="G2" s="1570"/>
      <c r="H2" s="1570"/>
      <c r="I2" s="941"/>
    </row>
    <row r="3" spans="2:17">
      <c r="B3" s="1023"/>
      <c r="C3" s="1023"/>
      <c r="D3" s="1024"/>
      <c r="E3" s="1024"/>
      <c r="F3" s="1024"/>
      <c r="G3" s="1024"/>
      <c r="H3" s="1024"/>
      <c r="I3" s="941"/>
    </row>
    <row r="4" spans="2:17" ht="18.75">
      <c r="B4" s="1025" t="s">
        <v>1519</v>
      </c>
      <c r="C4" s="1024"/>
      <c r="D4" s="1024"/>
      <c r="E4" s="1024"/>
      <c r="F4" s="1024"/>
      <c r="G4" s="1024"/>
      <c r="H4" s="1024"/>
      <c r="I4" s="943"/>
    </row>
    <row r="5" spans="2:17" ht="18.75">
      <c r="B5" s="1025"/>
      <c r="C5" s="1024"/>
      <c r="D5" s="1024"/>
      <c r="E5" s="1024"/>
      <c r="F5" s="1024"/>
      <c r="G5" s="1024"/>
      <c r="H5" s="1024"/>
      <c r="I5" s="941"/>
    </row>
    <row r="6" spans="2:17">
      <c r="B6" s="1026" t="s">
        <v>1520</v>
      </c>
      <c r="C6" s="1024"/>
      <c r="D6" s="1024"/>
      <c r="E6" s="1024"/>
      <c r="F6" s="1024"/>
      <c r="G6" s="1027" t="s">
        <v>1510</v>
      </c>
      <c r="H6" s="1351">
        <f>TRUNC(52/12,2)</f>
        <v>4.33</v>
      </c>
      <c r="I6" s="941"/>
      <c r="J6" s="944"/>
    </row>
    <row r="7" spans="2:17">
      <c r="B7" s="1023"/>
      <c r="C7" s="1023"/>
      <c r="D7" s="1023"/>
      <c r="E7" s="1023"/>
      <c r="F7" s="1023"/>
      <c r="G7" s="1024"/>
      <c r="H7" s="1024"/>
      <c r="I7" s="941"/>
      <c r="O7" s="945"/>
      <c r="P7" s="945"/>
      <c r="Q7" s="945"/>
    </row>
    <row r="8" spans="2:17" ht="15.75" customHeight="1">
      <c r="B8" s="1029" t="s">
        <v>1511</v>
      </c>
      <c r="C8" s="1030"/>
      <c r="D8" s="1030"/>
      <c r="E8" s="1030" t="s">
        <v>601</v>
      </c>
      <c r="F8" s="1364">
        <f>H6</f>
        <v>4.33</v>
      </c>
      <c r="G8" s="1024"/>
      <c r="H8" s="1024"/>
      <c r="I8" s="941"/>
      <c r="O8" s="945"/>
      <c r="P8" s="945"/>
      <c r="Q8" s="945"/>
    </row>
    <row r="9" spans="2:17" ht="15.75" customHeight="1">
      <c r="B9" s="1034" t="s">
        <v>1512</v>
      </c>
      <c r="C9" s="1035"/>
      <c r="D9" s="1035"/>
      <c r="E9" s="1035" t="s">
        <v>832</v>
      </c>
      <c r="F9" s="1355">
        <v>139</v>
      </c>
      <c r="G9" s="1024"/>
      <c r="H9" s="1024"/>
      <c r="I9" s="941"/>
      <c r="O9" s="945"/>
      <c r="P9" s="945"/>
      <c r="Q9" s="945"/>
    </row>
    <row r="10" spans="2:17">
      <c r="B10" s="1023"/>
      <c r="C10" s="1023"/>
      <c r="D10" s="1023"/>
      <c r="E10" s="1023"/>
      <c r="F10" s="1023"/>
      <c r="G10" s="1023"/>
      <c r="H10" s="1024"/>
      <c r="I10" s="941"/>
      <c r="Q10" s="945"/>
    </row>
    <row r="11" spans="2:17">
      <c r="B11" s="1024"/>
      <c r="C11" s="1024"/>
      <c r="D11" s="1024"/>
      <c r="E11" s="1024"/>
      <c r="F11" s="1024"/>
      <c r="G11" s="1024"/>
      <c r="H11" s="1024"/>
      <c r="I11" s="941"/>
      <c r="O11" s="945"/>
      <c r="P11" s="946"/>
      <c r="Q11" s="945"/>
    </row>
    <row r="12" spans="2:17">
      <c r="B12" s="1026" t="s">
        <v>1430</v>
      </c>
      <c r="C12" s="1024"/>
      <c r="D12" s="1024"/>
      <c r="E12" s="1024"/>
      <c r="F12" s="1024"/>
      <c r="G12" s="1024"/>
      <c r="H12" s="1024"/>
      <c r="I12" s="941"/>
      <c r="O12" s="945"/>
      <c r="P12" s="946"/>
      <c r="Q12" s="945"/>
    </row>
    <row r="13" spans="2:17">
      <c r="B13" s="1056" t="s">
        <v>1513</v>
      </c>
      <c r="C13" s="1024"/>
      <c r="D13" s="1024"/>
      <c r="E13" s="1024"/>
      <c r="F13" s="1024"/>
      <c r="G13" s="1024"/>
      <c r="H13" s="1024"/>
      <c r="I13" s="941"/>
      <c r="O13" s="945"/>
      <c r="P13" s="946"/>
      <c r="Q13" s="945"/>
    </row>
    <row r="14" spans="2:17">
      <c r="B14" s="1024"/>
      <c r="C14" s="1024"/>
      <c r="D14" s="1024"/>
      <c r="E14" s="1024"/>
      <c r="F14" s="1024"/>
      <c r="G14" s="1024"/>
      <c r="H14" s="1024"/>
      <c r="I14" s="941"/>
      <c r="O14" s="945"/>
      <c r="P14" s="945"/>
      <c r="Q14" s="945"/>
    </row>
    <row r="15" spans="2:17">
      <c r="B15" s="1026" t="s">
        <v>1431</v>
      </c>
      <c r="C15" s="1024"/>
      <c r="D15" s="1024"/>
      <c r="E15" s="1024"/>
      <c r="F15" s="1024"/>
      <c r="G15" s="1024"/>
      <c r="H15" s="1024"/>
      <c r="I15" s="941"/>
      <c r="O15" s="945"/>
      <c r="P15" s="948"/>
      <c r="Q15" s="945"/>
    </row>
    <row r="16" spans="2:17" ht="15.75" thickBot="1">
      <c r="B16" s="1026" t="s">
        <v>565</v>
      </c>
      <c r="C16" s="1024"/>
      <c r="D16" s="1024"/>
      <c r="E16" s="1024"/>
      <c r="F16" s="1024"/>
      <c r="G16" s="1024"/>
      <c r="H16" s="1024"/>
      <c r="I16" s="941"/>
      <c r="O16" s="945"/>
      <c r="P16" s="945"/>
      <c r="Q16" s="945"/>
    </row>
    <row r="17" spans="2:12" ht="14.25">
      <c r="B17" s="1044" t="s">
        <v>900</v>
      </c>
      <c r="C17" s="1045"/>
      <c r="D17" s="1045"/>
      <c r="E17" s="1044" t="s">
        <v>901</v>
      </c>
      <c r="F17" s="1045"/>
      <c r="G17" s="1046"/>
      <c r="H17" s="1047" t="s">
        <v>584</v>
      </c>
      <c r="I17" s="941"/>
    </row>
    <row r="18" spans="2:12" ht="15.75" thickBot="1">
      <c r="B18" s="1034"/>
      <c r="C18" s="1035"/>
      <c r="D18" s="1035"/>
      <c r="E18" s="1361">
        <v>0</v>
      </c>
      <c r="F18" s="1053"/>
      <c r="G18" s="1054"/>
      <c r="H18" s="1055">
        <f>TRUNC($F$8*E18/12,2)</f>
        <v>0</v>
      </c>
      <c r="I18" s="941"/>
      <c r="L18" s="949"/>
    </row>
    <row r="19" spans="2:12">
      <c r="B19" s="1056" t="s">
        <v>595</v>
      </c>
      <c r="C19" s="1024"/>
      <c r="D19" s="1024"/>
      <c r="E19" s="1024"/>
      <c r="F19" s="1024"/>
      <c r="G19" s="1024"/>
      <c r="H19" s="1024"/>
      <c r="I19" s="941"/>
    </row>
    <row r="20" spans="2:12">
      <c r="B20" s="1056"/>
      <c r="C20" s="1024"/>
      <c r="D20" s="1024"/>
      <c r="E20" s="1024"/>
      <c r="F20" s="1024"/>
      <c r="G20" s="1024"/>
      <c r="H20" s="1024"/>
      <c r="I20" s="941"/>
    </row>
    <row r="21" spans="2:12" ht="15.75" thickBot="1">
      <c r="B21" s="1026" t="s">
        <v>547</v>
      </c>
      <c r="C21" s="1024"/>
      <c r="D21" s="1024"/>
      <c r="E21" s="1024"/>
      <c r="F21" s="1024"/>
      <c r="G21" s="1024"/>
      <c r="H21" s="1024"/>
      <c r="I21" s="941"/>
    </row>
    <row r="22" spans="2:12" ht="14.25">
      <c r="B22" s="1044" t="s">
        <v>900</v>
      </c>
      <c r="C22" s="1045"/>
      <c r="D22" s="1045"/>
      <c r="E22" s="1044" t="s">
        <v>901</v>
      </c>
      <c r="F22" s="1045"/>
      <c r="G22" s="1057" t="s">
        <v>1163</v>
      </c>
      <c r="H22" s="1047" t="s">
        <v>384</v>
      </c>
      <c r="I22" s="941"/>
    </row>
    <row r="23" spans="2:12" ht="15.75" thickBot="1">
      <c r="B23" s="1038"/>
      <c r="C23" s="1039"/>
      <c r="D23" s="1039"/>
      <c r="E23" s="1058"/>
      <c r="F23" s="1059"/>
      <c r="G23" s="1060"/>
      <c r="H23" s="1061">
        <f>E23</f>
        <v>0</v>
      </c>
      <c r="I23" s="941"/>
    </row>
    <row r="24" spans="2:12">
      <c r="B24" s="1056" t="s">
        <v>595</v>
      </c>
      <c r="C24" s="1024"/>
      <c r="D24" s="1024"/>
      <c r="E24" s="1024"/>
      <c r="F24" s="1024"/>
      <c r="G24" s="1024"/>
      <c r="H24" s="1024"/>
      <c r="I24" s="941"/>
    </row>
    <row r="25" spans="2:12">
      <c r="B25" s="1056"/>
      <c r="C25" s="1024"/>
      <c r="D25" s="1024"/>
      <c r="E25" s="1024"/>
      <c r="F25" s="1024"/>
      <c r="G25" s="1024"/>
      <c r="H25" s="1024"/>
      <c r="I25" s="941"/>
    </row>
    <row r="26" spans="2:12" ht="15.75" thickBot="1">
      <c r="B26" s="1026" t="s">
        <v>1161</v>
      </c>
      <c r="C26" s="1024"/>
      <c r="D26" s="1024"/>
      <c r="E26" s="1024"/>
      <c r="F26" s="1024"/>
      <c r="G26" s="1024"/>
      <c r="H26" s="1024"/>
    </row>
    <row r="27" spans="2:12" ht="14.25">
      <c r="B27" s="1044" t="s">
        <v>900</v>
      </c>
      <c r="C27" s="1045"/>
      <c r="D27" s="1045"/>
      <c r="E27" s="1044" t="s">
        <v>901</v>
      </c>
      <c r="F27" s="1045"/>
      <c r="G27" s="1046"/>
      <c r="H27" s="1047" t="s">
        <v>584</v>
      </c>
    </row>
    <row r="28" spans="2:12" ht="15.75" thickBot="1">
      <c r="B28" s="1034"/>
      <c r="C28" s="1035"/>
      <c r="D28" s="1035"/>
      <c r="E28" s="1361"/>
      <c r="F28" s="1062"/>
      <c r="G28" s="1063"/>
      <c r="H28" s="1064"/>
      <c r="L28" s="949"/>
    </row>
    <row r="29" spans="2:12">
      <c r="B29" s="1056" t="s">
        <v>595</v>
      </c>
      <c r="C29" s="1023"/>
      <c r="D29" s="1023"/>
      <c r="E29" s="1023"/>
      <c r="F29" s="1023"/>
      <c r="G29" s="1023"/>
      <c r="H29" s="1023"/>
    </row>
    <row r="30" spans="2:12">
      <c r="B30" s="1056"/>
      <c r="C30" s="1023"/>
      <c r="D30" s="1023"/>
      <c r="E30" s="1023"/>
      <c r="F30" s="1023"/>
      <c r="G30" s="1023"/>
      <c r="H30" s="1023"/>
    </row>
    <row r="31" spans="2:12" ht="15.75" thickBot="1">
      <c r="B31" s="1026" t="s">
        <v>679</v>
      </c>
      <c r="C31" s="1024"/>
      <c r="D31" s="1024"/>
      <c r="E31" s="1024"/>
      <c r="F31" s="1024"/>
      <c r="G31" s="1024"/>
      <c r="H31" s="1024"/>
    </row>
    <row r="32" spans="2:12" ht="14.25">
      <c r="B32" s="1044" t="s">
        <v>567</v>
      </c>
      <c r="C32" s="1046"/>
      <c r="D32" s="1044" t="s">
        <v>904</v>
      </c>
      <c r="E32" s="1045"/>
      <c r="F32" s="1046"/>
      <c r="G32" s="1045" t="s">
        <v>1163</v>
      </c>
      <c r="H32" s="1047" t="s">
        <v>384</v>
      </c>
    </row>
    <row r="33" spans="2:8" ht="15.75" thickBot="1">
      <c r="B33" s="1029"/>
      <c r="C33" s="1030"/>
      <c r="D33" s="1065"/>
      <c r="E33" s="1030"/>
      <c r="F33" s="1030"/>
      <c r="G33" s="1362"/>
      <c r="H33" s="1049"/>
    </row>
    <row r="34" spans="2:8" ht="14.25">
      <c r="B34" s="1044" t="s">
        <v>1086</v>
      </c>
      <c r="C34" s="1046"/>
      <c r="D34" s="1044" t="s">
        <v>904</v>
      </c>
      <c r="E34" s="1045"/>
      <c r="F34" s="1046"/>
      <c r="G34" s="1045" t="s">
        <v>1163</v>
      </c>
      <c r="H34" s="1047" t="s">
        <v>384</v>
      </c>
    </row>
    <row r="35" spans="2:8" ht="15.75" thickBot="1">
      <c r="B35" s="1034"/>
      <c r="C35" s="1035"/>
      <c r="D35" s="1066"/>
      <c r="E35" s="1035"/>
      <c r="F35" s="1035"/>
      <c r="G35" s="1067">
        <f>G33</f>
        <v>0</v>
      </c>
      <c r="H35" s="1064">
        <f>H33</f>
        <v>0</v>
      </c>
    </row>
    <row r="36" spans="2:8">
      <c r="B36" s="1056" t="s">
        <v>595</v>
      </c>
      <c r="C36" s="1024"/>
      <c r="D36" s="1024"/>
      <c r="E36" s="1024"/>
      <c r="F36" s="1024"/>
      <c r="G36" s="1024"/>
      <c r="H36" s="1024"/>
    </row>
    <row r="37" spans="2:8">
      <c r="B37" s="1024"/>
      <c r="C37" s="1024"/>
      <c r="D37" s="1024"/>
      <c r="E37" s="1024"/>
      <c r="F37" s="1024"/>
      <c r="G37" s="1024"/>
      <c r="H37" s="1024"/>
    </row>
    <row r="38" spans="2:8">
      <c r="B38" s="1026" t="s">
        <v>1029</v>
      </c>
      <c r="C38" s="1024"/>
      <c r="D38" s="1024"/>
      <c r="E38" s="1024"/>
      <c r="F38" s="1024"/>
      <c r="G38" s="1024"/>
      <c r="H38" s="1024"/>
    </row>
    <row r="39" spans="2:8" ht="15.75" thickBot="1">
      <c r="B39" s="1023"/>
      <c r="C39" s="1023"/>
      <c r="D39" s="1023"/>
      <c r="E39" s="1023"/>
      <c r="F39" s="1023"/>
      <c r="G39" s="1023"/>
      <c r="H39" s="1023"/>
    </row>
    <row r="40" spans="2:8" ht="15.75" thickBot="1">
      <c r="B40" s="1044" t="s">
        <v>598</v>
      </c>
      <c r="C40" s="1039"/>
      <c r="D40" s="1039"/>
      <c r="E40" s="1039"/>
      <c r="F40" s="1039"/>
      <c r="G40" s="1039"/>
      <c r="H40" s="1154">
        <f>IFERROR(#REF!+#REF!+#REF!,0)</f>
        <v>0</v>
      </c>
    </row>
    <row r="41" spans="2:8">
      <c r="B41" s="1024"/>
      <c r="C41" s="1024"/>
      <c r="D41" s="1024"/>
      <c r="E41" s="1024"/>
      <c r="F41" s="1024"/>
      <c r="G41" s="1024"/>
      <c r="H41" s="1024"/>
    </row>
    <row r="42" spans="2:8">
      <c r="B42" s="1026" t="s">
        <v>1030</v>
      </c>
      <c r="C42" s="1024"/>
      <c r="D42" s="1024"/>
      <c r="E42" s="1024"/>
      <c r="F42" s="1024"/>
      <c r="G42" s="1024"/>
      <c r="H42" s="1024"/>
    </row>
    <row r="43" spans="2:8" ht="28.5">
      <c r="B43" s="1155" t="s">
        <v>900</v>
      </c>
      <c r="C43" s="1156"/>
      <c r="D43" s="1157"/>
      <c r="E43" s="1158" t="s">
        <v>1164</v>
      </c>
      <c r="F43" s="1159" t="s">
        <v>1165</v>
      </c>
      <c r="G43" s="1158" t="s">
        <v>1166</v>
      </c>
      <c r="H43" s="1160" t="s">
        <v>1167</v>
      </c>
    </row>
    <row r="44" spans="2:8">
      <c r="B44" s="1034">
        <f>B18</f>
        <v>0</v>
      </c>
      <c r="C44" s="1035"/>
      <c r="D44" s="1035"/>
      <c r="E44" s="1167" t="s">
        <v>601</v>
      </c>
      <c r="F44" s="1168">
        <f>H18</f>
        <v>0</v>
      </c>
      <c r="G44" s="1363"/>
      <c r="H44" s="1169">
        <f>TRUNC(G44*F44,2)</f>
        <v>0</v>
      </c>
    </row>
    <row r="45" spans="2:8" ht="15.75" thickBot="1">
      <c r="B45" s="1056" t="s">
        <v>595</v>
      </c>
      <c r="C45" s="1024"/>
      <c r="D45" s="1024"/>
      <c r="E45" s="1024"/>
      <c r="F45" s="1024"/>
      <c r="G45" s="1024"/>
      <c r="H45" s="1024"/>
    </row>
    <row r="46" spans="2:8" ht="15.75" thickBot="1">
      <c r="B46" s="1044" t="s">
        <v>602</v>
      </c>
      <c r="C46" s="1039"/>
      <c r="D46" s="1039"/>
      <c r="E46" s="1039"/>
      <c r="F46" s="1039"/>
      <c r="G46" s="1039"/>
      <c r="H46" s="1154">
        <f>SUM(H44:H44)</f>
        <v>0</v>
      </c>
    </row>
    <row r="47" spans="2:8">
      <c r="B47" s="1024"/>
      <c r="C47" s="1024"/>
      <c r="D47" s="1024"/>
      <c r="E47" s="1024"/>
      <c r="F47" s="1024"/>
      <c r="G47" s="1024"/>
      <c r="H47" s="1024"/>
    </row>
    <row r="48" spans="2:8">
      <c r="B48" s="1026" t="s">
        <v>1031</v>
      </c>
      <c r="C48" s="1024"/>
      <c r="D48" s="1024"/>
      <c r="E48" s="1024"/>
      <c r="F48" s="1024"/>
      <c r="G48" s="1024"/>
      <c r="H48" s="1024"/>
    </row>
    <row r="49" spans="2:13" ht="15.75" thickBot="1">
      <c r="B49" s="1024"/>
      <c r="C49" s="1024"/>
      <c r="D49" s="1024"/>
      <c r="E49" s="1024"/>
      <c r="F49" s="1024"/>
      <c r="G49" s="1024"/>
      <c r="H49" s="1024"/>
    </row>
    <row r="50" spans="2:13" ht="15.75" thickBot="1">
      <c r="B50" s="1044" t="s">
        <v>1485</v>
      </c>
      <c r="C50" s="1039"/>
      <c r="D50" s="1039"/>
      <c r="E50" s="1039"/>
      <c r="F50" s="1039"/>
      <c r="G50" s="1039"/>
      <c r="H50" s="1154">
        <f>IFERROR(#REF!,0)</f>
        <v>0</v>
      </c>
    </row>
    <row r="51" spans="2:13">
      <c r="B51" s="1024"/>
      <c r="C51" s="1024"/>
      <c r="D51" s="1024"/>
      <c r="E51" s="1024"/>
      <c r="F51" s="1024"/>
      <c r="G51" s="1024"/>
      <c r="H51" s="1024"/>
    </row>
    <row r="52" spans="2:13">
      <c r="B52" s="1026" t="s">
        <v>1435</v>
      </c>
      <c r="C52" s="1024"/>
      <c r="D52" s="1024"/>
      <c r="E52" s="1024"/>
      <c r="F52" s="1024"/>
      <c r="G52" s="1024"/>
      <c r="H52" s="1170"/>
    </row>
    <row r="53" spans="2:13" ht="28.5">
      <c r="B53" s="1155" t="s">
        <v>900</v>
      </c>
      <c r="C53" s="1156"/>
      <c r="D53" s="1157"/>
      <c r="E53" s="1158" t="s">
        <v>1164</v>
      </c>
      <c r="F53" s="1159" t="s">
        <v>1165</v>
      </c>
      <c r="G53" s="1158" t="s">
        <v>1166</v>
      </c>
      <c r="H53" s="1160" t="s">
        <v>1167</v>
      </c>
    </row>
    <row r="54" spans="2:13">
      <c r="B54" s="1034">
        <f>B28</f>
        <v>0</v>
      </c>
      <c r="C54" s="1035"/>
      <c r="D54" s="1035"/>
      <c r="E54" s="1167"/>
      <c r="F54" s="1175"/>
      <c r="G54" s="1363"/>
      <c r="H54" s="1176">
        <f>TRUNC(F54*G54,2)</f>
        <v>0</v>
      </c>
    </row>
    <row r="55" spans="2:13" ht="15.75" thickBot="1">
      <c r="B55" s="1056" t="s">
        <v>595</v>
      </c>
      <c r="C55" s="1024"/>
      <c r="D55" s="1024"/>
      <c r="E55" s="1024"/>
      <c r="F55" s="1024"/>
      <c r="G55" s="1024"/>
      <c r="H55" s="1170"/>
    </row>
    <row r="56" spans="2:13" ht="15.75" thickBot="1">
      <c r="B56" s="1044" t="s">
        <v>1174</v>
      </c>
      <c r="C56" s="1039"/>
      <c r="D56" s="1039"/>
      <c r="E56" s="1039"/>
      <c r="F56" s="1039"/>
      <c r="G56" s="1039"/>
      <c r="H56" s="1154">
        <f>SUM(H54:H54)</f>
        <v>0</v>
      </c>
    </row>
    <row r="57" spans="2:13">
      <c r="B57" s="1024"/>
      <c r="C57" s="1024"/>
      <c r="D57" s="1024"/>
      <c r="E57" s="1024"/>
      <c r="F57" s="1024"/>
      <c r="G57" s="1024"/>
      <c r="H57" s="1024"/>
    </row>
    <row r="58" spans="2:13">
      <c r="B58" s="1026" t="s">
        <v>1436</v>
      </c>
      <c r="C58" s="1024"/>
      <c r="D58" s="1024"/>
      <c r="E58" s="1024"/>
      <c r="F58" s="1024"/>
      <c r="G58" s="1024"/>
      <c r="H58" s="1024"/>
    </row>
    <row r="59" spans="2:13" ht="15.75" thickBot="1">
      <c r="B59" s="1026" t="str">
        <f>ANEXO_IIIa_COLETA_TRANSP_SEDE!B233</f>
        <v>1.2.5.1) Caminhão médio (toco) c/ implemento Compactador de 15 m³</v>
      </c>
      <c r="C59" s="1024"/>
      <c r="D59" s="1024"/>
      <c r="E59" s="1024"/>
      <c r="F59" s="1024"/>
      <c r="G59" s="1024"/>
      <c r="H59" s="1024"/>
    </row>
    <row r="60" spans="2:13" ht="14.25">
      <c r="B60" s="1567" t="str">
        <f>ANEXO_IIIa_COLETA_TRANSP_SEDE!B234</f>
        <v>Caminhão médio (toco) c/ implemento Compactador de 15 m³</v>
      </c>
      <c r="C60" s="1568"/>
      <c r="D60" s="1568"/>
      <c r="E60" s="1569"/>
      <c r="F60" s="1177">
        <v>0</v>
      </c>
      <c r="G60" s="1178" t="s">
        <v>814</v>
      </c>
      <c r="H60" s="1179">
        <f>TRUNC(H62+H64+H66+H68+H73+H85,2)</f>
        <v>2006.38</v>
      </c>
      <c r="M60" s="944"/>
    </row>
    <row r="61" spans="2:13">
      <c r="B61" s="1572" t="s">
        <v>1514</v>
      </c>
      <c r="C61" s="1573"/>
      <c r="D61" s="1573"/>
      <c r="E61" s="1574"/>
      <c r="F61" s="1079"/>
      <c r="G61" s="1164"/>
      <c r="H61" s="1180"/>
    </row>
    <row r="62" spans="2:13" ht="14.25">
      <c r="B62" s="1555" t="s">
        <v>817</v>
      </c>
      <c r="C62" s="1556"/>
      <c r="D62" s="1556"/>
      <c r="E62" s="1556"/>
      <c r="F62" s="1105" t="s">
        <v>814</v>
      </c>
      <c r="G62" s="1356"/>
      <c r="H62" s="1182">
        <f>TRUNC(H63,2)</f>
        <v>0</v>
      </c>
      <c r="L62" s="950"/>
    </row>
    <row r="63" spans="2:13">
      <c r="B63" s="1572" t="s">
        <v>1514</v>
      </c>
      <c r="C63" s="1573"/>
      <c r="D63" s="1573"/>
      <c r="E63" s="1574"/>
      <c r="F63" s="1111" t="s">
        <v>616</v>
      </c>
      <c r="G63" s="1167"/>
      <c r="H63" s="1184"/>
    </row>
    <row r="64" spans="2:13" ht="14.25">
      <c r="B64" s="1555" t="s">
        <v>839</v>
      </c>
      <c r="C64" s="1556"/>
      <c r="D64" s="1556"/>
      <c r="E64" s="1557"/>
      <c r="F64" s="1107" t="s">
        <v>814</v>
      </c>
      <c r="G64" s="1357"/>
      <c r="H64" s="1182">
        <f>TRUNC(H65,2)</f>
        <v>0</v>
      </c>
      <c r="L64" s="950"/>
    </row>
    <row r="65" spans="2:17" ht="14.25">
      <c r="B65" s="1572" t="s">
        <v>1514</v>
      </c>
      <c r="C65" s="1573"/>
      <c r="D65" s="1573"/>
      <c r="E65" s="1574"/>
      <c r="F65" s="1111" t="s">
        <v>616</v>
      </c>
      <c r="G65" s="1186"/>
      <c r="H65" s="1187"/>
    </row>
    <row r="66" spans="2:17" ht="14.25">
      <c r="B66" s="1555" t="s">
        <v>840</v>
      </c>
      <c r="C66" s="1556"/>
      <c r="D66" s="1556"/>
      <c r="E66" s="1557"/>
      <c r="F66" s="1107" t="s">
        <v>814</v>
      </c>
      <c r="G66" s="1358"/>
      <c r="H66" s="1182">
        <f>TRUNC(H67,2)</f>
        <v>0</v>
      </c>
      <c r="L66" s="950"/>
    </row>
    <row r="67" spans="2:17" ht="14.25">
      <c r="B67" s="1572" t="s">
        <v>1514</v>
      </c>
      <c r="C67" s="1573"/>
      <c r="D67" s="1573"/>
      <c r="E67" s="1574"/>
      <c r="F67" s="1111" t="s">
        <v>616</v>
      </c>
      <c r="G67" s="1195"/>
      <c r="H67" s="1187"/>
      <c r="O67" s="945"/>
      <c r="P67" s="952"/>
      <c r="Q67" s="952"/>
    </row>
    <row r="68" spans="2:17" ht="14.25">
      <c r="B68" s="1555" t="s">
        <v>841</v>
      </c>
      <c r="C68" s="1556"/>
      <c r="D68" s="1556"/>
      <c r="E68" s="1557"/>
      <c r="F68" s="1107" t="s">
        <v>814</v>
      </c>
      <c r="G68" s="1105"/>
      <c r="H68" s="1182">
        <f>TRUNC(H71+H72,2)</f>
        <v>1705.45</v>
      </c>
      <c r="L68" s="950"/>
      <c r="O68" s="945"/>
      <c r="P68" s="952"/>
      <c r="Q68" s="952"/>
    </row>
    <row r="69" spans="2:17" ht="14.25">
      <c r="B69" s="1564" t="s">
        <v>772</v>
      </c>
      <c r="C69" s="1565"/>
      <c r="D69" s="1565"/>
      <c r="E69" s="1566"/>
      <c r="F69" s="1075" t="s">
        <v>477</v>
      </c>
      <c r="G69" s="1196"/>
      <c r="H69" s="1344">
        <v>6.44</v>
      </c>
      <c r="O69" s="945"/>
      <c r="P69" s="952"/>
      <c r="Q69" s="952"/>
    </row>
    <row r="70" spans="2:17" ht="14.25">
      <c r="B70" s="1552" t="s">
        <v>824</v>
      </c>
      <c r="C70" s="1553"/>
      <c r="D70" s="1553"/>
      <c r="E70" s="1554"/>
      <c r="F70" s="1079" t="s">
        <v>825</v>
      </c>
      <c r="G70" s="1197">
        <v>2.5</v>
      </c>
      <c r="H70" s="1180">
        <f>H69/G70</f>
        <v>2.5760000000000001</v>
      </c>
    </row>
    <row r="71" spans="2:17" ht="14.25">
      <c r="B71" s="1552" t="s">
        <v>826</v>
      </c>
      <c r="C71" s="1553"/>
      <c r="D71" s="1553"/>
      <c r="E71" s="1554"/>
      <c r="F71" s="1079" t="s">
        <v>814</v>
      </c>
      <c r="G71" s="1197">
        <f>H6*F9</f>
        <v>601.87</v>
      </c>
      <c r="H71" s="1180">
        <f>H70*G71</f>
        <v>1550.4171200000001</v>
      </c>
    </row>
    <row r="72" spans="2:17" ht="14.25">
      <c r="B72" s="1552" t="s">
        <v>827</v>
      </c>
      <c r="C72" s="1553"/>
      <c r="D72" s="1553"/>
      <c r="E72" s="1554"/>
      <c r="F72" s="1111" t="s">
        <v>814</v>
      </c>
      <c r="G72" s="1198">
        <v>0.1</v>
      </c>
      <c r="H72" s="1187">
        <f>H71*G72</f>
        <v>155.04171200000002</v>
      </c>
    </row>
    <row r="73" spans="2:17">
      <c r="B73" s="1555" t="s">
        <v>842</v>
      </c>
      <c r="C73" s="1556"/>
      <c r="D73" s="1556"/>
      <c r="E73" s="1557"/>
      <c r="F73" s="1107" t="s">
        <v>814</v>
      </c>
      <c r="G73" s="1199"/>
      <c r="H73" s="1182">
        <f>TRUNC(H83*H84,2)</f>
        <v>300.93</v>
      </c>
      <c r="L73" s="950"/>
    </row>
    <row r="74" spans="2:17">
      <c r="B74" s="1558" t="s">
        <v>1077</v>
      </c>
      <c r="C74" s="1559"/>
      <c r="D74" s="1559"/>
      <c r="E74" s="1560"/>
      <c r="F74" s="1075" t="s">
        <v>477</v>
      </c>
      <c r="G74" s="1161"/>
      <c r="H74" s="1342">
        <f>ANEXO_IIIa_COLETA_TRANSP_SEDE!H262</f>
        <v>1773</v>
      </c>
    </row>
    <row r="75" spans="2:17">
      <c r="B75" s="1552" t="s">
        <v>1366</v>
      </c>
      <c r="C75" s="1553"/>
      <c r="D75" s="1553"/>
      <c r="E75" s="1554"/>
      <c r="F75" s="1079" t="s">
        <v>477</v>
      </c>
      <c r="G75" s="1164"/>
      <c r="H75" s="1342"/>
    </row>
    <row r="76" spans="2:17">
      <c r="B76" s="1552" t="s">
        <v>1367</v>
      </c>
      <c r="C76" s="1553"/>
      <c r="D76" s="1553"/>
      <c r="E76" s="1554"/>
      <c r="F76" s="1079" t="s">
        <v>477</v>
      </c>
      <c r="G76" s="1164"/>
      <c r="H76" s="1342"/>
    </row>
    <row r="77" spans="2:17">
      <c r="B77" s="1552" t="s">
        <v>828</v>
      </c>
      <c r="C77" s="1553"/>
      <c r="D77" s="1553"/>
      <c r="E77" s="1554"/>
      <c r="F77" s="1079" t="s">
        <v>829</v>
      </c>
      <c r="G77" s="1164"/>
      <c r="H77" s="1200">
        <v>6</v>
      </c>
    </row>
    <row r="78" spans="2:17">
      <c r="B78" s="1552" t="s">
        <v>830</v>
      </c>
      <c r="C78" s="1553"/>
      <c r="D78" s="1553"/>
      <c r="E78" s="1554"/>
      <c r="F78" s="1079" t="s">
        <v>829</v>
      </c>
      <c r="G78" s="1164"/>
      <c r="H78" s="1201">
        <v>0</v>
      </c>
    </row>
    <row r="79" spans="2:17">
      <c r="B79" s="1552" t="s">
        <v>1368</v>
      </c>
      <c r="C79" s="1553"/>
      <c r="D79" s="1553"/>
      <c r="E79" s="1554"/>
      <c r="F79" s="1079" t="s">
        <v>477</v>
      </c>
      <c r="G79" s="1164"/>
      <c r="H79" s="1180">
        <f>ANEXO_IIIa_COLETA_TRANSP_SEDE!H267</f>
        <v>580</v>
      </c>
    </row>
    <row r="80" spans="2:17">
      <c r="B80" s="1552" t="s">
        <v>831</v>
      </c>
      <c r="C80" s="1553"/>
      <c r="D80" s="1553"/>
      <c r="E80" s="1554"/>
      <c r="F80" s="1079" t="s">
        <v>832</v>
      </c>
      <c r="G80" s="1164"/>
      <c r="H80" s="1342">
        <v>30000</v>
      </c>
    </row>
    <row r="81" spans="2:18">
      <c r="B81" s="1552" t="s">
        <v>833</v>
      </c>
      <c r="C81" s="1553"/>
      <c r="D81" s="1553"/>
      <c r="E81" s="1554"/>
      <c r="F81" s="1079" t="s">
        <v>832</v>
      </c>
      <c r="G81" s="1164"/>
      <c r="H81" s="1342">
        <v>20000</v>
      </c>
    </row>
    <row r="82" spans="2:18">
      <c r="B82" s="1552" t="s">
        <v>834</v>
      </c>
      <c r="C82" s="1553"/>
      <c r="D82" s="1553"/>
      <c r="E82" s="1554"/>
      <c r="F82" s="1079" t="s">
        <v>480</v>
      </c>
      <c r="G82" s="1164"/>
      <c r="H82" s="1202">
        <v>0.2</v>
      </c>
    </row>
    <row r="83" spans="2:18" ht="15.75" customHeight="1">
      <c r="B83" s="1552" t="s">
        <v>835</v>
      </c>
      <c r="C83" s="1553"/>
      <c r="D83" s="1553"/>
      <c r="E83" s="1554"/>
      <c r="F83" s="1079" t="s">
        <v>825</v>
      </c>
      <c r="G83" s="1164"/>
      <c r="H83" s="1180">
        <v>0.5</v>
      </c>
    </row>
    <row r="84" spans="2:18">
      <c r="B84" s="1552" t="s">
        <v>836</v>
      </c>
      <c r="C84" s="1553"/>
      <c r="D84" s="1553"/>
      <c r="E84" s="1554"/>
      <c r="F84" s="1111" t="s">
        <v>704</v>
      </c>
      <c r="G84" s="1167"/>
      <c r="H84" s="1203">
        <f>G71</f>
        <v>601.87</v>
      </c>
    </row>
    <row r="85" spans="2:18" ht="14.25">
      <c r="B85" s="1555" t="s">
        <v>843</v>
      </c>
      <c r="C85" s="1556"/>
      <c r="D85" s="1556"/>
      <c r="E85" s="1557"/>
      <c r="F85" s="1359" t="s">
        <v>814</v>
      </c>
      <c r="G85" s="1106"/>
      <c r="H85" s="1182">
        <f>TRUNC(H86,2)</f>
        <v>0</v>
      </c>
    </row>
    <row r="86" spans="2:18">
      <c r="B86" s="1572" t="s">
        <v>1514</v>
      </c>
      <c r="C86" s="1573"/>
      <c r="D86" s="1573"/>
      <c r="E86" s="1574"/>
      <c r="F86" s="1079"/>
      <c r="G86" s="1164"/>
      <c r="H86" s="1180"/>
      <c r="O86" s="945"/>
      <c r="P86" s="945"/>
      <c r="Q86" s="945"/>
      <c r="R86" s="945"/>
    </row>
    <row r="87" spans="2:18" ht="14.25">
      <c r="B87" s="1207" t="s">
        <v>845</v>
      </c>
      <c r="C87" s="1208"/>
      <c r="D87" s="1208"/>
      <c r="E87" s="1208"/>
      <c r="F87" s="1205"/>
      <c r="G87" s="1205"/>
      <c r="H87" s="1209">
        <v>1</v>
      </c>
      <c r="O87" s="945"/>
      <c r="P87" s="953"/>
      <c r="Q87" s="945"/>
      <c r="R87" s="945"/>
    </row>
    <row r="88" spans="2:18" thickBot="1">
      <c r="B88" s="1550" t="s">
        <v>844</v>
      </c>
      <c r="C88" s="1551"/>
      <c r="D88" s="1551"/>
      <c r="E88" s="1551"/>
      <c r="F88" s="1210"/>
      <c r="G88" s="1210"/>
      <c r="H88" s="1211">
        <f>H87*H60</f>
        <v>2006.38</v>
      </c>
      <c r="O88" s="945"/>
      <c r="P88" s="945"/>
      <c r="Q88" s="945"/>
      <c r="R88" s="945"/>
    </row>
    <row r="89" spans="2:18" ht="15.75" thickBot="1">
      <c r="B89" s="1024"/>
      <c r="C89" s="1024"/>
      <c r="D89" s="1024"/>
      <c r="E89" s="1024"/>
      <c r="F89" s="1024"/>
      <c r="G89" s="1024"/>
      <c r="H89" s="1024"/>
      <c r="O89" s="945"/>
      <c r="P89" s="945"/>
      <c r="Q89" s="945"/>
      <c r="R89" s="945"/>
    </row>
    <row r="90" spans="2:18" ht="15.75" thickBot="1">
      <c r="B90" s="1044" t="s">
        <v>669</v>
      </c>
      <c r="C90" s="1039"/>
      <c r="D90" s="1039"/>
      <c r="E90" s="1039"/>
      <c r="F90" s="1039"/>
      <c r="G90" s="1039"/>
      <c r="H90" s="1154">
        <f>IFERROR(H88,0)</f>
        <v>2006.38</v>
      </c>
    </row>
    <row r="91" spans="2:18">
      <c r="B91" s="1024"/>
      <c r="C91" s="1024"/>
      <c r="D91" s="1024"/>
      <c r="E91" s="1024"/>
      <c r="F91" s="1024"/>
      <c r="G91" s="1024"/>
      <c r="H91" s="1024"/>
    </row>
    <row r="92" spans="2:18">
      <c r="B92" s="1026" t="s">
        <v>1033</v>
      </c>
      <c r="C92" s="1024"/>
      <c r="D92" s="1024"/>
      <c r="E92" s="1024"/>
      <c r="F92" s="1024"/>
      <c r="G92" s="1024"/>
      <c r="H92" s="1024"/>
    </row>
    <row r="93" spans="2:18">
      <c r="B93" s="1029" t="str">
        <f>B40</f>
        <v>Custo mensal com mão-de-obra (R$/mês)</v>
      </c>
      <c r="C93" s="1030"/>
      <c r="D93" s="1030"/>
      <c r="E93" s="1030"/>
      <c r="F93" s="1030"/>
      <c r="G93" s="1030"/>
      <c r="H93" s="1212">
        <f>H40</f>
        <v>0</v>
      </c>
    </row>
    <row r="94" spans="2:18">
      <c r="B94" s="1032" t="str">
        <f>B46</f>
        <v>Custo mensal com ferramentas (R$/mês)</v>
      </c>
      <c r="C94" s="1024"/>
      <c r="D94" s="1024"/>
      <c r="E94" s="1024"/>
      <c r="F94" s="1024"/>
      <c r="G94" s="1024"/>
      <c r="H94" s="1213">
        <f>H46</f>
        <v>0</v>
      </c>
    </row>
    <row r="95" spans="2:18">
      <c r="B95" s="1032" t="str">
        <f>B50</f>
        <v>Custo mensal com Equipamentos (R$/mês)</v>
      </c>
      <c r="C95" s="1024"/>
      <c r="D95" s="1024"/>
      <c r="E95" s="1024"/>
      <c r="F95" s="1024"/>
      <c r="G95" s="1024"/>
      <c r="H95" s="1213">
        <f>H50</f>
        <v>0</v>
      </c>
    </row>
    <row r="96" spans="2:18">
      <c r="B96" s="1032" t="str">
        <f>B56</f>
        <v>Custo mensal com EPC's (R$/mês)</v>
      </c>
      <c r="C96" s="1024"/>
      <c r="D96" s="1024"/>
      <c r="E96" s="1024"/>
      <c r="F96" s="1024"/>
      <c r="G96" s="1024"/>
      <c r="H96" s="1213">
        <f>H56</f>
        <v>0</v>
      </c>
    </row>
    <row r="97" spans="2:8" ht="15.75" thickBot="1">
      <c r="B97" s="1034" t="s">
        <v>731</v>
      </c>
      <c r="C97" s="1035"/>
      <c r="D97" s="1035"/>
      <c r="E97" s="1035"/>
      <c r="F97" s="1035"/>
      <c r="G97" s="1035"/>
      <c r="H97" s="1214">
        <f>H90</f>
        <v>2006.38</v>
      </c>
    </row>
    <row r="98" spans="2:8" ht="15.75" thickBot="1">
      <c r="B98" s="1044" t="s">
        <v>873</v>
      </c>
      <c r="C98" s="1039"/>
      <c r="D98" s="1039"/>
      <c r="E98" s="1039"/>
      <c r="F98" s="1039"/>
      <c r="G98" s="1039"/>
      <c r="H98" s="1215">
        <f>SUM(H93:H97)</f>
        <v>2006.38</v>
      </c>
    </row>
    <row r="99" spans="2:8">
      <c r="B99" s="1024"/>
      <c r="C99" s="1024"/>
      <c r="D99" s="1024"/>
      <c r="E99" s="1024"/>
      <c r="F99" s="1024"/>
      <c r="G99" s="1024"/>
      <c r="H99" s="1024"/>
    </row>
    <row r="100" spans="2:8">
      <c r="B100" s="1026" t="s">
        <v>1437</v>
      </c>
      <c r="C100" s="1024"/>
      <c r="D100" s="1024"/>
      <c r="E100" s="1024"/>
      <c r="F100" s="1024"/>
      <c r="G100" s="1024"/>
      <c r="H100" s="1024"/>
    </row>
    <row r="101" spans="2:8">
      <c r="B101" s="1029" t="s">
        <v>1515</v>
      </c>
      <c r="C101" s="1030"/>
      <c r="D101" s="1030"/>
      <c r="E101" s="1030"/>
      <c r="F101" s="1216">
        <f>TRUNC(H98/F8,2)</f>
        <v>463.36</v>
      </c>
      <c r="G101" s="1024"/>
      <c r="H101" s="1024"/>
    </row>
    <row r="102" spans="2:8">
      <c r="B102" s="1034" t="s">
        <v>926</v>
      </c>
      <c r="C102" s="1035"/>
      <c r="D102" s="1035"/>
      <c r="E102" s="1024"/>
      <c r="F102" s="1217">
        <f>ANEXO_IIId_BDI!$D$16</f>
        <v>0.32340000000000002</v>
      </c>
      <c r="G102" s="1024"/>
      <c r="H102" s="1024"/>
    </row>
    <row r="103" spans="2:8">
      <c r="B103" s="1218" t="s">
        <v>1517</v>
      </c>
      <c r="C103" s="1035"/>
      <c r="D103" s="1035"/>
      <c r="E103" s="1039"/>
      <c r="F103" s="1219">
        <f>TRUNC(F101*(1+F102),2)</f>
        <v>613.21</v>
      </c>
      <c r="G103" s="1024"/>
      <c r="H103" s="1024"/>
    </row>
    <row r="104" spans="2:8">
      <c r="B104" s="1024"/>
      <c r="C104" s="1024"/>
      <c r="D104" s="1024"/>
      <c r="E104" s="1024"/>
      <c r="F104" s="1024"/>
      <c r="G104" s="1024"/>
      <c r="H104" s="1024"/>
    </row>
    <row r="105" spans="2:8" ht="15.75" thickBot="1">
      <c r="B105" s="1026" t="s">
        <v>1438</v>
      </c>
      <c r="C105" s="1024"/>
      <c r="D105" s="1024"/>
      <c r="E105" s="1024"/>
      <c r="F105" s="1024"/>
      <c r="G105" s="1024"/>
      <c r="H105" s="1024"/>
    </row>
    <row r="106" spans="2:8" ht="15.75" thickBot="1">
      <c r="B106" s="1044" t="s">
        <v>925</v>
      </c>
      <c r="C106" s="1039"/>
      <c r="D106" s="1039"/>
      <c r="E106" s="1039"/>
      <c r="F106" s="1154">
        <f>TRUNC(F103*F8,2)</f>
        <v>2655.19</v>
      </c>
      <c r="G106" s="1173"/>
      <c r="H106" s="1024"/>
    </row>
    <row r="107" spans="2:8">
      <c r="B107" s="1023"/>
      <c r="C107" s="1023"/>
      <c r="D107" s="1023"/>
      <c r="E107" s="1023"/>
      <c r="F107" s="1023"/>
      <c r="G107" s="1173"/>
      <c r="H107" s="1024"/>
    </row>
    <row r="108" spans="2:8">
      <c r="B108" s="1023"/>
      <c r="C108" s="1023"/>
      <c r="D108" s="1023"/>
      <c r="E108" s="1023"/>
      <c r="F108" s="1023"/>
      <c r="G108" s="1023"/>
      <c r="H108" s="1023"/>
    </row>
  </sheetData>
  <protectedRanges>
    <protectedRange sqref="F8:F9 H69 H74:H76 H80:H81" name="Intervalo1"/>
  </protectedRanges>
  <mergeCells count="29">
    <mergeCell ref="B88:E88"/>
    <mergeCell ref="B82:E82"/>
    <mergeCell ref="B83:E83"/>
    <mergeCell ref="B84:E84"/>
    <mergeCell ref="B85:E85"/>
    <mergeCell ref="B86:E86"/>
    <mergeCell ref="B81:E81"/>
    <mergeCell ref="B70:E70"/>
    <mergeCell ref="B71:E71"/>
    <mergeCell ref="B72:E72"/>
    <mergeCell ref="B73:E73"/>
    <mergeCell ref="B74:E74"/>
    <mergeCell ref="B75:E75"/>
    <mergeCell ref="B76:E76"/>
    <mergeCell ref="B77:E77"/>
    <mergeCell ref="B78:E78"/>
    <mergeCell ref="B79:E79"/>
    <mergeCell ref="B80:E80"/>
    <mergeCell ref="B67:E67"/>
    <mergeCell ref="B68:E68"/>
    <mergeCell ref="B69:E69"/>
    <mergeCell ref="B65:E65"/>
    <mergeCell ref="B66:E66"/>
    <mergeCell ref="B2:H2"/>
    <mergeCell ref="B61:E61"/>
    <mergeCell ref="B62:E62"/>
    <mergeCell ref="B63:E63"/>
    <mergeCell ref="B64:E64"/>
    <mergeCell ref="B60:E60"/>
  </mergeCells>
  <pageMargins left="0.59055118110236227" right="0.39370078740157483" top="1.1811023622047245" bottom="0.78740157480314965" header="0.31496062992125984" footer="0.31496062992125984"/>
  <pageSetup paperSize="9" scale="90" fitToHeight="0" orientation="portrait" r:id="rId1"/>
  <headerFooter>
    <oddHeader>&amp;L&amp;G&amp;C&amp;"Times New Roman,Negrito itálico"&amp;14Estado de Mato Grosso do Sul
Prefeitura Municipal de Cassilândia/MS
&amp;R&amp;G</oddHeader>
    <oddFooter>&amp;C&amp;"Times New Roman,Normal"&amp;10&amp;K130BB5Rua Domingos de Souza França, nº420 – Centro - (67) 3596-1301 – Cassilândia – MS</oddFooter>
  </headerFooter>
  <rowBreaks count="2" manualBreakCount="2">
    <brk id="47" min="1" max="7" man="1"/>
    <brk id="90" min="1" max="7" man="1"/>
  </rowBreaks>
  <legacyDrawing r:id="rId2"/>
  <legacyDrawingHF r:id="rId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B2:I22"/>
  <sheetViews>
    <sheetView showGridLines="0" view="pageBreakPreview" zoomScale="130" zoomScaleNormal="80" zoomScaleSheetLayoutView="130" zoomScalePageLayoutView="80" workbookViewId="0">
      <selection activeCell="D13" sqref="D13"/>
    </sheetView>
  </sheetViews>
  <sheetFormatPr defaultColWidth="9.140625" defaultRowHeight="12.75"/>
  <cols>
    <col min="1" max="1" width="9.140625" style="53"/>
    <col min="2" max="2" width="47" style="956" bestFit="1" customWidth="1"/>
    <col min="3" max="3" width="5.5703125" style="956" bestFit="1" customWidth="1"/>
    <col min="4" max="4" width="9.140625" style="956"/>
    <col min="5" max="5" width="9.42578125" style="956" customWidth="1"/>
    <col min="6" max="6" width="9.42578125" style="957" customWidth="1"/>
    <col min="7" max="7" width="9.42578125" style="956" customWidth="1"/>
    <col min="8" max="8" width="9.140625" style="53"/>
    <col min="9" max="9" width="13.7109375" style="53" bestFit="1" customWidth="1"/>
    <col min="10" max="16384" width="9.140625" style="53"/>
  </cols>
  <sheetData>
    <row r="2" spans="2:9" ht="28.5" customHeight="1">
      <c r="B2" s="1583" t="s">
        <v>1538</v>
      </c>
      <c r="C2" s="1584"/>
      <c r="D2" s="1584"/>
      <c r="E2" s="1584"/>
      <c r="F2" s="1584"/>
      <c r="G2" s="1584"/>
    </row>
    <row r="3" spans="2:9" ht="13.5" thickBot="1"/>
    <row r="4" spans="2:9" ht="14.25">
      <c r="B4" s="1575" t="s">
        <v>1025</v>
      </c>
      <c r="C4" s="1576"/>
      <c r="D4" s="1576"/>
      <c r="E4" s="1576"/>
      <c r="F4" s="1576"/>
      <c r="G4" s="1577"/>
    </row>
    <row r="5" spans="2:9" ht="15" thickBot="1">
      <c r="B5" s="958"/>
      <c r="C5" s="959"/>
      <c r="D5" s="959"/>
      <c r="E5" s="959"/>
      <c r="F5" s="959"/>
      <c r="G5" s="960"/>
    </row>
    <row r="6" spans="2:9" ht="15">
      <c r="B6" s="961"/>
      <c r="C6" s="962"/>
      <c r="D6" s="962"/>
      <c r="E6" s="1578" t="s">
        <v>905</v>
      </c>
      <c r="F6" s="1579"/>
      <c r="G6" s="1580"/>
      <c r="H6" s="191"/>
      <c r="I6" s="192"/>
    </row>
    <row r="7" spans="2:9" ht="15.75" thickBot="1">
      <c r="B7" s="963"/>
      <c r="C7" s="964"/>
      <c r="D7" s="964"/>
      <c r="E7" s="965" t="s">
        <v>906</v>
      </c>
      <c r="F7" s="966" t="s">
        <v>907</v>
      </c>
      <c r="G7" s="967" t="s">
        <v>908</v>
      </c>
      <c r="H7" s="191"/>
      <c r="I7" s="192"/>
    </row>
    <row r="8" spans="2:9" ht="15">
      <c r="B8" s="968" t="s">
        <v>909</v>
      </c>
      <c r="C8" s="969" t="s">
        <v>910</v>
      </c>
      <c r="D8" s="1019">
        <v>1.2500000000000001E-2</v>
      </c>
      <c r="E8" s="970">
        <v>2.9700000000000001E-2</v>
      </c>
      <c r="F8" s="971">
        <v>5.0799999999999998E-2</v>
      </c>
      <c r="G8" s="972">
        <v>6.2700000000000006E-2</v>
      </c>
      <c r="H8" s="191"/>
      <c r="I8" s="192"/>
    </row>
    <row r="9" spans="2:9" ht="15">
      <c r="B9" s="973" t="s">
        <v>911</v>
      </c>
      <c r="C9" s="974" t="s">
        <v>912</v>
      </c>
      <c r="D9" s="1020">
        <v>8.6E-3</v>
      </c>
      <c r="E9" s="970">
        <f>0.3%+0.56%</f>
        <v>8.6E-3</v>
      </c>
      <c r="F9" s="971">
        <f>0.48%+0.85%</f>
        <v>1.3299999999999999E-2</v>
      </c>
      <c r="G9" s="972">
        <f>0.82%+0.89%</f>
        <v>1.7099999999999997E-2</v>
      </c>
      <c r="H9" s="191"/>
      <c r="I9" s="192"/>
    </row>
    <row r="10" spans="2:9" ht="15">
      <c r="B10" s="973" t="s">
        <v>913</v>
      </c>
      <c r="C10" s="974" t="s">
        <v>914</v>
      </c>
      <c r="D10" s="1020">
        <v>7.7799999999999994E-2</v>
      </c>
      <c r="E10" s="970">
        <v>7.7799999999999994E-2</v>
      </c>
      <c r="F10" s="971">
        <v>0.1085</v>
      </c>
      <c r="G10" s="972">
        <v>0.13550000000000001</v>
      </c>
      <c r="H10" s="191"/>
      <c r="I10" s="193"/>
    </row>
    <row r="11" spans="2:9" ht="15">
      <c r="B11" s="973" t="s">
        <v>915</v>
      </c>
      <c r="C11" s="974" t="s">
        <v>916</v>
      </c>
      <c r="D11" s="1020">
        <f>(1+F11)^(F12/252)-1</f>
        <v>6.1100533752556085E-3</v>
      </c>
      <c r="E11" s="970" t="s">
        <v>917</v>
      </c>
      <c r="F11" s="975">
        <v>5.2499999999999998E-2</v>
      </c>
      <c r="G11" s="976"/>
      <c r="H11" s="191"/>
      <c r="I11" s="194"/>
    </row>
    <row r="12" spans="2:9" ht="15">
      <c r="B12" s="973" t="s">
        <v>918</v>
      </c>
      <c r="C12" s="1581" t="s">
        <v>919</v>
      </c>
      <c r="D12" s="1020">
        <v>0.05</v>
      </c>
      <c r="E12" s="977" t="s">
        <v>920</v>
      </c>
      <c r="F12" s="978">
        <v>30</v>
      </c>
      <c r="G12" s="979"/>
      <c r="H12" s="191"/>
      <c r="I12" s="191"/>
    </row>
    <row r="13" spans="2:9" ht="15.75" thickBot="1">
      <c r="B13" s="980" t="s">
        <v>1550</v>
      </c>
      <c r="C13" s="1582"/>
      <c r="D13" s="1021">
        <v>0.1133</v>
      </c>
      <c r="E13" s="981"/>
      <c r="F13" s="978"/>
      <c r="G13" s="979"/>
      <c r="H13" s="191"/>
      <c r="I13" s="191"/>
    </row>
    <row r="14" spans="2:9" ht="15">
      <c r="B14" s="982" t="s">
        <v>921</v>
      </c>
      <c r="C14" s="983"/>
      <c r="D14" s="984"/>
      <c r="E14" s="981"/>
      <c r="F14" s="978"/>
      <c r="G14" s="979"/>
      <c r="H14" s="191"/>
      <c r="I14" s="191"/>
    </row>
    <row r="15" spans="2:9" ht="15.75" thickBot="1">
      <c r="B15" s="985" t="s">
        <v>922</v>
      </c>
      <c r="C15" s="986"/>
      <c r="D15" s="987"/>
      <c r="E15" s="981"/>
      <c r="F15" s="978"/>
      <c r="G15" s="979"/>
      <c r="H15" s="191"/>
      <c r="I15" s="191"/>
    </row>
    <row r="16" spans="2:9" ht="15.75" thickBot="1">
      <c r="B16" s="988" t="s">
        <v>923</v>
      </c>
      <c r="C16" s="989"/>
      <c r="D16" s="990">
        <f>ROUND((((1+D8+D9)*(1+D10)*(1+D11))/(1-(D12+D13))-1),4)</f>
        <v>0.32340000000000002</v>
      </c>
      <c r="E16" s="991">
        <v>0.21429999999999999</v>
      </c>
      <c r="F16" s="992">
        <v>0.2717</v>
      </c>
      <c r="G16" s="993">
        <v>0.3362</v>
      </c>
      <c r="H16" s="191"/>
      <c r="I16" s="191"/>
    </row>
    <row r="17" spans="2:9" ht="15">
      <c r="B17" s="964"/>
      <c r="C17" s="964"/>
      <c r="D17" s="964"/>
      <c r="E17" s="964"/>
      <c r="F17" s="994"/>
      <c r="G17" s="964"/>
      <c r="H17" s="191"/>
      <c r="I17" s="191"/>
    </row>
    <row r="18" spans="2:9" ht="15">
      <c r="B18" s="964"/>
      <c r="C18" s="964"/>
      <c r="D18" s="964"/>
      <c r="E18" s="964"/>
      <c r="F18" s="994"/>
      <c r="G18" s="964"/>
      <c r="H18" s="191"/>
      <c r="I18" s="191"/>
    </row>
    <row r="19" spans="2:9" ht="15">
      <c r="B19" s="964"/>
      <c r="C19" s="964"/>
      <c r="D19" s="964"/>
      <c r="E19" s="964"/>
      <c r="F19" s="994"/>
      <c r="G19" s="964"/>
      <c r="H19" s="191"/>
      <c r="I19" s="191"/>
    </row>
    <row r="20" spans="2:9" ht="15">
      <c r="B20" s="964"/>
      <c r="C20" s="964"/>
      <c r="D20" s="964"/>
      <c r="E20" s="964"/>
      <c r="F20" s="994"/>
      <c r="G20" s="964"/>
      <c r="H20" s="191"/>
      <c r="I20" s="191"/>
    </row>
    <row r="21" spans="2:9">
      <c r="B21" s="995"/>
    </row>
    <row r="22" spans="2:9">
      <c r="B22" s="995"/>
    </row>
  </sheetData>
  <protectedRanges>
    <protectedRange sqref="D8:D13" name="Intervalo1"/>
  </protectedRanges>
  <mergeCells count="4">
    <mergeCell ref="B4:G4"/>
    <mergeCell ref="E6:G6"/>
    <mergeCell ref="C12:C13"/>
    <mergeCell ref="B2:G2"/>
  </mergeCells>
  <printOptions horizontalCentered="1"/>
  <pageMargins left="0.59055118110236227" right="0.39370078740157483" top="1.1811023622047245" bottom="0.78740157480314965" header="0.31496062992125984" footer="0.31496062992125984"/>
  <pageSetup paperSize="9" fitToHeight="0" orientation="portrait" r:id="rId1"/>
  <headerFooter>
    <oddHeader>&amp;L&amp;G&amp;C&amp;"Times New Roman,Negrito itálico"&amp;14Estado de Mato Grosso do Sul
Prefeitura Municipal de Cassilândia/MS&amp;"-,Regular"&amp;11
&amp;R&amp;G</oddHeader>
    <oddFooter>&amp;C&amp;"Times New Roman,Normal"&amp;10&amp;K130BB5Rua Domingos de Souza França, nº420 – Centro - (67) 3596-1301 – Cassilândia – MS</oddFooter>
  </headerFooter>
  <legacyDrawing r:id="rId2"/>
  <legacyDrawingHF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85FE8-48BE-4F4F-B0A5-2C38F5C17995}">
  <dimension ref="B3:D106"/>
  <sheetViews>
    <sheetView showGridLines="0" view="pageBreakPreview" topLeftCell="A4" zoomScaleNormal="100" zoomScaleSheetLayoutView="100" workbookViewId="0">
      <selection activeCell="C8" sqref="C8"/>
    </sheetView>
  </sheetViews>
  <sheetFormatPr defaultRowHeight="15"/>
  <cols>
    <col min="2" max="2" width="9.140625" style="954"/>
    <col min="3" max="3" width="34.42578125" style="954" bestFit="1" customWidth="1"/>
    <col min="4" max="4" width="24.7109375" style="954" customWidth="1"/>
  </cols>
  <sheetData>
    <row r="3" spans="2:4" ht="30.75" customHeight="1">
      <c r="B3" s="1585" t="s">
        <v>1539</v>
      </c>
      <c r="C3" s="1586"/>
      <c r="D3" s="1586"/>
    </row>
    <row r="4" spans="2:4" ht="15.75" thickBot="1"/>
    <row r="5" spans="2:4" ht="15.75">
      <c r="B5" s="1590" t="s">
        <v>1398</v>
      </c>
      <c r="C5" s="1591"/>
      <c r="D5" s="1592"/>
    </row>
    <row r="6" spans="2:4" ht="6.75" customHeight="1">
      <c r="B6" s="996"/>
      <c r="D6" s="997"/>
    </row>
    <row r="7" spans="2:4">
      <c r="B7" s="1587" t="s">
        <v>1369</v>
      </c>
      <c r="C7" s="1588"/>
      <c r="D7" s="1589"/>
    </row>
    <row r="8" spans="2:4">
      <c r="B8" s="998" t="s">
        <v>1370</v>
      </c>
      <c r="C8" s="999" t="s">
        <v>1379</v>
      </c>
      <c r="D8" s="1000">
        <v>0.2</v>
      </c>
    </row>
    <row r="9" spans="2:4">
      <c r="B9" s="998" t="s">
        <v>1371</v>
      </c>
      <c r="C9" s="999" t="s">
        <v>1380</v>
      </c>
      <c r="D9" s="1000">
        <v>1.4999999999999999E-2</v>
      </c>
    </row>
    <row r="10" spans="2:4">
      <c r="B10" s="998" t="s">
        <v>1372</v>
      </c>
      <c r="C10" s="999" t="s">
        <v>1381</v>
      </c>
      <c r="D10" s="1000">
        <v>0.01</v>
      </c>
    </row>
    <row r="11" spans="2:4">
      <c r="B11" s="998" t="s">
        <v>1373</v>
      </c>
      <c r="C11" s="999" t="s">
        <v>1382</v>
      </c>
      <c r="D11" s="1000">
        <v>2E-3</v>
      </c>
    </row>
    <row r="12" spans="2:4">
      <c r="B12" s="998" t="s">
        <v>1374</v>
      </c>
      <c r="C12" s="999" t="s">
        <v>1383</v>
      </c>
      <c r="D12" s="1000">
        <v>6.0000000000000001E-3</v>
      </c>
    </row>
    <row r="13" spans="2:4">
      <c r="B13" s="998" t="s">
        <v>1375</v>
      </c>
      <c r="C13" s="999" t="s">
        <v>1384</v>
      </c>
      <c r="D13" s="1000">
        <v>2.5000000000000001E-2</v>
      </c>
    </row>
    <row r="14" spans="2:4">
      <c r="B14" s="998" t="s">
        <v>1376</v>
      </c>
      <c r="C14" s="999" t="s">
        <v>1385</v>
      </c>
      <c r="D14" s="1000">
        <v>0.03</v>
      </c>
    </row>
    <row r="15" spans="2:4">
      <c r="B15" s="998" t="s">
        <v>1377</v>
      </c>
      <c r="C15" s="999" t="s">
        <v>1386</v>
      </c>
      <c r="D15" s="1000">
        <v>0.08</v>
      </c>
    </row>
    <row r="16" spans="2:4">
      <c r="B16" s="998" t="s">
        <v>1378</v>
      </c>
      <c r="C16" s="999" t="s">
        <v>1426</v>
      </c>
      <c r="D16" s="1000">
        <v>0.01</v>
      </c>
    </row>
    <row r="17" spans="2:4">
      <c r="B17" s="998"/>
      <c r="C17" s="1001" t="s">
        <v>1425</v>
      </c>
      <c r="D17" s="1002">
        <f>SUM(D8:D16)</f>
        <v>0.37800000000000006</v>
      </c>
    </row>
    <row r="18" spans="2:4" ht="6.75" customHeight="1">
      <c r="B18" s="996"/>
      <c r="D18" s="997"/>
    </row>
    <row r="19" spans="2:4">
      <c r="B19" s="1587" t="s">
        <v>1387</v>
      </c>
      <c r="C19" s="1588"/>
      <c r="D19" s="1589"/>
    </row>
    <row r="20" spans="2:4">
      <c r="B20" s="998" t="s">
        <v>1388</v>
      </c>
      <c r="C20" s="999" t="s">
        <v>1399</v>
      </c>
      <c r="D20" s="1000">
        <v>0</v>
      </c>
    </row>
    <row r="21" spans="2:4">
      <c r="B21" s="998" t="s">
        <v>1389</v>
      </c>
      <c r="C21" s="999" t="s">
        <v>1400</v>
      </c>
      <c r="D21" s="1000">
        <v>0</v>
      </c>
    </row>
    <row r="22" spans="2:4">
      <c r="B22" s="998" t="s">
        <v>1390</v>
      </c>
      <c r="C22" s="999" t="s">
        <v>1401</v>
      </c>
      <c r="D22" s="1022">
        <v>6.4000000000000003E-3</v>
      </c>
    </row>
    <row r="23" spans="2:4">
      <c r="B23" s="998" t="s">
        <v>1391</v>
      </c>
      <c r="C23" s="999" t="s">
        <v>1402</v>
      </c>
      <c r="D23" s="1000">
        <v>8.3299999999999999E-2</v>
      </c>
    </row>
    <row r="24" spans="2:4">
      <c r="B24" s="998" t="s">
        <v>1392</v>
      </c>
      <c r="C24" s="999" t="s">
        <v>1403</v>
      </c>
      <c r="D24" s="1022">
        <v>4.0000000000000002E-4</v>
      </c>
    </row>
    <row r="25" spans="2:4">
      <c r="B25" s="998" t="s">
        <v>1393</v>
      </c>
      <c r="C25" s="999" t="s">
        <v>1404</v>
      </c>
      <c r="D25" s="1022">
        <v>5.5999999999999999E-3</v>
      </c>
    </row>
    <row r="26" spans="2:4">
      <c r="B26" s="998" t="s">
        <v>1394</v>
      </c>
      <c r="C26" s="999" t="s">
        <v>1405</v>
      </c>
      <c r="D26" s="1000">
        <v>0</v>
      </c>
    </row>
    <row r="27" spans="2:4">
      <c r="B27" s="998" t="s">
        <v>1395</v>
      </c>
      <c r="C27" s="999" t="s">
        <v>1406</v>
      </c>
      <c r="D27" s="1022">
        <v>8.0000000000000004E-4</v>
      </c>
    </row>
    <row r="28" spans="2:4">
      <c r="B28" s="998" t="s">
        <v>1396</v>
      </c>
      <c r="C28" s="999" t="s">
        <v>1407</v>
      </c>
      <c r="D28" s="1000">
        <v>8.8499999999999995E-2</v>
      </c>
    </row>
    <row r="29" spans="2:4">
      <c r="B29" s="998" t="s">
        <v>1397</v>
      </c>
      <c r="C29" s="999" t="s">
        <v>1408</v>
      </c>
      <c r="D29" s="1022">
        <v>2.9999999999999997E-4</v>
      </c>
    </row>
    <row r="30" spans="2:4">
      <c r="B30" s="998"/>
      <c r="C30" s="1001" t="s">
        <v>1425</v>
      </c>
      <c r="D30" s="1002">
        <f>SUM(D20:D29)</f>
        <v>0.18529999999999999</v>
      </c>
    </row>
    <row r="31" spans="2:4" ht="6.75" customHeight="1">
      <c r="B31" s="996"/>
      <c r="D31" s="1003"/>
    </row>
    <row r="32" spans="2:4">
      <c r="B32" s="1587" t="s">
        <v>1409</v>
      </c>
      <c r="C32" s="1588"/>
      <c r="D32" s="1589"/>
    </row>
    <row r="33" spans="2:4">
      <c r="B33" s="998" t="s">
        <v>1410</v>
      </c>
      <c r="C33" s="999" t="s">
        <v>1415</v>
      </c>
      <c r="D33" s="1022">
        <v>3.6400000000000002E-2</v>
      </c>
    </row>
    <row r="34" spans="2:4">
      <c r="B34" s="998" t="s">
        <v>1411</v>
      </c>
      <c r="C34" s="999" t="s">
        <v>1416</v>
      </c>
      <c r="D34" s="1022">
        <v>8.9999999999999998E-4</v>
      </c>
    </row>
    <row r="35" spans="2:4">
      <c r="B35" s="998" t="s">
        <v>1412</v>
      </c>
      <c r="C35" s="999" t="s">
        <v>1417</v>
      </c>
      <c r="D35" s="1022">
        <v>1.7600000000000001E-2</v>
      </c>
    </row>
    <row r="36" spans="2:4">
      <c r="B36" s="998" t="s">
        <v>1413</v>
      </c>
      <c r="C36" s="999" t="s">
        <v>1418</v>
      </c>
      <c r="D36" s="1022">
        <v>0.02</v>
      </c>
    </row>
    <row r="37" spans="2:4">
      <c r="B37" s="998" t="s">
        <v>1414</v>
      </c>
      <c r="C37" s="999" t="s">
        <v>1419</v>
      </c>
      <c r="D37" s="1022">
        <v>3.0999999999999999E-3</v>
      </c>
    </row>
    <row r="38" spans="2:4">
      <c r="B38" s="998"/>
      <c r="C38" s="1001" t="s">
        <v>1425</v>
      </c>
      <c r="D38" s="1002">
        <f>SUM(D33:D37)</f>
        <v>7.8000000000000014E-2</v>
      </c>
    </row>
    <row r="39" spans="2:4" ht="6.75" customHeight="1">
      <c r="B39" s="996"/>
      <c r="D39" s="1003"/>
    </row>
    <row r="40" spans="2:4">
      <c r="B40" s="1587" t="s">
        <v>1420</v>
      </c>
      <c r="C40" s="1588"/>
      <c r="D40" s="1589"/>
    </row>
    <row r="41" spans="2:4">
      <c r="B41" s="998" t="s">
        <v>1421</v>
      </c>
      <c r="C41" s="999" t="s">
        <v>1423</v>
      </c>
      <c r="D41" s="1220">
        <v>7.0000000000000007E-2</v>
      </c>
    </row>
    <row r="42" spans="2:4" ht="39">
      <c r="B42" s="998" t="s">
        <v>1422</v>
      </c>
      <c r="C42" s="1004" t="s">
        <v>1424</v>
      </c>
      <c r="D42" s="1221">
        <v>3.3E-3</v>
      </c>
    </row>
    <row r="43" spans="2:4">
      <c r="B43" s="998"/>
      <c r="C43" s="1001" t="s">
        <v>1425</v>
      </c>
      <c r="D43" s="1002">
        <f>SUM(D41:D42)</f>
        <v>7.3300000000000004E-2</v>
      </c>
    </row>
    <row r="44" spans="2:4" ht="6.75" customHeight="1">
      <c r="B44" s="996"/>
      <c r="D44" s="1003"/>
    </row>
    <row r="45" spans="2:4" ht="15.75" thickBot="1">
      <c r="B45" s="1005"/>
      <c r="C45" s="1006" t="s">
        <v>238</v>
      </c>
      <c r="D45" s="1007">
        <f>D43+D38+D30+D17</f>
        <v>0.71460000000000012</v>
      </c>
    </row>
    <row r="46" spans="2:4">
      <c r="B46" s="955" t="s">
        <v>1541</v>
      </c>
      <c r="D46" s="1008"/>
    </row>
    <row r="47" spans="2:4">
      <c r="D47" s="1008"/>
    </row>
    <row r="48" spans="2:4">
      <c r="D48" s="1008"/>
    </row>
    <row r="49" spans="4:4">
      <c r="D49" s="1008"/>
    </row>
    <row r="50" spans="4:4">
      <c r="D50" s="1008"/>
    </row>
    <row r="51" spans="4:4">
      <c r="D51" s="1008"/>
    </row>
    <row r="52" spans="4:4">
      <c r="D52" s="1008"/>
    </row>
    <row r="53" spans="4:4">
      <c r="D53" s="1008"/>
    </row>
    <row r="54" spans="4:4">
      <c r="D54" s="1008"/>
    </row>
    <row r="55" spans="4:4">
      <c r="D55" s="1008"/>
    </row>
    <row r="56" spans="4:4">
      <c r="D56" s="1008"/>
    </row>
    <row r="57" spans="4:4">
      <c r="D57" s="1008"/>
    </row>
    <row r="58" spans="4:4">
      <c r="D58" s="1008"/>
    </row>
    <row r="59" spans="4:4">
      <c r="D59" s="1008"/>
    </row>
    <row r="60" spans="4:4">
      <c r="D60" s="1008"/>
    </row>
    <row r="61" spans="4:4">
      <c r="D61" s="1008"/>
    </row>
    <row r="62" spans="4:4">
      <c r="D62" s="1008"/>
    </row>
    <row r="63" spans="4:4">
      <c r="D63" s="1008"/>
    </row>
    <row r="64" spans="4:4">
      <c r="D64" s="1008"/>
    </row>
    <row r="65" spans="4:4">
      <c r="D65" s="1008"/>
    </row>
    <row r="66" spans="4:4">
      <c r="D66" s="1008"/>
    </row>
    <row r="67" spans="4:4">
      <c r="D67" s="1008"/>
    </row>
    <row r="68" spans="4:4">
      <c r="D68" s="1008"/>
    </row>
    <row r="69" spans="4:4">
      <c r="D69" s="1008"/>
    </row>
    <row r="70" spans="4:4">
      <c r="D70" s="1008"/>
    </row>
    <row r="71" spans="4:4">
      <c r="D71" s="1008"/>
    </row>
    <row r="72" spans="4:4">
      <c r="D72" s="1008"/>
    </row>
    <row r="73" spans="4:4">
      <c r="D73" s="1008"/>
    </row>
    <row r="74" spans="4:4">
      <c r="D74" s="1008"/>
    </row>
    <row r="75" spans="4:4">
      <c r="D75" s="1008"/>
    </row>
    <row r="76" spans="4:4">
      <c r="D76" s="1008"/>
    </row>
    <row r="77" spans="4:4">
      <c r="D77" s="1008"/>
    </row>
    <row r="78" spans="4:4">
      <c r="D78" s="1008"/>
    </row>
    <row r="79" spans="4:4">
      <c r="D79" s="1008"/>
    </row>
    <row r="80" spans="4:4">
      <c r="D80" s="1008"/>
    </row>
    <row r="81" spans="4:4">
      <c r="D81" s="1008"/>
    </row>
    <row r="82" spans="4:4">
      <c r="D82" s="1008"/>
    </row>
    <row r="83" spans="4:4">
      <c r="D83" s="1008"/>
    </row>
    <row r="84" spans="4:4">
      <c r="D84" s="1008"/>
    </row>
    <row r="85" spans="4:4">
      <c r="D85" s="1008"/>
    </row>
    <row r="86" spans="4:4">
      <c r="D86" s="1008"/>
    </row>
    <row r="87" spans="4:4">
      <c r="D87" s="1008"/>
    </row>
    <row r="88" spans="4:4">
      <c r="D88" s="1008"/>
    </row>
    <row r="89" spans="4:4">
      <c r="D89" s="1008"/>
    </row>
    <row r="90" spans="4:4">
      <c r="D90" s="1008"/>
    </row>
    <row r="91" spans="4:4">
      <c r="D91" s="1008"/>
    </row>
    <row r="92" spans="4:4">
      <c r="D92" s="1008"/>
    </row>
    <row r="93" spans="4:4">
      <c r="D93" s="1008"/>
    </row>
    <row r="94" spans="4:4">
      <c r="D94" s="1008"/>
    </row>
    <row r="95" spans="4:4">
      <c r="D95" s="1008"/>
    </row>
    <row r="96" spans="4:4">
      <c r="D96" s="1008"/>
    </row>
    <row r="97" spans="4:4">
      <c r="D97" s="1008"/>
    </row>
    <row r="98" spans="4:4">
      <c r="D98" s="1008"/>
    </row>
    <row r="99" spans="4:4">
      <c r="D99" s="1008"/>
    </row>
    <row r="100" spans="4:4">
      <c r="D100" s="1008"/>
    </row>
    <row r="101" spans="4:4">
      <c r="D101" s="1008"/>
    </row>
    <row r="102" spans="4:4">
      <c r="D102" s="1008"/>
    </row>
    <row r="103" spans="4:4">
      <c r="D103" s="1008"/>
    </row>
    <row r="104" spans="4:4">
      <c r="D104" s="1008"/>
    </row>
    <row r="105" spans="4:4">
      <c r="D105" s="1008"/>
    </row>
    <row r="106" spans="4:4">
      <c r="D106" s="1008"/>
    </row>
  </sheetData>
  <protectedRanges>
    <protectedRange sqref="D22 D24:D25 D27 D29 D33:D37" name="Intervalo1"/>
  </protectedRanges>
  <mergeCells count="6">
    <mergeCell ref="B3:D3"/>
    <mergeCell ref="B7:D7"/>
    <mergeCell ref="B19:D19"/>
    <mergeCell ref="B32:D32"/>
    <mergeCell ref="B40:D40"/>
    <mergeCell ref="B5:D5"/>
  </mergeCells>
  <phoneticPr fontId="27" type="noConversion"/>
  <printOptions horizontalCentered="1"/>
  <pageMargins left="0.59055118110236227" right="0.39370078740157483" top="1.1811023622047245" bottom="0.78740157480314965" header="0.31496062992125984" footer="0.31496062992125984"/>
  <pageSetup paperSize="9" orientation="portrait" r:id="rId1"/>
  <headerFooter>
    <oddHeader>&amp;L&amp;G&amp;C&amp;"Times New Roman,Negrito itálico"&amp;14Estado de Mato Grosso do Sul
Prefeitura Municipal de Cassilândia/MS
&amp;R&amp;G</oddHeader>
    <oddFooter>&amp;C&amp;"Times New Roman,Normal"&amp;10&amp;K130BB5Rua Domingos de Souza França, nº420 – Centro - (67) 3596-1301 – Cassilândia – MS</oddFooter>
  </headerFooter>
  <legacyDrawingHF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B1:R338"/>
  <sheetViews>
    <sheetView showGridLines="0" view="pageBreakPreview" zoomScale="60" zoomScaleNormal="90" zoomScalePageLayoutView="85" workbookViewId="0">
      <selection activeCell="P211" sqref="P211"/>
    </sheetView>
  </sheetViews>
  <sheetFormatPr defaultRowHeight="15"/>
  <cols>
    <col min="2" max="2" width="14.85546875" customWidth="1"/>
    <col min="3" max="3" width="14.140625" customWidth="1"/>
    <col min="4" max="4" width="10" customWidth="1"/>
    <col min="5" max="5" width="21.28515625" customWidth="1"/>
    <col min="6" max="6" width="20" customWidth="1"/>
    <col min="7" max="7" width="17.42578125" customWidth="1"/>
    <col min="8" max="8" width="14" customWidth="1"/>
    <col min="9" max="9" width="10" bestFit="1" customWidth="1"/>
    <col min="12" max="12" width="9.140625" style="73"/>
    <col min="15" max="15" width="39" bestFit="1" customWidth="1"/>
    <col min="16" max="16" width="25.5703125" bestFit="1" customWidth="1"/>
    <col min="17" max="17" width="16.85546875" bestFit="1" customWidth="1"/>
  </cols>
  <sheetData>
    <row r="1" spans="2:17" ht="18.75">
      <c r="B1" s="306" t="s">
        <v>1319</v>
      </c>
      <c r="D1" s="307"/>
      <c r="E1" s="307"/>
      <c r="F1" s="307"/>
      <c r="G1" s="307"/>
      <c r="H1" s="307"/>
      <c r="I1" s="307"/>
    </row>
    <row r="2" spans="2:17">
      <c r="B2" s="307"/>
      <c r="C2" s="307"/>
      <c r="D2" s="307"/>
      <c r="E2" s="307"/>
      <c r="F2" s="307"/>
      <c r="G2" s="307"/>
      <c r="H2" s="307"/>
      <c r="I2" s="307"/>
    </row>
    <row r="3" spans="2:17">
      <c r="B3" s="309" t="s">
        <v>1301</v>
      </c>
      <c r="C3" s="307"/>
      <c r="D3" s="307"/>
      <c r="E3" s="307"/>
      <c r="F3" s="307"/>
      <c r="G3" s="308" t="s">
        <v>891</v>
      </c>
      <c r="H3" s="307">
        <v>25.33</v>
      </c>
      <c r="I3" s="779"/>
      <c r="O3" s="504"/>
      <c r="P3" s="504"/>
      <c r="Q3" s="504"/>
    </row>
    <row r="4" spans="2:17" ht="15.75" thickBot="1">
      <c r="B4" s="307"/>
      <c r="C4" s="307"/>
      <c r="D4" s="307"/>
      <c r="E4" s="307"/>
      <c r="F4" s="307"/>
      <c r="G4" s="307"/>
      <c r="H4" s="307"/>
      <c r="I4" s="307"/>
      <c r="O4" s="504"/>
      <c r="P4" s="504"/>
      <c r="Q4" s="504"/>
    </row>
    <row r="5" spans="2:17">
      <c r="B5" s="315" t="s">
        <v>1061</v>
      </c>
      <c r="C5" s="316"/>
      <c r="D5" s="316"/>
      <c r="E5" s="316"/>
      <c r="F5" s="316"/>
      <c r="G5" s="511">
        <f>ROUND(P6*E55,0)</f>
        <v>1</v>
      </c>
      <c r="H5" s="307"/>
      <c r="I5" s="307"/>
      <c r="L5" s="892" t="s">
        <v>1063</v>
      </c>
      <c r="P5" s="510">
        <f>'1.VARRICAO_MAN'!D45+'2.ROC_MEC_CAP_RASP'!E28+'2.ROC_MEC_CAP_RASP'!E225+'2.ROC_MEC_CAP_RASP'!E461+'3.PINTURA_MEIO-FIO'!E20+'4.LIMP_EVENTOS'!E23</f>
        <v>8</v>
      </c>
      <c r="Q5" s="504"/>
    </row>
    <row r="6" spans="2:17">
      <c r="B6" s="318" t="s">
        <v>1062</v>
      </c>
      <c r="C6" s="307"/>
      <c r="D6" s="307"/>
      <c r="E6" s="307"/>
      <c r="F6" s="307"/>
      <c r="G6" s="512">
        <v>1</v>
      </c>
      <c r="H6" s="307"/>
      <c r="I6" s="307"/>
      <c r="L6" s="892" t="s">
        <v>1093</v>
      </c>
      <c r="P6" s="510">
        <f>'1.VARRICAO_MAN'!D47+'2.ROC_MEC_CAP_RASP'!E30+'2.ROC_MEC_CAP_RASP'!E227+'2.ROC_MEC_CAP_RASP'!E463+'3.PINTURA_MEIO-FIO'!E23+'4.LIMP_EVENTOS'!E25+ANEXO_IIIa_COLETA_TRANSP_SEDE!E27</f>
        <v>103</v>
      </c>
      <c r="Q6" s="504"/>
    </row>
    <row r="7" spans="2:17" ht="15.75" thickBot="1">
      <c r="B7" s="320" t="s">
        <v>1065</v>
      </c>
      <c r="C7" s="321"/>
      <c r="D7" s="321"/>
      <c r="E7" s="321"/>
      <c r="F7" s="321"/>
      <c r="G7" s="513">
        <f>D17</f>
        <v>1</v>
      </c>
      <c r="H7" s="307"/>
      <c r="I7" s="307"/>
      <c r="L7" s="892" t="s">
        <v>1105</v>
      </c>
      <c r="P7" s="504"/>
      <c r="Q7" s="504"/>
    </row>
    <row r="8" spans="2:17">
      <c r="H8" s="307"/>
      <c r="I8" s="307"/>
      <c r="O8" s="504"/>
      <c r="P8" s="504"/>
      <c r="Q8" s="504"/>
    </row>
    <row r="9" spans="2:17">
      <c r="B9" s="307"/>
      <c r="C9" s="307"/>
      <c r="D9" s="307"/>
      <c r="E9" s="307"/>
      <c r="F9" s="307"/>
      <c r="G9" s="307"/>
      <c r="H9" s="307"/>
      <c r="I9" s="307"/>
      <c r="O9" s="504"/>
      <c r="P9" s="504"/>
      <c r="Q9" s="504"/>
    </row>
    <row r="10" spans="2:17">
      <c r="B10" s="309" t="s">
        <v>959</v>
      </c>
      <c r="C10" s="307"/>
      <c r="D10" s="307"/>
      <c r="E10" s="307"/>
      <c r="F10" s="307"/>
      <c r="G10" s="307"/>
      <c r="H10" s="307"/>
      <c r="I10" s="307"/>
      <c r="O10" s="504"/>
      <c r="P10" s="504"/>
      <c r="Q10" s="504"/>
    </row>
    <row r="11" spans="2:17">
      <c r="B11" s="307"/>
      <c r="C11" s="307"/>
      <c r="D11" s="307"/>
      <c r="E11" s="307"/>
      <c r="F11" s="307"/>
      <c r="G11" s="307"/>
      <c r="H11" s="307"/>
      <c r="I11" s="307"/>
      <c r="O11" s="504"/>
      <c r="P11" s="506"/>
      <c r="Q11" s="504"/>
    </row>
    <row r="12" spans="2:17">
      <c r="B12" s="726" t="s">
        <v>576</v>
      </c>
      <c r="C12" s="726"/>
      <c r="D12" s="821">
        <v>0</v>
      </c>
      <c r="E12" s="307"/>
      <c r="G12" s="307"/>
      <c r="H12" s="307"/>
      <c r="I12" s="307"/>
    </row>
    <row r="13" spans="2:17" ht="15.75" thickBot="1">
      <c r="B13" s="307"/>
      <c r="C13" s="307"/>
      <c r="D13" s="307"/>
      <c r="E13" s="307"/>
      <c r="F13" s="307"/>
      <c r="G13" s="307"/>
      <c r="H13" s="307"/>
      <c r="I13" s="307"/>
    </row>
    <row r="14" spans="2:17">
      <c r="B14" s="311" t="s">
        <v>705</v>
      </c>
      <c r="C14" s="312"/>
      <c r="D14" s="860">
        <f>SUM(G5:G6)</f>
        <v>2</v>
      </c>
      <c r="E14" s="307"/>
      <c r="F14" s="307"/>
      <c r="G14" s="307"/>
      <c r="H14" s="307"/>
      <c r="I14" s="307"/>
      <c r="O14" s="504"/>
      <c r="P14" s="504"/>
      <c r="Q14" s="504"/>
    </row>
    <row r="15" spans="2:17">
      <c r="B15" s="311" t="s">
        <v>1245</v>
      </c>
      <c r="C15" s="312"/>
      <c r="D15" s="822">
        <v>1</v>
      </c>
      <c r="E15" s="307"/>
      <c r="F15" s="307"/>
      <c r="G15" s="307"/>
      <c r="H15" s="307"/>
      <c r="I15" s="307"/>
      <c r="Q15" s="504"/>
    </row>
    <row r="16" spans="2:17">
      <c r="B16" s="311" t="s">
        <v>1037</v>
      </c>
      <c r="C16" s="312"/>
      <c r="D16" s="822">
        <f>D15*2</f>
        <v>2</v>
      </c>
      <c r="E16" s="307"/>
      <c r="F16" s="307"/>
      <c r="G16" s="307"/>
      <c r="H16" s="307"/>
      <c r="I16" s="307"/>
      <c r="Q16" s="504"/>
    </row>
    <row r="17" spans="2:17">
      <c r="B17" s="311" t="s">
        <v>1064</v>
      </c>
      <c r="C17" s="312"/>
      <c r="D17" s="822">
        <f>ROUND(P5/7,0)</f>
        <v>1</v>
      </c>
      <c r="E17" s="307"/>
      <c r="F17" s="307"/>
      <c r="G17" s="307"/>
      <c r="H17" s="307"/>
      <c r="I17" s="307"/>
      <c r="Q17" s="504"/>
    </row>
    <row r="18" spans="2:17" ht="26.25" customHeight="1">
      <c r="B18" s="1464" t="s">
        <v>1094</v>
      </c>
      <c r="C18" s="1466"/>
      <c r="D18" s="774">
        <v>1</v>
      </c>
      <c r="E18" s="307"/>
      <c r="F18" s="307"/>
      <c r="G18" s="307"/>
      <c r="H18" s="307"/>
      <c r="I18" s="307"/>
      <c r="Q18" s="504"/>
    </row>
    <row r="19" spans="2:17">
      <c r="B19" s="905" t="s">
        <v>1321</v>
      </c>
      <c r="C19" s="906"/>
      <c r="D19" s="416">
        <v>1</v>
      </c>
      <c r="E19" s="307"/>
      <c r="F19" s="307"/>
      <c r="G19" s="307"/>
      <c r="H19" s="307"/>
      <c r="I19" s="307"/>
      <c r="Q19" s="504"/>
    </row>
    <row r="20" spans="2:17" ht="15.75" thickBot="1">
      <c r="B20" s="311" t="s">
        <v>555</v>
      </c>
      <c r="C20" s="312"/>
      <c r="D20" s="491">
        <f>D12</f>
        <v>0</v>
      </c>
      <c r="E20" s="307"/>
      <c r="F20" s="307"/>
      <c r="G20" s="322"/>
      <c r="I20" s="307"/>
      <c r="Q20" s="504"/>
    </row>
    <row r="21" spans="2:17" ht="15.75" thickBot="1">
      <c r="B21" s="348" t="s">
        <v>1180</v>
      </c>
      <c r="C21" s="324"/>
      <c r="D21" s="323">
        <f>SUM(D14:D20)</f>
        <v>8</v>
      </c>
      <c r="E21" s="307"/>
      <c r="F21" s="307"/>
      <c r="G21" s="307"/>
      <c r="H21" s="307"/>
      <c r="I21" s="307"/>
      <c r="O21" s="504"/>
      <c r="P21" s="504"/>
      <c r="Q21" s="504"/>
    </row>
    <row r="22" spans="2:17">
      <c r="B22" s="307"/>
      <c r="C22" s="307"/>
      <c r="D22" s="307"/>
      <c r="E22" s="307"/>
      <c r="F22" s="307"/>
      <c r="G22" s="307"/>
      <c r="H22" s="307"/>
      <c r="I22" s="307"/>
      <c r="O22" s="504"/>
      <c r="P22" s="504"/>
      <c r="Q22" s="504"/>
    </row>
    <row r="23" spans="2:17">
      <c r="B23" s="309" t="s">
        <v>960</v>
      </c>
      <c r="C23" s="307"/>
      <c r="D23" s="307"/>
      <c r="E23" s="307"/>
      <c r="F23" s="307"/>
      <c r="G23" s="307"/>
      <c r="H23" s="307"/>
      <c r="I23" s="307"/>
      <c r="O23" s="504"/>
      <c r="P23" s="504"/>
      <c r="Q23" s="504"/>
    </row>
    <row r="24" spans="2:17">
      <c r="B24" s="307"/>
      <c r="C24" s="307"/>
      <c r="D24" s="307"/>
      <c r="E24" s="307"/>
      <c r="F24" s="307"/>
      <c r="G24" s="307"/>
      <c r="H24" s="307"/>
      <c r="I24" s="307"/>
      <c r="O24" s="504"/>
      <c r="P24" s="504"/>
      <c r="Q24" s="504"/>
    </row>
    <row r="25" spans="2:17" ht="15.75" thickBot="1">
      <c r="B25" s="309" t="s">
        <v>565</v>
      </c>
      <c r="C25" s="307"/>
      <c r="D25" s="307"/>
      <c r="E25" s="307"/>
      <c r="F25" s="307"/>
      <c r="G25" s="307"/>
      <c r="H25" s="307"/>
      <c r="I25" s="307"/>
      <c r="O25" s="504"/>
      <c r="P25" s="504"/>
      <c r="Q25" s="504"/>
    </row>
    <row r="26" spans="2:17">
      <c r="B26" s="348" t="s">
        <v>900</v>
      </c>
      <c r="C26" s="732"/>
      <c r="D26" s="732"/>
      <c r="E26" s="348" t="s">
        <v>901</v>
      </c>
      <c r="F26" s="732"/>
      <c r="G26" s="359"/>
      <c r="H26" s="733" t="s">
        <v>584</v>
      </c>
      <c r="I26" s="307"/>
      <c r="O26" s="504"/>
      <c r="P26" s="504"/>
      <c r="Q26" s="504"/>
    </row>
    <row r="27" spans="2:17" ht="15.75" thickBot="1">
      <c r="B27" s="320"/>
      <c r="C27" s="321"/>
      <c r="D27" s="334"/>
      <c r="E27" s="799"/>
      <c r="F27" s="494"/>
      <c r="G27" s="321"/>
      <c r="H27" s="335"/>
      <c r="I27" s="307"/>
      <c r="O27" s="504"/>
      <c r="P27" s="504"/>
      <c r="Q27" s="504"/>
    </row>
    <row r="28" spans="2:17">
      <c r="B28" s="337" t="s">
        <v>595</v>
      </c>
      <c r="C28" s="307"/>
      <c r="D28" s="307"/>
      <c r="E28" s="307"/>
      <c r="F28" s="307"/>
      <c r="G28" s="307"/>
      <c r="H28" s="307"/>
      <c r="I28" s="307"/>
      <c r="O28" s="504"/>
      <c r="P28" s="504"/>
      <c r="Q28" s="504"/>
    </row>
    <row r="29" spans="2:17">
      <c r="B29" s="337"/>
      <c r="C29" s="307"/>
      <c r="D29" s="307"/>
      <c r="E29" s="307"/>
      <c r="F29" s="307"/>
      <c r="G29" s="307"/>
      <c r="H29" s="307"/>
      <c r="I29" s="307"/>
    </row>
    <row r="30" spans="2:17" ht="15.75" thickBot="1">
      <c r="B30" s="309" t="s">
        <v>547</v>
      </c>
      <c r="C30" s="307"/>
      <c r="D30" s="307"/>
      <c r="E30" s="307"/>
      <c r="F30" s="307"/>
      <c r="G30" s="307"/>
      <c r="H30" s="307"/>
      <c r="I30" s="307"/>
    </row>
    <row r="31" spans="2:17">
      <c r="B31" s="348" t="s">
        <v>900</v>
      </c>
      <c r="C31" s="732"/>
      <c r="D31" s="732"/>
      <c r="E31" s="348" t="s">
        <v>901</v>
      </c>
      <c r="F31" s="732"/>
      <c r="G31" s="747" t="s">
        <v>1163</v>
      </c>
      <c r="H31" s="733" t="s">
        <v>384</v>
      </c>
      <c r="I31" s="307"/>
    </row>
    <row r="32" spans="2:17" ht="15.75" thickBot="1">
      <c r="B32" s="311"/>
      <c r="C32" s="312"/>
      <c r="D32" s="324"/>
      <c r="E32" s="861"/>
      <c r="F32" s="495"/>
      <c r="G32" s="496"/>
      <c r="H32" s="497"/>
      <c r="I32" s="307"/>
    </row>
    <row r="33" spans="2:12">
      <c r="B33" s="337" t="s">
        <v>595</v>
      </c>
      <c r="C33" s="307"/>
      <c r="D33" s="307"/>
      <c r="E33" s="307"/>
      <c r="F33" s="307"/>
      <c r="G33" s="307"/>
      <c r="H33" s="307"/>
      <c r="I33" s="307"/>
    </row>
    <row r="34" spans="2:12">
      <c r="B34" s="337"/>
      <c r="C34" s="307"/>
      <c r="D34" s="307"/>
      <c r="E34" s="307"/>
      <c r="F34" s="307"/>
      <c r="G34" s="307"/>
      <c r="H34" s="307"/>
      <c r="I34" s="307"/>
    </row>
    <row r="35" spans="2:12" ht="15.75" thickBot="1">
      <c r="B35" s="309" t="s">
        <v>442</v>
      </c>
      <c r="C35" s="307"/>
      <c r="D35" s="307"/>
      <c r="E35" s="307"/>
      <c r="F35" s="307"/>
      <c r="G35" s="307"/>
      <c r="H35" s="307"/>
      <c r="I35" s="307"/>
    </row>
    <row r="36" spans="2:12">
      <c r="B36" s="348" t="s">
        <v>900</v>
      </c>
      <c r="C36" s="732"/>
      <c r="D36" s="732"/>
      <c r="E36" s="348" t="s">
        <v>901</v>
      </c>
      <c r="F36" s="732"/>
      <c r="G36" s="359"/>
      <c r="H36" s="733" t="s">
        <v>584</v>
      </c>
      <c r="I36" s="307"/>
    </row>
    <row r="37" spans="2:12">
      <c r="B37" s="315" t="s">
        <v>566</v>
      </c>
      <c r="C37" s="316"/>
      <c r="D37" s="328"/>
      <c r="E37" s="862">
        <v>1</v>
      </c>
      <c r="F37" s="340" t="s">
        <v>701</v>
      </c>
      <c r="G37" s="316"/>
      <c r="H37" s="342">
        <f t="shared" ref="H37:H45" si="0">TRUNC(E37*$D$21/12,2)</f>
        <v>0.66</v>
      </c>
      <c r="I37" s="307"/>
      <c r="L37" s="879" t="s">
        <v>1222</v>
      </c>
    </row>
    <row r="38" spans="2:12">
      <c r="B38" s="318" t="s">
        <v>492</v>
      </c>
      <c r="C38" s="307"/>
      <c r="D38" s="331"/>
      <c r="E38" s="863">
        <v>3</v>
      </c>
      <c r="F38" s="343" t="s">
        <v>701</v>
      </c>
      <c r="G38" s="307"/>
      <c r="H38" s="319">
        <f t="shared" si="0"/>
        <v>2</v>
      </c>
      <c r="I38" s="307"/>
      <c r="L38" s="879" t="s">
        <v>1201</v>
      </c>
    </row>
    <row r="39" spans="2:12">
      <c r="B39" s="318" t="s">
        <v>493</v>
      </c>
      <c r="C39" s="307"/>
      <c r="D39" s="331"/>
      <c r="E39" s="863">
        <v>3</v>
      </c>
      <c r="F39" s="343" t="s">
        <v>701</v>
      </c>
      <c r="G39" s="307"/>
      <c r="H39" s="319">
        <f t="shared" si="0"/>
        <v>2</v>
      </c>
      <c r="I39" s="307"/>
      <c r="L39" s="879" t="s">
        <v>1201</v>
      </c>
    </row>
    <row r="40" spans="2:12">
      <c r="B40" s="318" t="s">
        <v>494</v>
      </c>
      <c r="C40" s="307"/>
      <c r="D40" s="331"/>
      <c r="E40" s="863">
        <v>2</v>
      </c>
      <c r="F40" s="343" t="s">
        <v>701</v>
      </c>
      <c r="G40" s="307"/>
      <c r="H40" s="319">
        <f t="shared" si="0"/>
        <v>1.33</v>
      </c>
      <c r="I40" s="307"/>
      <c r="L40" s="879" t="s">
        <v>1201</v>
      </c>
    </row>
    <row r="41" spans="2:12" ht="24.75" customHeight="1">
      <c r="B41" s="1445" t="s">
        <v>502</v>
      </c>
      <c r="C41" s="1446"/>
      <c r="D41" s="1447"/>
      <c r="E41" s="798">
        <v>3</v>
      </c>
      <c r="F41" s="381" t="s">
        <v>702</v>
      </c>
      <c r="G41" s="370"/>
      <c r="H41" s="376">
        <f t="shared" si="0"/>
        <v>2</v>
      </c>
      <c r="I41" s="307"/>
      <c r="L41" s="879" t="s">
        <v>1201</v>
      </c>
    </row>
    <row r="42" spans="2:12">
      <c r="B42" s="318" t="s">
        <v>496</v>
      </c>
      <c r="C42" s="307"/>
      <c r="D42" s="331"/>
      <c r="E42" s="863">
        <v>2</v>
      </c>
      <c r="F42" s="343" t="s">
        <v>701</v>
      </c>
      <c r="G42" s="307"/>
      <c r="H42" s="319">
        <f t="shared" si="0"/>
        <v>1.33</v>
      </c>
      <c r="I42" s="307"/>
      <c r="L42" s="879" t="s">
        <v>1201</v>
      </c>
    </row>
    <row r="43" spans="2:12">
      <c r="B43" s="318" t="s">
        <v>497</v>
      </c>
      <c r="C43" s="307"/>
      <c r="D43" s="331"/>
      <c r="E43" s="863">
        <v>2</v>
      </c>
      <c r="F43" s="343" t="s">
        <v>701</v>
      </c>
      <c r="G43" s="307"/>
      <c r="H43" s="319">
        <f t="shared" si="0"/>
        <v>1.33</v>
      </c>
      <c r="I43" s="307"/>
      <c r="L43" s="880" t="s">
        <v>1223</v>
      </c>
    </row>
    <row r="44" spans="2:12">
      <c r="B44" s="318" t="s">
        <v>498</v>
      </c>
      <c r="C44" s="307"/>
      <c r="D44" s="331"/>
      <c r="E44" s="863">
        <v>8</v>
      </c>
      <c r="F44" s="343" t="s">
        <v>702</v>
      </c>
      <c r="G44" s="307"/>
      <c r="H44" s="319">
        <f t="shared" si="0"/>
        <v>5.33</v>
      </c>
      <c r="I44" s="307"/>
      <c r="L44" s="879" t="s">
        <v>1201</v>
      </c>
    </row>
    <row r="45" spans="2:12" ht="15.75" thickBot="1">
      <c r="B45" s="320" t="s">
        <v>499</v>
      </c>
      <c r="C45" s="321"/>
      <c r="D45" s="334"/>
      <c r="E45" s="864">
        <v>12</v>
      </c>
      <c r="F45" s="332" t="s">
        <v>701</v>
      </c>
      <c r="G45" s="321"/>
      <c r="H45" s="335">
        <f t="shared" si="0"/>
        <v>8</v>
      </c>
      <c r="I45" s="307"/>
    </row>
    <row r="46" spans="2:12">
      <c r="B46" s="337" t="s">
        <v>595</v>
      </c>
    </row>
    <row r="47" spans="2:12">
      <c r="B47" s="337"/>
    </row>
    <row r="48" spans="2:12" ht="15.75" thickBot="1">
      <c r="B48" s="309" t="s">
        <v>1161</v>
      </c>
      <c r="C48" s="307"/>
      <c r="D48" s="307"/>
      <c r="E48" s="307"/>
      <c r="F48" s="307"/>
      <c r="G48" s="307"/>
      <c r="H48" s="307"/>
    </row>
    <row r="49" spans="2:12">
      <c r="B49" s="348" t="s">
        <v>900</v>
      </c>
      <c r="C49" s="732"/>
      <c r="D49" s="732"/>
      <c r="E49" s="348" t="s">
        <v>901</v>
      </c>
      <c r="F49" s="732"/>
      <c r="G49" s="359"/>
      <c r="H49" s="733" t="s">
        <v>584</v>
      </c>
    </row>
    <row r="50" spans="2:12" ht="15.75" thickBot="1">
      <c r="B50" s="320" t="s">
        <v>1038</v>
      </c>
      <c r="C50" s="321"/>
      <c r="D50" s="334"/>
      <c r="E50" s="799">
        <v>2</v>
      </c>
      <c r="F50" s="494" t="s">
        <v>1039</v>
      </c>
      <c r="G50" s="321"/>
      <c r="H50" s="335">
        <f>$G$5*E50/12</f>
        <v>0.16666666666666666</v>
      </c>
      <c r="L50" s="880" t="s">
        <v>1221</v>
      </c>
    </row>
    <row r="51" spans="2:12">
      <c r="B51" s="337" t="s">
        <v>595</v>
      </c>
    </row>
    <row r="53" spans="2:12" ht="15.75" thickBot="1">
      <c r="B53" s="309" t="s">
        <v>679</v>
      </c>
      <c r="C53" s="307"/>
      <c r="D53" s="307"/>
      <c r="E53" s="307"/>
      <c r="F53" s="307"/>
      <c r="G53" s="307"/>
      <c r="H53" s="307"/>
    </row>
    <row r="54" spans="2:12">
      <c r="B54" s="348" t="s">
        <v>900</v>
      </c>
      <c r="C54" s="732"/>
      <c r="D54" s="732"/>
      <c r="E54" s="348" t="s">
        <v>901</v>
      </c>
      <c r="F54" s="732"/>
      <c r="G54" s="747" t="s">
        <v>1163</v>
      </c>
      <c r="H54" s="733" t="s">
        <v>384</v>
      </c>
    </row>
    <row r="55" spans="2:12">
      <c r="B55" s="318" t="s">
        <v>1087</v>
      </c>
      <c r="C55" s="316"/>
      <c r="D55" s="853"/>
      <c r="E55" s="896">
        <f>1/80</f>
        <v>1.2500000000000001E-2</v>
      </c>
      <c r="F55" s="897" t="s">
        <v>1092</v>
      </c>
      <c r="G55" s="898">
        <f>7*12</f>
        <v>84</v>
      </c>
      <c r="H55" s="342">
        <f>G5</f>
        <v>1</v>
      </c>
      <c r="L55" s="880" t="s">
        <v>1221</v>
      </c>
    </row>
    <row r="56" spans="2:12">
      <c r="B56" s="318" t="s">
        <v>1088</v>
      </c>
      <c r="C56" s="307"/>
      <c r="D56" s="62"/>
      <c r="E56" s="899">
        <v>1</v>
      </c>
      <c r="F56" s="897" t="s">
        <v>1090</v>
      </c>
      <c r="G56" s="900">
        <f>6*12</f>
        <v>72</v>
      </c>
      <c r="H56" s="319">
        <f>G6</f>
        <v>1</v>
      </c>
      <c r="L56" s="880" t="s">
        <v>1221</v>
      </c>
    </row>
    <row r="57" spans="2:12" ht="15.75" thickBot="1">
      <c r="B57" s="320" t="s">
        <v>1089</v>
      </c>
      <c r="C57" s="321"/>
      <c r="D57" s="865"/>
      <c r="E57" s="901">
        <v>1</v>
      </c>
      <c r="F57" s="902" t="s">
        <v>1091</v>
      </c>
      <c r="G57" s="903">
        <v>36</v>
      </c>
      <c r="H57" s="335">
        <f>G7</f>
        <v>1</v>
      </c>
      <c r="L57" s="880" t="s">
        <v>1221</v>
      </c>
    </row>
    <row r="58" spans="2:12">
      <c r="B58" s="337" t="s">
        <v>595</v>
      </c>
      <c r="C58" s="307"/>
      <c r="D58" s="307"/>
      <c r="E58" s="307"/>
      <c r="F58" s="307"/>
      <c r="G58" s="307"/>
      <c r="H58" s="307"/>
    </row>
    <row r="60" spans="2:12" ht="15.75">
      <c r="B60" s="347" t="s">
        <v>961</v>
      </c>
      <c r="C60" s="307"/>
      <c r="D60" s="307"/>
      <c r="E60" s="307"/>
      <c r="F60" s="307"/>
      <c r="G60" s="307"/>
      <c r="H60" s="307"/>
    </row>
    <row r="61" spans="2:12">
      <c r="B61" s="309" t="s">
        <v>962</v>
      </c>
      <c r="C61" s="307"/>
      <c r="D61" s="307"/>
      <c r="E61" s="307"/>
      <c r="F61" s="307"/>
      <c r="G61" s="307"/>
      <c r="H61" s="307"/>
    </row>
    <row r="62" spans="2:12" ht="15.75" thickBot="1">
      <c r="B62" s="309" t="s">
        <v>1302</v>
      </c>
      <c r="C62" s="307"/>
      <c r="D62" s="307"/>
      <c r="E62" s="307"/>
      <c r="F62" s="307"/>
      <c r="G62" s="307"/>
      <c r="H62" s="307"/>
    </row>
    <row r="63" spans="2:12">
      <c r="B63" s="655" t="s">
        <v>729</v>
      </c>
      <c r="C63" s="656"/>
      <c r="D63" s="656"/>
      <c r="E63" s="656"/>
      <c r="F63" s="656"/>
      <c r="G63" s="657"/>
      <c r="H63" s="658">
        <f>H79+H81+H85+H87</f>
        <v>3945.52</v>
      </c>
    </row>
    <row r="64" spans="2:12">
      <c r="B64" s="659" t="str">
        <f>CONCATENATE("Salário - ",B63)</f>
        <v>Salário - Motorista</v>
      </c>
      <c r="C64" s="660"/>
      <c r="D64" s="661"/>
      <c r="E64" s="662" t="s">
        <v>466</v>
      </c>
      <c r="F64" s="662">
        <v>1</v>
      </c>
      <c r="G64" s="626">
        <f>VLOOKUP(B64,Tabela3[[#All],[descrição]:[fonte]],4,FALSE)</f>
        <v>1742.04</v>
      </c>
      <c r="H64" s="663">
        <f>TRUNC(F64*G64,2)</f>
        <v>1742.04</v>
      </c>
    </row>
    <row r="65" spans="2:8">
      <c r="B65" s="664" t="s">
        <v>855</v>
      </c>
      <c r="C65" s="665"/>
      <c r="D65" s="665"/>
      <c r="E65" s="666" t="s">
        <v>466</v>
      </c>
      <c r="F65" s="666">
        <v>1</v>
      </c>
      <c r="G65" s="626">
        <f>VLOOKUP(B65,Tabela3[[#All],[descrição]:[fonte]],4,FALSE)</f>
        <v>1045</v>
      </c>
      <c r="H65" s="667"/>
    </row>
    <row r="66" spans="2:8">
      <c r="B66" s="664" t="s">
        <v>468</v>
      </c>
      <c r="C66" s="665"/>
      <c r="D66" s="665"/>
      <c r="E66" s="666" t="s">
        <v>469</v>
      </c>
      <c r="F66" s="668"/>
      <c r="G66" s="669"/>
      <c r="H66" s="670"/>
    </row>
    <row r="67" spans="2:8">
      <c r="B67" s="664"/>
      <c r="C67" s="665"/>
      <c r="D67" s="665"/>
      <c r="E67" s="666" t="s">
        <v>470</v>
      </c>
      <c r="F67" s="626">
        <f>F66*8/7</f>
        <v>0</v>
      </c>
      <c r="G67" s="671">
        <f>G64/220*0.2</f>
        <v>1.5836727272727273</v>
      </c>
      <c r="H67" s="667">
        <f>TRUNC(F67*G67,2)</f>
        <v>0</v>
      </c>
    </row>
    <row r="68" spans="2:8">
      <c r="B68" s="664" t="s">
        <v>471</v>
      </c>
      <c r="C68" s="665"/>
      <c r="D68" s="665"/>
      <c r="E68" s="666" t="s">
        <v>472</v>
      </c>
      <c r="F68" s="668"/>
      <c r="G68" s="626">
        <f>G64/220*2</f>
        <v>15.836727272727272</v>
      </c>
      <c r="H68" s="667">
        <f>TRUNC(F68*G68,2)</f>
        <v>0</v>
      </c>
    </row>
    <row r="69" spans="2:8">
      <c r="B69" s="664" t="s">
        <v>473</v>
      </c>
      <c r="C69" s="665"/>
      <c r="D69" s="665"/>
      <c r="E69" s="666" t="s">
        <v>469</v>
      </c>
      <c r="F69" s="668"/>
      <c r="G69" s="626"/>
      <c r="H69" s="667"/>
    </row>
    <row r="70" spans="2:8">
      <c r="B70" s="664"/>
      <c r="C70" s="665"/>
      <c r="D70" s="665"/>
      <c r="E70" s="666" t="s">
        <v>470</v>
      </c>
      <c r="F70" s="626">
        <f>F69*8/7</f>
        <v>0</v>
      </c>
      <c r="G70" s="626">
        <f>G64/220*2*1.2</f>
        <v>19.004072727272725</v>
      </c>
      <c r="H70" s="667">
        <f>TRUNC(F70*G70,2)</f>
        <v>0</v>
      </c>
    </row>
    <row r="71" spans="2:8">
      <c r="B71" s="664" t="s">
        <v>474</v>
      </c>
      <c r="C71" s="665"/>
      <c r="D71" s="665"/>
      <c r="E71" s="666" t="s">
        <v>472</v>
      </c>
      <c r="F71" s="668"/>
      <c r="G71" s="626">
        <f>G64/220*1.5</f>
        <v>11.877545454545453</v>
      </c>
      <c r="H71" s="667">
        <f>TRUNC(F71*G71,2)</f>
        <v>0</v>
      </c>
    </row>
    <row r="72" spans="2:8">
      <c r="B72" s="664" t="s">
        <v>475</v>
      </c>
      <c r="C72" s="665"/>
      <c r="D72" s="665"/>
      <c r="E72" s="666" t="s">
        <v>469</v>
      </c>
      <c r="F72" s="668"/>
      <c r="G72" s="626"/>
      <c r="H72" s="667"/>
    </row>
    <row r="73" spans="2:8">
      <c r="B73" s="664"/>
      <c r="C73" s="665"/>
      <c r="D73" s="665"/>
      <c r="E73" s="666" t="s">
        <v>470</v>
      </c>
      <c r="F73" s="626">
        <f>F72*8/7</f>
        <v>0</v>
      </c>
      <c r="G73" s="626">
        <f>G64/220*1.5*1.2</f>
        <v>14.253054545454544</v>
      </c>
      <c r="H73" s="667">
        <f>TRUNC(F73*G73,2)</f>
        <v>0</v>
      </c>
    </row>
    <row r="74" spans="2:8">
      <c r="B74" s="664" t="s">
        <v>476</v>
      </c>
      <c r="C74" s="665"/>
      <c r="D74" s="665"/>
      <c r="E74" s="666" t="s">
        <v>477</v>
      </c>
      <c r="F74" s="669"/>
      <c r="G74" s="626">
        <f>TRUNC(((52+9)/304)*(SUM(H68:H73)),2)</f>
        <v>0</v>
      </c>
      <c r="H74" s="667">
        <f>G74</f>
        <v>0</v>
      </c>
    </row>
    <row r="75" spans="2:8">
      <c r="B75" s="664" t="s">
        <v>478</v>
      </c>
      <c r="C75" s="665"/>
      <c r="D75" s="665"/>
      <c r="E75" s="666"/>
      <c r="F75" s="672">
        <v>1</v>
      </c>
      <c r="G75" s="626"/>
      <c r="H75" s="667"/>
    </row>
    <row r="76" spans="2:8">
      <c r="B76" s="664" t="s">
        <v>479</v>
      </c>
      <c r="C76" s="665"/>
      <c r="D76" s="665"/>
      <c r="E76" s="666" t="s">
        <v>480</v>
      </c>
      <c r="F76" s="673">
        <f>VLOOKUP(B64,Tabela3[[#All],[descrição]:[fonte]],3,FALSE)</f>
        <v>20</v>
      </c>
      <c r="G76" s="626">
        <f>IF(F75=2,SUM(H64:H74),IF(F75=1,SUM(H64:H74)*G65/G64,0))</f>
        <v>1045</v>
      </c>
      <c r="H76" s="667">
        <f>TRUNC(F76*G76/100,2)</f>
        <v>209</v>
      </c>
    </row>
    <row r="77" spans="2:8">
      <c r="B77" s="674" t="s">
        <v>481</v>
      </c>
      <c r="C77" s="665"/>
      <c r="D77" s="665"/>
      <c r="E77" s="675"/>
      <c r="F77" s="675"/>
      <c r="G77" s="676"/>
      <c r="H77" s="677">
        <f>SUM(H64:H76)</f>
        <v>1951.04</v>
      </c>
    </row>
    <row r="78" spans="2:8">
      <c r="B78" s="678" t="s">
        <v>482</v>
      </c>
      <c r="C78" s="679"/>
      <c r="D78" s="680"/>
      <c r="E78" s="681" t="s">
        <v>480</v>
      </c>
      <c r="F78" s="682">
        <f>VLOOKUP(B78,Tabela3[[#All],[descrição]:[fonte]],4,FALSE)</f>
        <v>70.489999999999995</v>
      </c>
      <c r="G78" s="682">
        <f>H77</f>
        <v>1951.04</v>
      </c>
      <c r="H78" s="683">
        <f>TRUNC(G78*F78/100,2)</f>
        <v>1375.28</v>
      </c>
    </row>
    <row r="79" spans="2:8">
      <c r="B79" s="684" t="s">
        <v>861</v>
      </c>
      <c r="C79" s="665"/>
      <c r="D79" s="665"/>
      <c r="E79" s="685"/>
      <c r="F79" s="685"/>
      <c r="G79" s="686"/>
      <c r="H79" s="687">
        <f>TRUNC(H77+H78,2)</f>
        <v>3326.32</v>
      </c>
    </row>
    <row r="80" spans="2:8">
      <c r="B80" s="688" t="s">
        <v>483</v>
      </c>
      <c r="C80" s="336"/>
      <c r="D80" s="336"/>
      <c r="E80" s="336"/>
      <c r="F80" s="336"/>
      <c r="G80" s="336"/>
      <c r="H80" s="689"/>
    </row>
    <row r="81" spans="2:8">
      <c r="B81" s="690" t="s">
        <v>860</v>
      </c>
      <c r="C81" s="691"/>
      <c r="D81" s="692"/>
      <c r="E81" s="693" t="s">
        <v>484</v>
      </c>
      <c r="F81" s="694">
        <v>1</v>
      </c>
      <c r="G81" s="694">
        <f>H84</f>
        <v>95.24</v>
      </c>
      <c r="H81" s="695">
        <f>TRUNC(G81*F81,2)</f>
        <v>95.24</v>
      </c>
    </row>
    <row r="82" spans="2:8">
      <c r="B82" s="664" t="s">
        <v>485</v>
      </c>
      <c r="C82" s="665"/>
      <c r="D82" s="665"/>
      <c r="E82" s="666" t="s">
        <v>477</v>
      </c>
      <c r="F82" s="626">
        <v>1</v>
      </c>
      <c r="G82" s="626">
        <f>VLOOKUP(B82,Tabela3[[#All],[descrição]:[fonte]],4,FALSE)</f>
        <v>3.95</v>
      </c>
      <c r="H82" s="667"/>
    </row>
    <row r="83" spans="2:8">
      <c r="B83" s="664" t="s">
        <v>486</v>
      </c>
      <c r="C83" s="665"/>
      <c r="D83" s="665"/>
      <c r="E83" s="666" t="s">
        <v>487</v>
      </c>
      <c r="F83" s="626">
        <f>$H$3</f>
        <v>25.33</v>
      </c>
      <c r="G83" s="626"/>
      <c r="H83" s="667"/>
    </row>
    <row r="84" spans="2:8">
      <c r="B84" s="696" t="str">
        <f>CONCATENATE("Vale Transporte - ",B63)</f>
        <v>Vale Transporte - Motorista</v>
      </c>
      <c r="C84" s="665"/>
      <c r="D84" s="665"/>
      <c r="E84" s="697" t="s">
        <v>488</v>
      </c>
      <c r="F84" s="698">
        <f>F83*2*1</f>
        <v>50.66</v>
      </c>
      <c r="G84" s="698">
        <f>IF(TRUNC(IFERROR(((G82)-((G64*0.06)/(F83*2))),"-"),2)&lt;=0,0,TRUNC(IFERROR(((G82)-((G64*0.06)/(F83*2))),"-"),2))</f>
        <v>1.88</v>
      </c>
      <c r="H84" s="699">
        <f>TRUNC(IFERROR(F84*G84,"-"),2)</f>
        <v>95.24</v>
      </c>
    </row>
    <row r="85" spans="2:8">
      <c r="B85" s="690" t="s">
        <v>859</v>
      </c>
      <c r="C85" s="691"/>
      <c r="D85" s="692"/>
      <c r="E85" s="693" t="s">
        <v>484</v>
      </c>
      <c r="F85" s="694">
        <v>1</v>
      </c>
      <c r="G85" s="694">
        <f>H86</f>
        <v>303.95999999999998</v>
      </c>
      <c r="H85" s="695">
        <f>G85*F85</f>
        <v>303.95999999999998</v>
      </c>
    </row>
    <row r="86" spans="2:8">
      <c r="B86" s="700" t="s">
        <v>489</v>
      </c>
      <c r="C86" s="701"/>
      <c r="D86" s="702"/>
      <c r="E86" s="703" t="s">
        <v>490</v>
      </c>
      <c r="F86" s="694">
        <f>F83</f>
        <v>25.33</v>
      </c>
      <c r="G86" s="694">
        <f>VLOOKUP(B86,Tabela3[[#All],[descrição]:[fonte]],4,FALSE)</f>
        <v>12</v>
      </c>
      <c r="H86" s="704">
        <f>TRUNC(F86*G86,2)</f>
        <v>303.95999999999998</v>
      </c>
    </row>
    <row r="87" spans="2:8">
      <c r="B87" s="705" t="s">
        <v>491</v>
      </c>
      <c r="C87" s="706"/>
      <c r="D87" s="707"/>
      <c r="E87" s="675" t="s">
        <v>484</v>
      </c>
      <c r="F87" s="626">
        <v>1</v>
      </c>
      <c r="G87" s="626">
        <f>VLOOKUP(B87,Tabela3[[#All],[descrição]:[fonte]],4,FALSE)</f>
        <v>220</v>
      </c>
      <c r="H87" s="677">
        <f>G87*F87</f>
        <v>220</v>
      </c>
    </row>
    <row r="88" spans="2:8">
      <c r="B88" s="708" t="s">
        <v>384</v>
      </c>
      <c r="C88" s="709"/>
      <c r="D88" s="709"/>
      <c r="E88" s="709"/>
      <c r="F88" s="709"/>
      <c r="G88" s="709"/>
      <c r="H88" s="725">
        <f>D14</f>
        <v>2</v>
      </c>
    </row>
    <row r="89" spans="2:8" ht="15.75" thickBot="1">
      <c r="B89" s="710" t="s">
        <v>854</v>
      </c>
      <c r="C89" s="711"/>
      <c r="D89" s="711"/>
      <c r="E89" s="711"/>
      <c r="F89" s="711"/>
      <c r="G89" s="711"/>
      <c r="H89" s="712">
        <f>H88*H63</f>
        <v>7891.04</v>
      </c>
    </row>
    <row r="90" spans="2:8">
      <c r="B90" s="307"/>
      <c r="C90" s="307"/>
      <c r="D90" s="307"/>
      <c r="E90" s="307"/>
      <c r="F90" s="307"/>
      <c r="G90" s="307"/>
      <c r="H90" s="307"/>
    </row>
    <row r="91" spans="2:8" ht="15.75" thickBot="1">
      <c r="B91" s="309" t="s">
        <v>1303</v>
      </c>
      <c r="C91" s="307"/>
      <c r="D91" s="307"/>
      <c r="E91" s="307"/>
      <c r="F91" s="307"/>
      <c r="G91" s="307"/>
      <c r="H91" s="307"/>
    </row>
    <row r="92" spans="2:8">
      <c r="B92" s="655" t="s">
        <v>1249</v>
      </c>
      <c r="C92" s="656"/>
      <c r="D92" s="656"/>
      <c r="E92" s="656"/>
      <c r="F92" s="656"/>
      <c r="G92" s="657"/>
      <c r="H92" s="658">
        <f>H108+H110+H114+H116</f>
        <v>15135.189999999999</v>
      </c>
    </row>
    <row r="93" spans="2:8">
      <c r="B93" s="659" t="str">
        <f>CONCATENATE("Salário - ",B92)</f>
        <v>Salário - Gerente operacional</v>
      </c>
      <c r="C93" s="660"/>
      <c r="D93" s="661"/>
      <c r="E93" s="662" t="s">
        <v>466</v>
      </c>
      <c r="F93" s="662">
        <v>1</v>
      </c>
      <c r="G93" s="626">
        <f>VLOOKUP(B93,Tabela3[[#All],[descrição]:[fonte]],4,FALSE)</f>
        <v>8570.14</v>
      </c>
      <c r="H93" s="663">
        <f>TRUNC(F93*G93,2)</f>
        <v>8570.14</v>
      </c>
    </row>
    <row r="94" spans="2:8">
      <c r="B94" s="664" t="s">
        <v>855</v>
      </c>
      <c r="C94" s="665"/>
      <c r="D94" s="665"/>
      <c r="E94" s="666" t="s">
        <v>466</v>
      </c>
      <c r="F94" s="666">
        <v>1</v>
      </c>
      <c r="G94" s="626">
        <f>VLOOKUP(B94,Tabela3[[#All],[descrição]:[fonte]],4,FALSE)</f>
        <v>1045</v>
      </c>
      <c r="H94" s="667"/>
    </row>
    <row r="95" spans="2:8">
      <c r="B95" s="664" t="s">
        <v>468</v>
      </c>
      <c r="C95" s="665"/>
      <c r="D95" s="665"/>
      <c r="E95" s="666" t="s">
        <v>469</v>
      </c>
      <c r="F95" s="668"/>
      <c r="G95" s="669"/>
      <c r="H95" s="670"/>
    </row>
    <row r="96" spans="2:8">
      <c r="B96" s="664"/>
      <c r="C96" s="665"/>
      <c r="D96" s="665"/>
      <c r="E96" s="666" t="s">
        <v>470</v>
      </c>
      <c r="F96" s="626">
        <f>F95*8/7</f>
        <v>0</v>
      </c>
      <c r="G96" s="671">
        <f>G93/220*0.2</f>
        <v>7.7910363636363629</v>
      </c>
      <c r="H96" s="667">
        <f>TRUNC(F96*G96,2)</f>
        <v>0</v>
      </c>
    </row>
    <row r="97" spans="2:8">
      <c r="B97" s="664" t="s">
        <v>471</v>
      </c>
      <c r="C97" s="665"/>
      <c r="D97" s="665"/>
      <c r="E97" s="666" t="s">
        <v>472</v>
      </c>
      <c r="F97" s="668"/>
      <c r="G97" s="626">
        <f>G93/220*2</f>
        <v>77.910363636363627</v>
      </c>
      <c r="H97" s="667">
        <f>TRUNC(F97*G97,2)</f>
        <v>0</v>
      </c>
    </row>
    <row r="98" spans="2:8">
      <c r="B98" s="664" t="s">
        <v>473</v>
      </c>
      <c r="C98" s="665"/>
      <c r="D98" s="665"/>
      <c r="E98" s="666" t="s">
        <v>469</v>
      </c>
      <c r="F98" s="668"/>
      <c r="G98" s="626"/>
      <c r="H98" s="667"/>
    </row>
    <row r="99" spans="2:8">
      <c r="B99" s="664"/>
      <c r="C99" s="665"/>
      <c r="D99" s="665"/>
      <c r="E99" s="666" t="s">
        <v>470</v>
      </c>
      <c r="F99" s="626">
        <f>F98*8/7</f>
        <v>0</v>
      </c>
      <c r="G99" s="626">
        <f>G93/220*2*1.2</f>
        <v>93.492436363636344</v>
      </c>
      <c r="H99" s="667">
        <f>TRUNC(F99*G99,2)</f>
        <v>0</v>
      </c>
    </row>
    <row r="100" spans="2:8">
      <c r="B100" s="664" t="s">
        <v>474</v>
      </c>
      <c r="C100" s="665"/>
      <c r="D100" s="665"/>
      <c r="E100" s="666" t="s">
        <v>472</v>
      </c>
      <c r="F100" s="668"/>
      <c r="G100" s="626">
        <f>G93/220*1.5</f>
        <v>58.43277272727272</v>
      </c>
      <c r="H100" s="667">
        <f>TRUNC(F100*G100,2)</f>
        <v>0</v>
      </c>
    </row>
    <row r="101" spans="2:8">
      <c r="B101" s="664" t="s">
        <v>475</v>
      </c>
      <c r="C101" s="665"/>
      <c r="D101" s="665"/>
      <c r="E101" s="666" t="s">
        <v>469</v>
      </c>
      <c r="F101" s="668"/>
      <c r="G101" s="626"/>
      <c r="H101" s="667"/>
    </row>
    <row r="102" spans="2:8">
      <c r="B102" s="664"/>
      <c r="C102" s="665"/>
      <c r="D102" s="665"/>
      <c r="E102" s="666" t="s">
        <v>470</v>
      </c>
      <c r="F102" s="626">
        <f>F101*8/7</f>
        <v>0</v>
      </c>
      <c r="G102" s="626">
        <f>G93/220*1.5*1.2</f>
        <v>70.119327272727261</v>
      </c>
      <c r="H102" s="667">
        <f>TRUNC(F102*G102,2)</f>
        <v>0</v>
      </c>
    </row>
    <row r="103" spans="2:8">
      <c r="B103" s="664" t="s">
        <v>476</v>
      </c>
      <c r="C103" s="665"/>
      <c r="D103" s="665"/>
      <c r="E103" s="666" t="s">
        <v>477</v>
      </c>
      <c r="F103" s="669"/>
      <c r="G103" s="626">
        <f>TRUNC(((52+9)/304)*(SUM(H97:H102)),2)</f>
        <v>0</v>
      </c>
      <c r="H103" s="667">
        <f>G103</f>
        <v>0</v>
      </c>
    </row>
    <row r="104" spans="2:8">
      <c r="B104" s="664" t="s">
        <v>478</v>
      </c>
      <c r="C104" s="665"/>
      <c r="D104" s="665"/>
      <c r="E104" s="666"/>
      <c r="F104" s="672">
        <v>1</v>
      </c>
      <c r="G104" s="626"/>
      <c r="H104" s="667"/>
    </row>
    <row r="105" spans="2:8">
      <c r="B105" s="664" t="s">
        <v>479</v>
      </c>
      <c r="C105" s="665"/>
      <c r="D105" s="665"/>
      <c r="E105" s="666" t="s">
        <v>480</v>
      </c>
      <c r="F105" s="673">
        <f>VLOOKUP(B93,Tabela3[[#All],[descrição]:[fonte]],3,FALSE)</f>
        <v>0</v>
      </c>
      <c r="G105" s="626">
        <f>IF(F104=2,SUM(H93:H103),IF(F104=1,SUM(H93:H103)*G94/G93,0))</f>
        <v>1045</v>
      </c>
      <c r="H105" s="667">
        <f>TRUNC(F105*G105/100,2)</f>
        <v>0</v>
      </c>
    </row>
    <row r="106" spans="2:8">
      <c r="B106" s="674" t="s">
        <v>481</v>
      </c>
      <c r="C106" s="665"/>
      <c r="D106" s="665"/>
      <c r="E106" s="675"/>
      <c r="F106" s="675"/>
      <c r="G106" s="676"/>
      <c r="H106" s="677">
        <f>SUM(H93:H105)</f>
        <v>8570.14</v>
      </c>
    </row>
    <row r="107" spans="2:8">
      <c r="B107" s="678" t="s">
        <v>482</v>
      </c>
      <c r="C107" s="679"/>
      <c r="D107" s="680"/>
      <c r="E107" s="681" t="s">
        <v>480</v>
      </c>
      <c r="F107" s="682">
        <f>VLOOKUP(B107,Tabela3[[#All],[descrição]:[fonte]],4,FALSE)</f>
        <v>70.489999999999995</v>
      </c>
      <c r="G107" s="682">
        <f>H106</f>
        <v>8570.14</v>
      </c>
      <c r="H107" s="683">
        <f>TRUNC(G107*F107/100,2)</f>
        <v>6041.09</v>
      </c>
    </row>
    <row r="108" spans="2:8">
      <c r="B108" s="684" t="s">
        <v>861</v>
      </c>
      <c r="C108" s="665"/>
      <c r="D108" s="665"/>
      <c r="E108" s="685"/>
      <c r="F108" s="685"/>
      <c r="G108" s="686"/>
      <c r="H108" s="687">
        <f>TRUNC(H106+H107,2)</f>
        <v>14611.23</v>
      </c>
    </row>
    <row r="109" spans="2:8">
      <c r="B109" s="688" t="s">
        <v>483</v>
      </c>
      <c r="C109" s="336"/>
      <c r="D109" s="336"/>
      <c r="E109" s="336"/>
      <c r="F109" s="336"/>
      <c r="G109" s="336"/>
      <c r="H109" s="689"/>
    </row>
    <row r="110" spans="2:8">
      <c r="B110" s="690" t="s">
        <v>860</v>
      </c>
      <c r="C110" s="691"/>
      <c r="D110" s="692"/>
      <c r="E110" s="693" t="s">
        <v>484</v>
      </c>
      <c r="F110" s="694">
        <v>1</v>
      </c>
      <c r="G110" s="694">
        <f>H113</f>
        <v>0</v>
      </c>
      <c r="H110" s="695">
        <f>TRUNC(G110*F110,2)</f>
        <v>0</v>
      </c>
    </row>
    <row r="111" spans="2:8">
      <c r="B111" s="664" t="s">
        <v>485</v>
      </c>
      <c r="C111" s="665"/>
      <c r="D111" s="665"/>
      <c r="E111" s="666" t="s">
        <v>477</v>
      </c>
      <c r="F111" s="626">
        <v>1</v>
      </c>
      <c r="G111" s="626">
        <f>VLOOKUP(B111,Tabela3[[#All],[descrição]:[fonte]],4,FALSE)</f>
        <v>3.95</v>
      </c>
      <c r="H111" s="667"/>
    </row>
    <row r="112" spans="2:8">
      <c r="B112" s="664" t="s">
        <v>486</v>
      </c>
      <c r="C112" s="665"/>
      <c r="D112" s="665"/>
      <c r="E112" s="666" t="s">
        <v>487</v>
      </c>
      <c r="F112" s="626">
        <f>$H$3</f>
        <v>25.33</v>
      </c>
      <c r="G112" s="626"/>
      <c r="H112" s="667"/>
    </row>
    <row r="113" spans="2:8">
      <c r="B113" s="696" t="str">
        <f>CONCATENATE("Vale Transporte - ",B92)</f>
        <v>Vale Transporte - Gerente operacional</v>
      </c>
      <c r="C113" s="665"/>
      <c r="D113" s="665"/>
      <c r="E113" s="697" t="s">
        <v>488</v>
      </c>
      <c r="F113" s="698">
        <f>F112*2*1</f>
        <v>50.66</v>
      </c>
      <c r="G113" s="698">
        <f>IF(TRUNC(IFERROR(((G111)-((G93*0.06)/(F112*2))),"-"),2)&lt;=0,0,TRUNC(IFERROR(((G111)-((G93*0.06)/(F112*2))),"-"),2))</f>
        <v>0</v>
      </c>
      <c r="H113" s="699">
        <f>TRUNC(IFERROR(F113*G113,"-"),2)</f>
        <v>0</v>
      </c>
    </row>
    <row r="114" spans="2:8">
      <c r="B114" s="690" t="s">
        <v>859</v>
      </c>
      <c r="C114" s="691"/>
      <c r="D114" s="692"/>
      <c r="E114" s="693" t="s">
        <v>484</v>
      </c>
      <c r="F114" s="694">
        <v>1</v>
      </c>
      <c r="G114" s="694">
        <f>H115</f>
        <v>303.95999999999998</v>
      </c>
      <c r="H114" s="695">
        <f>G114*F114</f>
        <v>303.95999999999998</v>
      </c>
    </row>
    <row r="115" spans="2:8">
      <c r="B115" s="700" t="s">
        <v>489</v>
      </c>
      <c r="C115" s="701"/>
      <c r="D115" s="702"/>
      <c r="E115" s="703" t="s">
        <v>490</v>
      </c>
      <c r="F115" s="694">
        <f>F112</f>
        <v>25.33</v>
      </c>
      <c r="G115" s="694">
        <f>VLOOKUP(B115,Tabela3[[#All],[descrição]:[fonte]],4,FALSE)</f>
        <v>12</v>
      </c>
      <c r="H115" s="704">
        <f>TRUNC(F115*G115,2)</f>
        <v>303.95999999999998</v>
      </c>
    </row>
    <row r="116" spans="2:8">
      <c r="B116" s="705" t="s">
        <v>491</v>
      </c>
      <c r="C116" s="706"/>
      <c r="D116" s="707"/>
      <c r="E116" s="675" t="s">
        <v>484</v>
      </c>
      <c r="F116" s="626">
        <v>1</v>
      </c>
      <c r="G116" s="626">
        <f>VLOOKUP(B116,Tabela3[[#All],[descrição]:[fonte]],4,FALSE)</f>
        <v>220</v>
      </c>
      <c r="H116" s="677">
        <f>G116*F116</f>
        <v>220</v>
      </c>
    </row>
    <row r="117" spans="2:8">
      <c r="B117" s="708" t="s">
        <v>384</v>
      </c>
      <c r="C117" s="709"/>
      <c r="D117" s="709"/>
      <c r="E117" s="709"/>
      <c r="F117" s="709"/>
      <c r="G117" s="709"/>
      <c r="H117" s="725">
        <f>D15</f>
        <v>1</v>
      </c>
    </row>
    <row r="118" spans="2:8" ht="15.75" thickBot="1">
      <c r="B118" s="710" t="s">
        <v>854</v>
      </c>
      <c r="C118" s="711"/>
      <c r="D118" s="711"/>
      <c r="E118" s="711"/>
      <c r="F118" s="711"/>
      <c r="G118" s="711"/>
      <c r="H118" s="712">
        <f>H117*H92</f>
        <v>15135.189999999999</v>
      </c>
    </row>
    <row r="119" spans="2:8">
      <c r="B119" s="307"/>
      <c r="C119" s="307"/>
      <c r="D119" s="307"/>
      <c r="E119" s="307"/>
      <c r="F119" s="307"/>
      <c r="G119" s="307"/>
      <c r="H119" s="307"/>
    </row>
    <row r="120" spans="2:8" ht="15.75" thickBot="1">
      <c r="B120" s="309" t="s">
        <v>1304</v>
      </c>
      <c r="C120" s="307"/>
      <c r="D120" s="307"/>
      <c r="E120" s="307"/>
      <c r="F120" s="307"/>
      <c r="G120" s="307"/>
      <c r="H120" s="307"/>
    </row>
    <row r="121" spans="2:8">
      <c r="B121" s="655" t="s">
        <v>1040</v>
      </c>
      <c r="C121" s="656"/>
      <c r="D121" s="656"/>
      <c r="E121" s="656"/>
      <c r="F121" s="656"/>
      <c r="G121" s="657"/>
      <c r="H121" s="658">
        <f>H137+H139+H143+H145</f>
        <v>2762.83</v>
      </c>
    </row>
    <row r="122" spans="2:8">
      <c r="B122" s="659" t="str">
        <f>CONCATENATE("Salário - ",B121)</f>
        <v>Salário - Auxiliar Administrativo</v>
      </c>
      <c r="C122" s="660"/>
      <c r="D122" s="661"/>
      <c r="E122" s="662" t="s">
        <v>466</v>
      </c>
      <c r="F122" s="662">
        <v>1</v>
      </c>
      <c r="G122" s="626">
        <f>VLOOKUP(B122,Tabela3[[#All],[descrição]:[fonte]],4,FALSE)</f>
        <v>1239.51</v>
      </c>
      <c r="H122" s="663">
        <f>TRUNC(F122*G122,2)</f>
        <v>1239.51</v>
      </c>
    </row>
    <row r="123" spans="2:8">
      <c r="B123" s="664" t="s">
        <v>855</v>
      </c>
      <c r="C123" s="665"/>
      <c r="D123" s="665"/>
      <c r="E123" s="666" t="s">
        <v>466</v>
      </c>
      <c r="F123" s="666">
        <v>1</v>
      </c>
      <c r="G123" s="626">
        <f>VLOOKUP(B123,Tabela3[[#All],[descrição]:[fonte]],4,FALSE)</f>
        <v>1045</v>
      </c>
      <c r="H123" s="667"/>
    </row>
    <row r="124" spans="2:8">
      <c r="B124" s="664" t="s">
        <v>468</v>
      </c>
      <c r="C124" s="665"/>
      <c r="D124" s="665"/>
      <c r="E124" s="666" t="s">
        <v>469</v>
      </c>
      <c r="F124" s="668"/>
      <c r="G124" s="669"/>
      <c r="H124" s="670"/>
    </row>
    <row r="125" spans="2:8">
      <c r="B125" s="664"/>
      <c r="C125" s="665"/>
      <c r="D125" s="665"/>
      <c r="E125" s="666" t="s">
        <v>470</v>
      </c>
      <c r="F125" s="626">
        <f>F124*8/7</f>
        <v>0</v>
      </c>
      <c r="G125" s="671">
        <f>G122/220*0.2</f>
        <v>1.1268272727272728</v>
      </c>
      <c r="H125" s="667">
        <f>TRUNC(F125*G125,2)</f>
        <v>0</v>
      </c>
    </row>
    <row r="126" spans="2:8">
      <c r="B126" s="664" t="s">
        <v>471</v>
      </c>
      <c r="C126" s="665"/>
      <c r="D126" s="665"/>
      <c r="E126" s="666" t="s">
        <v>472</v>
      </c>
      <c r="F126" s="668"/>
      <c r="G126" s="626">
        <f>G122/220*2</f>
        <v>11.268272727272727</v>
      </c>
      <c r="H126" s="667">
        <f>TRUNC(F126*G126,2)</f>
        <v>0</v>
      </c>
    </row>
    <row r="127" spans="2:8">
      <c r="B127" s="664" t="s">
        <v>473</v>
      </c>
      <c r="C127" s="665"/>
      <c r="D127" s="665"/>
      <c r="E127" s="666" t="s">
        <v>469</v>
      </c>
      <c r="F127" s="668"/>
      <c r="G127" s="626"/>
      <c r="H127" s="667"/>
    </row>
    <row r="128" spans="2:8">
      <c r="B128" s="664"/>
      <c r="C128" s="665"/>
      <c r="D128" s="665"/>
      <c r="E128" s="666" t="s">
        <v>470</v>
      </c>
      <c r="F128" s="626">
        <f>F127*8/7</f>
        <v>0</v>
      </c>
      <c r="G128" s="626">
        <f>G122/220*2*1.2</f>
        <v>13.521927272727272</v>
      </c>
      <c r="H128" s="667">
        <f>TRUNC(F128*G128,2)</f>
        <v>0</v>
      </c>
    </row>
    <row r="129" spans="2:8">
      <c r="B129" s="664" t="s">
        <v>474</v>
      </c>
      <c r="C129" s="665"/>
      <c r="D129" s="665"/>
      <c r="E129" s="666" t="s">
        <v>472</v>
      </c>
      <c r="F129" s="668"/>
      <c r="G129" s="626">
        <f>G122/220*1.5</f>
        <v>8.4512045454545444</v>
      </c>
      <c r="H129" s="667">
        <f>TRUNC(F129*G129,2)</f>
        <v>0</v>
      </c>
    </row>
    <row r="130" spans="2:8">
      <c r="B130" s="664" t="s">
        <v>475</v>
      </c>
      <c r="C130" s="665"/>
      <c r="D130" s="665"/>
      <c r="E130" s="666" t="s">
        <v>469</v>
      </c>
      <c r="F130" s="668"/>
      <c r="G130" s="626"/>
      <c r="H130" s="667"/>
    </row>
    <row r="131" spans="2:8">
      <c r="B131" s="664"/>
      <c r="C131" s="665"/>
      <c r="D131" s="665"/>
      <c r="E131" s="666" t="s">
        <v>470</v>
      </c>
      <c r="F131" s="626">
        <f>F130*8/7</f>
        <v>0</v>
      </c>
      <c r="G131" s="626">
        <f>G122/220*1.5*1.2</f>
        <v>10.141445454545453</v>
      </c>
      <c r="H131" s="667">
        <f>TRUNC(F131*G131,2)</f>
        <v>0</v>
      </c>
    </row>
    <row r="132" spans="2:8">
      <c r="B132" s="664" t="s">
        <v>476</v>
      </c>
      <c r="C132" s="665"/>
      <c r="D132" s="665"/>
      <c r="E132" s="666" t="s">
        <v>477</v>
      </c>
      <c r="F132" s="669"/>
      <c r="G132" s="626">
        <f>TRUNC(((52+9)/304)*(SUM(H126:H131)),2)</f>
        <v>0</v>
      </c>
      <c r="H132" s="667">
        <f>G132</f>
        <v>0</v>
      </c>
    </row>
    <row r="133" spans="2:8">
      <c r="B133" s="664" t="s">
        <v>478</v>
      </c>
      <c r="C133" s="665"/>
      <c r="D133" s="665"/>
      <c r="E133" s="666"/>
      <c r="F133" s="672">
        <v>1</v>
      </c>
      <c r="G133" s="626"/>
      <c r="H133" s="667"/>
    </row>
    <row r="134" spans="2:8">
      <c r="B134" s="664" t="s">
        <v>479</v>
      </c>
      <c r="C134" s="665"/>
      <c r="D134" s="665"/>
      <c r="E134" s="666" t="s">
        <v>480</v>
      </c>
      <c r="F134" s="673">
        <f>VLOOKUP(B122,Tabela3[[#All],[descrição]:[fonte]],3,FALSE)</f>
        <v>0</v>
      </c>
      <c r="G134" s="626">
        <f>IF(F133=2,SUM(H122:H132),IF(F133=1,SUM(H122:H132)*G123/G122,0))</f>
        <v>1045</v>
      </c>
      <c r="H134" s="667">
        <f>TRUNC(F134*G134/100,2)</f>
        <v>0</v>
      </c>
    </row>
    <row r="135" spans="2:8">
      <c r="B135" s="674" t="s">
        <v>481</v>
      </c>
      <c r="C135" s="665"/>
      <c r="D135" s="665"/>
      <c r="E135" s="675"/>
      <c r="F135" s="675"/>
      <c r="G135" s="676"/>
      <c r="H135" s="677">
        <f>SUM(H122:H134)</f>
        <v>1239.51</v>
      </c>
    </row>
    <row r="136" spans="2:8">
      <c r="B136" s="678" t="s">
        <v>482</v>
      </c>
      <c r="C136" s="679"/>
      <c r="D136" s="680"/>
      <c r="E136" s="681" t="s">
        <v>480</v>
      </c>
      <c r="F136" s="682">
        <f>VLOOKUP(B136,Tabela3[[#All],[descrição]:[fonte]],4,FALSE)</f>
        <v>70.489999999999995</v>
      </c>
      <c r="G136" s="682">
        <f>H135</f>
        <v>1239.51</v>
      </c>
      <c r="H136" s="683">
        <f>TRUNC(G136*F136/100,2)</f>
        <v>873.73</v>
      </c>
    </row>
    <row r="137" spans="2:8">
      <c r="B137" s="684" t="s">
        <v>861</v>
      </c>
      <c r="C137" s="665"/>
      <c r="D137" s="665"/>
      <c r="E137" s="685"/>
      <c r="F137" s="685"/>
      <c r="G137" s="686"/>
      <c r="H137" s="687">
        <f>TRUNC(H135+H136,2)</f>
        <v>2113.2399999999998</v>
      </c>
    </row>
    <row r="138" spans="2:8">
      <c r="B138" s="688" t="s">
        <v>483</v>
      </c>
      <c r="C138" s="336"/>
      <c r="D138" s="336"/>
      <c r="E138" s="336"/>
      <c r="F138" s="336"/>
      <c r="G138" s="336"/>
      <c r="H138" s="689"/>
    </row>
    <row r="139" spans="2:8">
      <c r="B139" s="690" t="s">
        <v>860</v>
      </c>
      <c r="C139" s="691"/>
      <c r="D139" s="692"/>
      <c r="E139" s="693" t="s">
        <v>484</v>
      </c>
      <c r="F139" s="694">
        <v>1</v>
      </c>
      <c r="G139" s="694">
        <f>H142</f>
        <v>125.63</v>
      </c>
      <c r="H139" s="695">
        <f>TRUNC(G139*F139,2)</f>
        <v>125.63</v>
      </c>
    </row>
    <row r="140" spans="2:8">
      <c r="B140" s="664" t="s">
        <v>485</v>
      </c>
      <c r="C140" s="665"/>
      <c r="D140" s="665"/>
      <c r="E140" s="666" t="s">
        <v>477</v>
      </c>
      <c r="F140" s="626">
        <v>1</v>
      </c>
      <c r="G140" s="626">
        <f>VLOOKUP(B140,Tabela3[[#All],[descrição]:[fonte]],4,FALSE)</f>
        <v>3.95</v>
      </c>
      <c r="H140" s="667"/>
    </row>
    <row r="141" spans="2:8">
      <c r="B141" s="664" t="s">
        <v>486</v>
      </c>
      <c r="C141" s="665"/>
      <c r="D141" s="665"/>
      <c r="E141" s="666" t="s">
        <v>487</v>
      </c>
      <c r="F141" s="626">
        <f>$H$3</f>
        <v>25.33</v>
      </c>
      <c r="G141" s="626"/>
      <c r="H141" s="667"/>
    </row>
    <row r="142" spans="2:8">
      <c r="B142" s="696" t="str">
        <f>CONCATENATE("Vale Transporte - ",B121)</f>
        <v>Vale Transporte - Auxiliar Administrativo</v>
      </c>
      <c r="C142" s="665"/>
      <c r="D142" s="665"/>
      <c r="E142" s="697" t="s">
        <v>488</v>
      </c>
      <c r="F142" s="698">
        <f>F141*2*1</f>
        <v>50.66</v>
      </c>
      <c r="G142" s="698">
        <f>IF(TRUNC(IFERROR(((G140)-((G122*0.06)/(F141*2))),"-"),2)&lt;=0,0,TRUNC(IFERROR(((G140)-((G122*0.06)/(F141*2))),"-"),2))</f>
        <v>2.48</v>
      </c>
      <c r="H142" s="699">
        <f>TRUNC(IFERROR(F142*G142,"-"),2)</f>
        <v>125.63</v>
      </c>
    </row>
    <row r="143" spans="2:8">
      <c r="B143" s="690" t="s">
        <v>859</v>
      </c>
      <c r="C143" s="691"/>
      <c r="D143" s="692"/>
      <c r="E143" s="693" t="s">
        <v>484</v>
      </c>
      <c r="F143" s="694">
        <v>1</v>
      </c>
      <c r="G143" s="694">
        <f>H144</f>
        <v>303.95999999999998</v>
      </c>
      <c r="H143" s="695">
        <f>G143*F143</f>
        <v>303.95999999999998</v>
      </c>
    </row>
    <row r="144" spans="2:8">
      <c r="B144" s="700" t="s">
        <v>489</v>
      </c>
      <c r="C144" s="701"/>
      <c r="D144" s="702"/>
      <c r="E144" s="703" t="s">
        <v>490</v>
      </c>
      <c r="F144" s="694">
        <f>F141</f>
        <v>25.33</v>
      </c>
      <c r="G144" s="694">
        <f>VLOOKUP(B144,Tabela3[[#All],[descrição]:[fonte]],4,FALSE)</f>
        <v>12</v>
      </c>
      <c r="H144" s="704">
        <f>TRUNC(F144*G144,2)</f>
        <v>303.95999999999998</v>
      </c>
    </row>
    <row r="145" spans="2:8">
      <c r="B145" s="705" t="s">
        <v>491</v>
      </c>
      <c r="C145" s="706"/>
      <c r="D145" s="707"/>
      <c r="E145" s="675" t="s">
        <v>484</v>
      </c>
      <c r="F145" s="626">
        <v>1</v>
      </c>
      <c r="G145" s="626">
        <f>VLOOKUP(B145,Tabela3[[#All],[descrição]:[fonte]],4,FALSE)</f>
        <v>220</v>
      </c>
      <c r="H145" s="677">
        <f>G145*F145</f>
        <v>220</v>
      </c>
    </row>
    <row r="146" spans="2:8">
      <c r="B146" s="708" t="s">
        <v>384</v>
      </c>
      <c r="C146" s="709"/>
      <c r="D146" s="709"/>
      <c r="E146" s="709"/>
      <c r="F146" s="709"/>
      <c r="G146" s="709"/>
      <c r="H146" s="725">
        <f>D16</f>
        <v>2</v>
      </c>
    </row>
    <row r="147" spans="2:8" ht="15.75" thickBot="1">
      <c r="B147" s="710" t="s">
        <v>854</v>
      </c>
      <c r="C147" s="711"/>
      <c r="D147" s="711"/>
      <c r="E147" s="711"/>
      <c r="F147" s="711"/>
      <c r="G147" s="711"/>
      <c r="H147" s="712">
        <f>H146*H121</f>
        <v>5525.66</v>
      </c>
    </row>
    <row r="148" spans="2:8">
      <c r="B148" s="307"/>
      <c r="C148" s="307"/>
      <c r="D148" s="307"/>
      <c r="E148" s="307"/>
      <c r="F148" s="307"/>
      <c r="G148" s="307"/>
      <c r="H148" s="307"/>
    </row>
    <row r="149" spans="2:8" ht="15.75" thickBot="1">
      <c r="B149" s="309" t="s">
        <v>1305</v>
      </c>
      <c r="C149" s="307"/>
      <c r="D149" s="307"/>
      <c r="E149" s="307"/>
      <c r="F149" s="307"/>
      <c r="G149" s="307"/>
      <c r="H149" s="307"/>
    </row>
    <row r="150" spans="2:8">
      <c r="B150" s="655" t="s">
        <v>1244</v>
      </c>
      <c r="C150" s="656"/>
      <c r="D150" s="656"/>
      <c r="E150" s="656"/>
      <c r="F150" s="656"/>
      <c r="G150" s="657"/>
      <c r="H150" s="658">
        <f>H166+H168+H172+H174</f>
        <v>4068.13</v>
      </c>
    </row>
    <row r="151" spans="2:8">
      <c r="B151" s="659" t="str">
        <f>CONCATENATE("Salário - ",B150)</f>
        <v>Salário - Supervisor</v>
      </c>
      <c r="C151" s="660"/>
      <c r="D151" s="661"/>
      <c r="E151" s="662" t="s">
        <v>466</v>
      </c>
      <c r="F151" s="662">
        <v>1</v>
      </c>
      <c r="G151" s="626">
        <f>VLOOKUP(B151,Tabela3[[#All],[descrição]:[fonte]],4,FALSE)</f>
        <v>2033.06</v>
      </c>
      <c r="H151" s="663">
        <f>TRUNC(F151*G151,2)</f>
        <v>2033.06</v>
      </c>
    </row>
    <row r="152" spans="2:8">
      <c r="B152" s="664" t="s">
        <v>855</v>
      </c>
      <c r="C152" s="665"/>
      <c r="D152" s="665"/>
      <c r="E152" s="666" t="s">
        <v>466</v>
      </c>
      <c r="F152" s="666">
        <v>1</v>
      </c>
      <c r="G152" s="626">
        <f>VLOOKUP(B152,Tabela3[[#All],[descrição]:[fonte]],4,FALSE)</f>
        <v>1045</v>
      </c>
      <c r="H152" s="667"/>
    </row>
    <row r="153" spans="2:8">
      <c r="B153" s="664" t="s">
        <v>468</v>
      </c>
      <c r="C153" s="665"/>
      <c r="D153" s="665"/>
      <c r="E153" s="666" t="s">
        <v>469</v>
      </c>
      <c r="F153" s="668"/>
      <c r="G153" s="669"/>
      <c r="H153" s="670"/>
    </row>
    <row r="154" spans="2:8">
      <c r="B154" s="664"/>
      <c r="C154" s="665"/>
      <c r="D154" s="665"/>
      <c r="E154" s="666" t="s">
        <v>470</v>
      </c>
      <c r="F154" s="626">
        <f>F153*8/7</f>
        <v>0</v>
      </c>
      <c r="G154" s="671">
        <f>G151/220*0.2</f>
        <v>1.8482363636363637</v>
      </c>
      <c r="H154" s="667">
        <f>TRUNC(F154*G154,2)</f>
        <v>0</v>
      </c>
    </row>
    <row r="155" spans="2:8">
      <c r="B155" s="664" t="s">
        <v>471</v>
      </c>
      <c r="C155" s="665"/>
      <c r="D155" s="665"/>
      <c r="E155" s="666" t="s">
        <v>472</v>
      </c>
      <c r="F155" s="668"/>
      <c r="G155" s="626">
        <f>G151/220*2</f>
        <v>18.482363636363637</v>
      </c>
      <c r="H155" s="667">
        <f>TRUNC(F155*G155,2)</f>
        <v>0</v>
      </c>
    </row>
    <row r="156" spans="2:8">
      <c r="B156" s="664" t="s">
        <v>473</v>
      </c>
      <c r="C156" s="665"/>
      <c r="D156" s="665"/>
      <c r="E156" s="666" t="s">
        <v>469</v>
      </c>
      <c r="F156" s="668"/>
      <c r="G156" s="626"/>
      <c r="H156" s="667"/>
    </row>
    <row r="157" spans="2:8">
      <c r="B157" s="664"/>
      <c r="C157" s="665"/>
      <c r="D157" s="665"/>
      <c r="E157" s="666" t="s">
        <v>470</v>
      </c>
      <c r="F157" s="626">
        <f>F156*8/7</f>
        <v>0</v>
      </c>
      <c r="G157" s="626">
        <f>G151/220*2*1.2</f>
        <v>22.178836363636364</v>
      </c>
      <c r="H157" s="667">
        <f>TRUNC(F157*G157,2)</f>
        <v>0</v>
      </c>
    </row>
    <row r="158" spans="2:8">
      <c r="B158" s="664" t="s">
        <v>474</v>
      </c>
      <c r="C158" s="665"/>
      <c r="D158" s="665"/>
      <c r="E158" s="666" t="s">
        <v>472</v>
      </c>
      <c r="F158" s="668"/>
      <c r="G158" s="626">
        <f>G151/220*1.5</f>
        <v>13.861772727272728</v>
      </c>
      <c r="H158" s="667">
        <f>TRUNC(F158*G158,2)</f>
        <v>0</v>
      </c>
    </row>
    <row r="159" spans="2:8">
      <c r="B159" s="664" t="s">
        <v>475</v>
      </c>
      <c r="C159" s="665"/>
      <c r="D159" s="665"/>
      <c r="E159" s="666" t="s">
        <v>469</v>
      </c>
      <c r="F159" s="668"/>
      <c r="G159" s="626"/>
      <c r="H159" s="667"/>
    </row>
    <row r="160" spans="2:8">
      <c r="B160" s="664"/>
      <c r="C160" s="665"/>
      <c r="D160" s="665"/>
      <c r="E160" s="666" t="s">
        <v>470</v>
      </c>
      <c r="F160" s="626">
        <f>F159*8/7</f>
        <v>0</v>
      </c>
      <c r="G160" s="626">
        <f>G151/220*1.5*1.2</f>
        <v>16.634127272727273</v>
      </c>
      <c r="H160" s="667">
        <f>TRUNC(F160*G160,2)</f>
        <v>0</v>
      </c>
    </row>
    <row r="161" spans="2:8">
      <c r="B161" s="664" t="s">
        <v>476</v>
      </c>
      <c r="C161" s="665"/>
      <c r="D161" s="665"/>
      <c r="E161" s="666" t="s">
        <v>477</v>
      </c>
      <c r="F161" s="669"/>
      <c r="G161" s="626">
        <f>TRUNC(((52+9)/304)*(SUM(H155:H160)),2)</f>
        <v>0</v>
      </c>
      <c r="H161" s="667">
        <f>G161</f>
        <v>0</v>
      </c>
    </row>
    <row r="162" spans="2:8">
      <c r="B162" s="664" t="s">
        <v>478</v>
      </c>
      <c r="C162" s="665"/>
      <c r="D162" s="665"/>
      <c r="E162" s="666"/>
      <c r="F162" s="672">
        <v>1</v>
      </c>
      <c r="G162" s="626"/>
      <c r="H162" s="667"/>
    </row>
    <row r="163" spans="2:8">
      <c r="B163" s="664" t="s">
        <v>479</v>
      </c>
      <c r="C163" s="665"/>
      <c r="D163" s="665"/>
      <c r="E163" s="666" t="s">
        <v>480</v>
      </c>
      <c r="F163" s="673">
        <f>VLOOKUP(B151,Tabela3[[#All],[descrição]:[fonte]],3,FALSE)</f>
        <v>0</v>
      </c>
      <c r="G163" s="626">
        <f>IF(F162=2,SUM(H151:H161),IF(F162=1,SUM(H151:H161)*G152/G151,0))</f>
        <v>1045</v>
      </c>
      <c r="H163" s="667">
        <f>TRUNC(F163*G163/100,2)</f>
        <v>0</v>
      </c>
    </row>
    <row r="164" spans="2:8">
      <c r="B164" s="674" t="s">
        <v>481</v>
      </c>
      <c r="C164" s="665"/>
      <c r="D164" s="665"/>
      <c r="E164" s="675"/>
      <c r="F164" s="675"/>
      <c r="G164" s="676"/>
      <c r="H164" s="677">
        <f>SUM(H151:H163)</f>
        <v>2033.06</v>
      </c>
    </row>
    <row r="165" spans="2:8">
      <c r="B165" s="678" t="s">
        <v>482</v>
      </c>
      <c r="C165" s="679"/>
      <c r="D165" s="680"/>
      <c r="E165" s="681" t="s">
        <v>480</v>
      </c>
      <c r="F165" s="682">
        <f>VLOOKUP(B165,Tabela3[[#All],[descrição]:[fonte]],4,FALSE)</f>
        <v>70.489999999999995</v>
      </c>
      <c r="G165" s="682">
        <f>H164</f>
        <v>2033.06</v>
      </c>
      <c r="H165" s="683">
        <f>TRUNC(G165*F165/100,2)</f>
        <v>1433.1</v>
      </c>
    </row>
    <row r="166" spans="2:8">
      <c r="B166" s="684" t="s">
        <v>861</v>
      </c>
      <c r="C166" s="665"/>
      <c r="D166" s="665"/>
      <c r="E166" s="685"/>
      <c r="F166" s="685"/>
      <c r="G166" s="686"/>
      <c r="H166" s="687">
        <f>TRUNC(H164+H165,2)</f>
        <v>3466.16</v>
      </c>
    </row>
    <row r="167" spans="2:8">
      <c r="B167" s="688" t="s">
        <v>483</v>
      </c>
      <c r="C167" s="336"/>
      <c r="D167" s="336"/>
      <c r="E167" s="336"/>
      <c r="F167" s="336"/>
      <c r="G167" s="336"/>
      <c r="H167" s="689"/>
    </row>
    <row r="168" spans="2:8">
      <c r="B168" s="690" t="s">
        <v>860</v>
      </c>
      <c r="C168" s="691"/>
      <c r="D168" s="692"/>
      <c r="E168" s="693" t="s">
        <v>484</v>
      </c>
      <c r="F168" s="694">
        <v>1</v>
      </c>
      <c r="G168" s="694">
        <f>H171</f>
        <v>78.010000000000005</v>
      </c>
      <c r="H168" s="695">
        <f>TRUNC(G168*F168,2)</f>
        <v>78.010000000000005</v>
      </c>
    </row>
    <row r="169" spans="2:8">
      <c r="B169" s="664" t="s">
        <v>485</v>
      </c>
      <c r="C169" s="665"/>
      <c r="D169" s="665"/>
      <c r="E169" s="666" t="s">
        <v>477</v>
      </c>
      <c r="F169" s="626">
        <v>1</v>
      </c>
      <c r="G169" s="626">
        <f>VLOOKUP(B169,Tabela3[[#All],[descrição]:[fonte]],4,FALSE)</f>
        <v>3.95</v>
      </c>
      <c r="H169" s="667"/>
    </row>
    <row r="170" spans="2:8">
      <c r="B170" s="664" t="s">
        <v>486</v>
      </c>
      <c r="C170" s="665"/>
      <c r="D170" s="665"/>
      <c r="E170" s="666" t="s">
        <v>487</v>
      </c>
      <c r="F170" s="626">
        <f>$H$3</f>
        <v>25.33</v>
      </c>
      <c r="G170" s="626"/>
      <c r="H170" s="667"/>
    </row>
    <row r="171" spans="2:8">
      <c r="B171" s="696" t="str">
        <f>CONCATENATE("Vale Transporte - ",B150)</f>
        <v>Vale Transporte - Supervisor</v>
      </c>
      <c r="C171" s="665"/>
      <c r="D171" s="665"/>
      <c r="E171" s="697" t="s">
        <v>488</v>
      </c>
      <c r="F171" s="698">
        <f>F170*2*1</f>
        <v>50.66</v>
      </c>
      <c r="G171" s="698">
        <f>IF(TRUNC(IFERROR(((G169)-((G151*0.06)/(F170*2))),"-"),2)&lt;=0,0,TRUNC(IFERROR(((G169)-((G151*0.06)/(F170*2))),"-"),2))</f>
        <v>1.54</v>
      </c>
      <c r="H171" s="699">
        <f>TRUNC(IFERROR(F171*G171,"-"),2)</f>
        <v>78.010000000000005</v>
      </c>
    </row>
    <row r="172" spans="2:8">
      <c r="B172" s="690" t="s">
        <v>859</v>
      </c>
      <c r="C172" s="691"/>
      <c r="D172" s="692"/>
      <c r="E172" s="693" t="s">
        <v>484</v>
      </c>
      <c r="F172" s="694">
        <v>1</v>
      </c>
      <c r="G172" s="694">
        <f>H173</f>
        <v>303.95999999999998</v>
      </c>
      <c r="H172" s="695">
        <f>G172*F172</f>
        <v>303.95999999999998</v>
      </c>
    </row>
    <row r="173" spans="2:8">
      <c r="B173" s="700" t="s">
        <v>489</v>
      </c>
      <c r="C173" s="701"/>
      <c r="D173" s="702"/>
      <c r="E173" s="703" t="s">
        <v>490</v>
      </c>
      <c r="F173" s="694">
        <f>F170</f>
        <v>25.33</v>
      </c>
      <c r="G173" s="694">
        <f>VLOOKUP(B173,Tabela3[[#All],[descrição]:[fonte]],4,FALSE)</f>
        <v>12</v>
      </c>
      <c r="H173" s="704">
        <f>TRUNC(F173*G173,2)</f>
        <v>303.95999999999998</v>
      </c>
    </row>
    <row r="174" spans="2:8">
      <c r="B174" s="705" t="s">
        <v>491</v>
      </c>
      <c r="C174" s="706"/>
      <c r="D174" s="707"/>
      <c r="E174" s="675" t="s">
        <v>484</v>
      </c>
      <c r="F174" s="626">
        <v>1</v>
      </c>
      <c r="G174" s="626">
        <f>VLOOKUP(B174,Tabela3[[#All],[descrição]:[fonte]],4,FALSE)</f>
        <v>220</v>
      </c>
      <c r="H174" s="677">
        <f>G174*F174</f>
        <v>220</v>
      </c>
    </row>
    <row r="175" spans="2:8">
      <c r="B175" s="708" t="s">
        <v>384</v>
      </c>
      <c r="C175" s="709"/>
      <c r="D175" s="709"/>
      <c r="E175" s="709"/>
      <c r="F175" s="709"/>
      <c r="G175" s="709"/>
      <c r="H175" s="725">
        <f>D17</f>
        <v>1</v>
      </c>
    </row>
    <row r="176" spans="2:8" ht="15.75" thickBot="1">
      <c r="B176" s="710" t="s">
        <v>854</v>
      </c>
      <c r="C176" s="711"/>
      <c r="D176" s="711"/>
      <c r="E176" s="711"/>
      <c r="F176" s="711"/>
      <c r="G176" s="711"/>
      <c r="H176" s="712">
        <f>H175*H150</f>
        <v>4068.13</v>
      </c>
    </row>
    <row r="177" spans="2:15">
      <c r="B177" s="307"/>
      <c r="C177" s="307"/>
      <c r="D177" s="307"/>
      <c r="E177" s="307"/>
      <c r="F177" s="307"/>
      <c r="G177" s="307"/>
      <c r="H177" s="307"/>
    </row>
    <row r="178" spans="2:15" ht="15.75" thickBot="1">
      <c r="B178" s="309" t="s">
        <v>1306</v>
      </c>
      <c r="C178" s="307"/>
      <c r="D178" s="307"/>
      <c r="E178" s="307"/>
      <c r="F178" s="307"/>
      <c r="G178" s="307"/>
      <c r="H178" s="307"/>
    </row>
    <row r="179" spans="2:15">
      <c r="B179" s="655" t="s">
        <v>1123</v>
      </c>
      <c r="C179" s="656"/>
      <c r="D179" s="656"/>
      <c r="E179" s="656"/>
      <c r="F179" s="656"/>
      <c r="G179" s="657"/>
      <c r="H179" s="658">
        <f>H195+H197+H201+H203</f>
        <v>8026.66</v>
      </c>
      <c r="O179" s="509"/>
    </row>
    <row r="180" spans="2:15">
      <c r="B180" s="659" t="s">
        <v>1118</v>
      </c>
      <c r="C180" s="660"/>
      <c r="D180" s="661"/>
      <c r="E180" s="662" t="s">
        <v>466</v>
      </c>
      <c r="F180" s="662">
        <v>1</v>
      </c>
      <c r="G180" s="626">
        <f>VLOOKUP(B180,Tabela3[[#All],[descrição]:[fonte]],4,FALSE)</f>
        <v>4191.67</v>
      </c>
      <c r="H180" s="663">
        <f>TRUNC(F180*G180,2)</f>
        <v>4191.67</v>
      </c>
      <c r="O180" s="509"/>
    </row>
    <row r="181" spans="2:15">
      <c r="B181" s="664" t="s">
        <v>855</v>
      </c>
      <c r="C181" s="665"/>
      <c r="D181" s="665"/>
      <c r="E181" s="666" t="s">
        <v>466</v>
      </c>
      <c r="F181" s="666">
        <v>1</v>
      </c>
      <c r="G181" s="626">
        <f>VLOOKUP(B181,Tabela3[[#All],[descrição]:[fonte]],4,FALSE)</f>
        <v>1045</v>
      </c>
      <c r="H181" s="667"/>
    </row>
    <row r="182" spans="2:15">
      <c r="B182" s="664" t="s">
        <v>468</v>
      </c>
      <c r="C182" s="665"/>
      <c r="D182" s="665"/>
      <c r="E182" s="666" t="s">
        <v>469</v>
      </c>
      <c r="F182" s="668"/>
      <c r="G182" s="669"/>
      <c r="H182" s="670"/>
    </row>
    <row r="183" spans="2:15">
      <c r="B183" s="664"/>
      <c r="C183" s="665"/>
      <c r="D183" s="665"/>
      <c r="E183" s="666" t="s">
        <v>470</v>
      </c>
      <c r="F183" s="626">
        <f>F182*8/7</f>
        <v>0</v>
      </c>
      <c r="G183" s="671">
        <f>G180/220*0.2</f>
        <v>3.8106090909090913</v>
      </c>
      <c r="H183" s="667">
        <f>TRUNC(F183*G183,2)</f>
        <v>0</v>
      </c>
    </row>
    <row r="184" spans="2:15">
      <c r="B184" s="664" t="s">
        <v>471</v>
      </c>
      <c r="C184" s="665"/>
      <c r="D184" s="665"/>
      <c r="E184" s="666" t="s">
        <v>472</v>
      </c>
      <c r="F184" s="668"/>
      <c r="G184" s="626">
        <f>G180/220*2</f>
        <v>38.106090909090909</v>
      </c>
      <c r="H184" s="667">
        <f>TRUNC(F184*G184,2)</f>
        <v>0</v>
      </c>
    </row>
    <row r="185" spans="2:15">
      <c r="B185" s="664" t="s">
        <v>473</v>
      </c>
      <c r="C185" s="665"/>
      <c r="D185" s="665"/>
      <c r="E185" s="666" t="s">
        <v>469</v>
      </c>
      <c r="F185" s="668"/>
      <c r="G185" s="626"/>
      <c r="H185" s="667"/>
    </row>
    <row r="186" spans="2:15">
      <c r="B186" s="664"/>
      <c r="C186" s="665"/>
      <c r="D186" s="665"/>
      <c r="E186" s="666" t="s">
        <v>470</v>
      </c>
      <c r="F186" s="626">
        <f>F185*8/7</f>
        <v>0</v>
      </c>
      <c r="G186" s="626">
        <f>G180/220*2*1.2</f>
        <v>45.727309090909088</v>
      </c>
      <c r="H186" s="667">
        <f>TRUNC(F186*G186,2)</f>
        <v>0</v>
      </c>
    </row>
    <row r="187" spans="2:15">
      <c r="B187" s="664" t="s">
        <v>474</v>
      </c>
      <c r="C187" s="665"/>
      <c r="D187" s="665"/>
      <c r="E187" s="666" t="s">
        <v>472</v>
      </c>
      <c r="F187" s="668"/>
      <c r="G187" s="626">
        <f>G180/220*1.5</f>
        <v>28.579568181818182</v>
      </c>
      <c r="H187" s="667">
        <f>TRUNC(F187*G187,2)</f>
        <v>0</v>
      </c>
    </row>
    <row r="188" spans="2:15">
      <c r="B188" s="664" t="s">
        <v>475</v>
      </c>
      <c r="C188" s="665"/>
      <c r="D188" s="665"/>
      <c r="E188" s="666" t="s">
        <v>469</v>
      </c>
      <c r="F188" s="668"/>
      <c r="G188" s="626"/>
      <c r="H188" s="667"/>
    </row>
    <row r="189" spans="2:15">
      <c r="B189" s="664"/>
      <c r="C189" s="665"/>
      <c r="D189" s="665"/>
      <c r="E189" s="666" t="s">
        <v>470</v>
      </c>
      <c r="F189" s="626">
        <f>F188*8/7</f>
        <v>0</v>
      </c>
      <c r="G189" s="626">
        <f>G180/220*1.5*1.2</f>
        <v>34.29548181818182</v>
      </c>
      <c r="H189" s="667">
        <f>TRUNC(F189*G189,2)</f>
        <v>0</v>
      </c>
    </row>
    <row r="190" spans="2:15">
      <c r="B190" s="664" t="s">
        <v>476</v>
      </c>
      <c r="C190" s="665"/>
      <c r="D190" s="665"/>
      <c r="E190" s="666" t="s">
        <v>477</v>
      </c>
      <c r="F190" s="669"/>
      <c r="G190" s="626">
        <f>TRUNC(((52+9)/304)*(SUM(H184:H189)),2)</f>
        <v>0</v>
      </c>
      <c r="H190" s="667">
        <f>G190</f>
        <v>0</v>
      </c>
    </row>
    <row r="191" spans="2:15">
      <c r="B191" s="664" t="s">
        <v>478</v>
      </c>
      <c r="C191" s="665"/>
      <c r="D191" s="665"/>
      <c r="E191" s="666"/>
      <c r="F191" s="672">
        <v>1</v>
      </c>
      <c r="G191" s="626"/>
      <c r="H191" s="667"/>
    </row>
    <row r="192" spans="2:15">
      <c r="B192" s="664" t="s">
        <v>479</v>
      </c>
      <c r="C192" s="665"/>
      <c r="D192" s="665"/>
      <c r="E192" s="666" t="s">
        <v>480</v>
      </c>
      <c r="F192" s="673">
        <f>VLOOKUP(B180,Tabela3[[#All],[descrição]:[fonte]],3,FALSE)</f>
        <v>20</v>
      </c>
      <c r="G192" s="626">
        <f>IF(F191=2,SUM(H180:H190),IF(F191=1,SUM(H180:H190)*G181/G180,0))</f>
        <v>1045</v>
      </c>
      <c r="H192" s="667">
        <f>TRUNC(F192*G192/100,2)</f>
        <v>209</v>
      </c>
    </row>
    <row r="193" spans="2:8">
      <c r="B193" s="674" t="s">
        <v>481</v>
      </c>
      <c r="C193" s="665"/>
      <c r="D193" s="665"/>
      <c r="E193" s="675"/>
      <c r="F193" s="675"/>
      <c r="G193" s="676"/>
      <c r="H193" s="677">
        <f>SUM(H180:H192)</f>
        <v>4400.67</v>
      </c>
    </row>
    <row r="194" spans="2:8">
      <c r="B194" s="678" t="s">
        <v>482</v>
      </c>
      <c r="C194" s="679"/>
      <c r="D194" s="680"/>
      <c r="E194" s="681" t="s">
        <v>480</v>
      </c>
      <c r="F194" s="682">
        <f>VLOOKUP(B194,Tabela3[[#All],[descrição]:[fonte]],4,FALSE)</f>
        <v>70.489999999999995</v>
      </c>
      <c r="G194" s="682">
        <f>H193</f>
        <v>4400.67</v>
      </c>
      <c r="H194" s="683">
        <f>TRUNC(G194*F194/100,2)</f>
        <v>3102.03</v>
      </c>
    </row>
    <row r="195" spans="2:8">
      <c r="B195" s="684" t="s">
        <v>861</v>
      </c>
      <c r="C195" s="665"/>
      <c r="D195" s="665"/>
      <c r="E195" s="685"/>
      <c r="F195" s="685"/>
      <c r="G195" s="686"/>
      <c r="H195" s="687">
        <f>TRUNC(H193+H194,2)</f>
        <v>7502.7</v>
      </c>
    </row>
    <row r="196" spans="2:8">
      <c r="B196" s="688" t="s">
        <v>483</v>
      </c>
      <c r="C196" s="336"/>
      <c r="D196" s="336"/>
      <c r="E196" s="336"/>
      <c r="F196" s="336"/>
      <c r="G196" s="336"/>
      <c r="H196" s="689"/>
    </row>
    <row r="197" spans="2:8">
      <c r="B197" s="690" t="s">
        <v>860</v>
      </c>
      <c r="C197" s="691"/>
      <c r="D197" s="692"/>
      <c r="E197" s="693" t="s">
        <v>484</v>
      </c>
      <c r="F197" s="694">
        <v>1</v>
      </c>
      <c r="G197" s="694">
        <f>H200</f>
        <v>0</v>
      </c>
      <c r="H197" s="695">
        <f>TRUNC(G197*F197,2)</f>
        <v>0</v>
      </c>
    </row>
    <row r="198" spans="2:8">
      <c r="B198" s="664" t="s">
        <v>485</v>
      </c>
      <c r="C198" s="665"/>
      <c r="D198" s="665"/>
      <c r="E198" s="666" t="s">
        <v>477</v>
      </c>
      <c r="F198" s="626">
        <v>1</v>
      </c>
      <c r="G198" s="626">
        <f>VLOOKUP(B198,Tabela3[[#All],[descrição]:[fonte]],4,FALSE)</f>
        <v>3.95</v>
      </c>
      <c r="H198" s="667"/>
    </row>
    <row r="199" spans="2:8">
      <c r="B199" s="664" t="s">
        <v>486</v>
      </c>
      <c r="C199" s="665"/>
      <c r="D199" s="665"/>
      <c r="E199" s="666" t="s">
        <v>487</v>
      </c>
      <c r="F199" s="626">
        <f>$H$3</f>
        <v>25.33</v>
      </c>
      <c r="G199" s="626"/>
      <c r="H199" s="667"/>
    </row>
    <row r="200" spans="2:8">
      <c r="B200" s="696" t="str">
        <f>CONCATENATE("Vale Transporte - ",B179)</f>
        <v>Vale Transporte - Técnico de segurança do trabalho</v>
      </c>
      <c r="C200" s="665"/>
      <c r="D200" s="665"/>
      <c r="E200" s="697" t="s">
        <v>488</v>
      </c>
      <c r="F200" s="698">
        <f>F199*2*1</f>
        <v>50.66</v>
      </c>
      <c r="G200" s="698">
        <f>IF(TRUNC(IFERROR(((G198)-((G180*0.06)/(F199*2))),"-"),2)&lt;=0,0,TRUNC(IFERROR(((G198)-((G180*0.06)/(F199*2))),"-"),2))</f>
        <v>0</v>
      </c>
      <c r="H200" s="699">
        <f>TRUNC(IFERROR(F200*G200,"-"),2)</f>
        <v>0</v>
      </c>
    </row>
    <row r="201" spans="2:8">
      <c r="B201" s="690" t="s">
        <v>859</v>
      </c>
      <c r="C201" s="691"/>
      <c r="D201" s="692"/>
      <c r="E201" s="693" t="s">
        <v>484</v>
      </c>
      <c r="F201" s="694">
        <v>1</v>
      </c>
      <c r="G201" s="694">
        <f>H202</f>
        <v>303.95999999999998</v>
      </c>
      <c r="H201" s="695">
        <f>G201*F201</f>
        <v>303.95999999999998</v>
      </c>
    </row>
    <row r="202" spans="2:8">
      <c r="B202" s="700" t="s">
        <v>489</v>
      </c>
      <c r="C202" s="701"/>
      <c r="D202" s="702"/>
      <c r="E202" s="703" t="s">
        <v>490</v>
      </c>
      <c r="F202" s="694">
        <f>F199</f>
        <v>25.33</v>
      </c>
      <c r="G202" s="694">
        <f>VLOOKUP(B202,Tabela3[[#All],[descrição]:[fonte]],4,FALSE)</f>
        <v>12</v>
      </c>
      <c r="H202" s="704">
        <f>TRUNC(F202*G202,2)</f>
        <v>303.95999999999998</v>
      </c>
    </row>
    <row r="203" spans="2:8">
      <c r="B203" s="705" t="s">
        <v>491</v>
      </c>
      <c r="C203" s="706"/>
      <c r="D203" s="707"/>
      <c r="E203" s="675" t="s">
        <v>484</v>
      </c>
      <c r="F203" s="626">
        <v>1</v>
      </c>
      <c r="G203" s="626">
        <f>VLOOKUP(B203,Tabela3[[#All],[descrição]:[fonte]],4,FALSE)</f>
        <v>220</v>
      </c>
      <c r="H203" s="677">
        <f>G203*F203</f>
        <v>220</v>
      </c>
    </row>
    <row r="204" spans="2:8">
      <c r="B204" s="708" t="s">
        <v>384</v>
      </c>
      <c r="C204" s="709"/>
      <c r="D204" s="709"/>
      <c r="E204" s="709"/>
      <c r="F204" s="709"/>
      <c r="G204" s="709"/>
      <c r="H204" s="725">
        <f>D18</f>
        <v>1</v>
      </c>
    </row>
    <row r="205" spans="2:8" ht="15.75" thickBot="1">
      <c r="B205" s="710" t="s">
        <v>854</v>
      </c>
      <c r="C205" s="711"/>
      <c r="D205" s="711"/>
      <c r="E205" s="711"/>
      <c r="F205" s="711"/>
      <c r="G205" s="711"/>
      <c r="H205" s="712">
        <f>H204*H179</f>
        <v>8026.66</v>
      </c>
    </row>
    <row r="206" spans="2:8">
      <c r="B206" s="307"/>
      <c r="C206" s="307"/>
      <c r="D206" s="307"/>
      <c r="E206" s="307"/>
      <c r="F206" s="307"/>
      <c r="G206" s="307"/>
      <c r="H206" s="307"/>
    </row>
    <row r="207" spans="2:8" ht="15.75" thickBot="1">
      <c r="B207" s="309" t="s">
        <v>1324</v>
      </c>
      <c r="C207" s="307"/>
      <c r="D207" s="307"/>
      <c r="E207" s="307"/>
      <c r="F207" s="307"/>
      <c r="G207" s="307"/>
      <c r="H207" s="307"/>
    </row>
    <row r="208" spans="2:8">
      <c r="B208" s="655" t="s">
        <v>1323</v>
      </c>
      <c r="C208" s="656"/>
      <c r="D208" s="656"/>
      <c r="E208" s="656"/>
      <c r="F208" s="656"/>
      <c r="G208" s="657"/>
      <c r="H208" s="658">
        <f>H224+H226+H230+H232</f>
        <v>2736.1800000000003</v>
      </c>
    </row>
    <row r="209" spans="2:8">
      <c r="B209" s="659" t="s">
        <v>1322</v>
      </c>
      <c r="C209" s="660"/>
      <c r="D209" s="661"/>
      <c r="E209" s="662" t="s">
        <v>466</v>
      </c>
      <c r="F209" s="662">
        <v>1</v>
      </c>
      <c r="G209" s="626">
        <f>VLOOKUP(B209,Tabela3[[#All],[descrição]:[fonte]],4,FALSE)</f>
        <v>1223.28</v>
      </c>
      <c r="H209" s="663">
        <f>TRUNC(F209*G209,2)</f>
        <v>1223.28</v>
      </c>
    </row>
    <row r="210" spans="2:8">
      <c r="B210" s="664" t="s">
        <v>855</v>
      </c>
      <c r="C210" s="665"/>
      <c r="D210" s="665"/>
      <c r="E210" s="666" t="s">
        <v>466</v>
      </c>
      <c r="F210" s="666">
        <v>1</v>
      </c>
      <c r="G210" s="626">
        <f>VLOOKUP(B210,Tabela3[[#All],[descrição]:[fonte]],4,FALSE)</f>
        <v>1045</v>
      </c>
      <c r="H210" s="667"/>
    </row>
    <row r="211" spans="2:8">
      <c r="B211" s="664" t="s">
        <v>468</v>
      </c>
      <c r="C211" s="665"/>
      <c r="D211" s="665"/>
      <c r="E211" s="666" t="s">
        <v>469</v>
      </c>
      <c r="F211" s="668"/>
      <c r="G211" s="669"/>
      <c r="H211" s="670"/>
    </row>
    <row r="212" spans="2:8">
      <c r="B212" s="664"/>
      <c r="C212" s="665"/>
      <c r="D212" s="665"/>
      <c r="E212" s="666" t="s">
        <v>470</v>
      </c>
      <c r="F212" s="626">
        <f>F211*8/7</f>
        <v>0</v>
      </c>
      <c r="G212" s="671">
        <f>G209/220*0.2</f>
        <v>1.1120727272727273</v>
      </c>
      <c r="H212" s="667">
        <f>TRUNC(F212*G212,2)</f>
        <v>0</v>
      </c>
    </row>
    <row r="213" spans="2:8">
      <c r="B213" s="664" t="s">
        <v>471</v>
      </c>
      <c r="C213" s="665"/>
      <c r="D213" s="665"/>
      <c r="E213" s="666" t="s">
        <v>472</v>
      </c>
      <c r="F213" s="668"/>
      <c r="G213" s="626">
        <f>G209/220*2</f>
        <v>11.120727272727272</v>
      </c>
      <c r="H213" s="667">
        <f>TRUNC(F213*G213,2)</f>
        <v>0</v>
      </c>
    </row>
    <row r="214" spans="2:8">
      <c r="B214" s="664" t="s">
        <v>473</v>
      </c>
      <c r="C214" s="665"/>
      <c r="D214" s="665"/>
      <c r="E214" s="666" t="s">
        <v>469</v>
      </c>
      <c r="F214" s="668"/>
      <c r="G214" s="626"/>
      <c r="H214" s="667"/>
    </row>
    <row r="215" spans="2:8">
      <c r="B215" s="664"/>
      <c r="C215" s="665"/>
      <c r="D215" s="665"/>
      <c r="E215" s="666" t="s">
        <v>470</v>
      </c>
      <c r="F215" s="626">
        <f>F214*8/7</f>
        <v>0</v>
      </c>
      <c r="G215" s="626">
        <f>G209/220*2*1.2</f>
        <v>13.344872727272726</v>
      </c>
      <c r="H215" s="667">
        <f>TRUNC(F215*G215,2)</f>
        <v>0</v>
      </c>
    </row>
    <row r="216" spans="2:8">
      <c r="B216" s="664" t="s">
        <v>474</v>
      </c>
      <c r="C216" s="665"/>
      <c r="D216" s="665"/>
      <c r="E216" s="666" t="s">
        <v>472</v>
      </c>
      <c r="F216" s="668"/>
      <c r="G216" s="626">
        <f>G209/220*1.5</f>
        <v>8.3405454545454543</v>
      </c>
      <c r="H216" s="667">
        <f>TRUNC(F216*G216,2)</f>
        <v>0</v>
      </c>
    </row>
    <row r="217" spans="2:8">
      <c r="B217" s="664" t="s">
        <v>475</v>
      </c>
      <c r="C217" s="665"/>
      <c r="D217" s="665"/>
      <c r="E217" s="666" t="s">
        <v>469</v>
      </c>
      <c r="F217" s="668"/>
      <c r="G217" s="626"/>
      <c r="H217" s="667"/>
    </row>
    <row r="218" spans="2:8">
      <c r="B218" s="664"/>
      <c r="C218" s="665"/>
      <c r="D218" s="665"/>
      <c r="E218" s="666" t="s">
        <v>470</v>
      </c>
      <c r="F218" s="626">
        <f>F217*8/7</f>
        <v>0</v>
      </c>
      <c r="G218" s="626">
        <f>G209/220*1.5*1.2</f>
        <v>10.008654545454545</v>
      </c>
      <c r="H218" s="667">
        <f>TRUNC(F218*G218,2)</f>
        <v>0</v>
      </c>
    </row>
    <row r="219" spans="2:8">
      <c r="B219" s="664" t="s">
        <v>476</v>
      </c>
      <c r="C219" s="665"/>
      <c r="D219" s="665"/>
      <c r="E219" s="666" t="s">
        <v>477</v>
      </c>
      <c r="F219" s="669"/>
      <c r="G219" s="626">
        <f>TRUNC(((52+9)/304)*(SUM(H213:H218)),2)</f>
        <v>0</v>
      </c>
      <c r="H219" s="667">
        <f>G219</f>
        <v>0</v>
      </c>
    </row>
    <row r="220" spans="2:8">
      <c r="B220" s="664" t="s">
        <v>478</v>
      </c>
      <c r="C220" s="665"/>
      <c r="D220" s="665"/>
      <c r="E220" s="666"/>
      <c r="F220" s="672">
        <v>1</v>
      </c>
      <c r="G220" s="626"/>
      <c r="H220" s="667"/>
    </row>
    <row r="221" spans="2:8">
      <c r="B221" s="664" t="s">
        <v>479</v>
      </c>
      <c r="C221" s="665"/>
      <c r="D221" s="665"/>
      <c r="E221" s="666" t="s">
        <v>480</v>
      </c>
      <c r="F221" s="673">
        <f>VLOOKUP(B209,Tabela3[[#All],[descrição]:[fonte]],3,FALSE)</f>
        <v>0</v>
      </c>
      <c r="G221" s="626">
        <f>IF(F220=2,SUM(H209:H219),IF(F220=1,SUM(H209:H219)*G210/G209,0))</f>
        <v>1045</v>
      </c>
      <c r="H221" s="667">
        <f>TRUNC(F221*G221/100,2)</f>
        <v>0</v>
      </c>
    </row>
    <row r="222" spans="2:8">
      <c r="B222" s="674" t="s">
        <v>481</v>
      </c>
      <c r="C222" s="665"/>
      <c r="D222" s="665"/>
      <c r="E222" s="675"/>
      <c r="F222" s="675"/>
      <c r="G222" s="676"/>
      <c r="H222" s="677">
        <f>SUM(H209:H221)</f>
        <v>1223.28</v>
      </c>
    </row>
    <row r="223" spans="2:8">
      <c r="B223" s="678" t="s">
        <v>482</v>
      </c>
      <c r="C223" s="679"/>
      <c r="D223" s="680"/>
      <c r="E223" s="681" t="s">
        <v>480</v>
      </c>
      <c r="F223" s="682">
        <f>VLOOKUP(B223,Tabela3[[#All],[descrição]:[fonte]],4,FALSE)</f>
        <v>70.489999999999995</v>
      </c>
      <c r="G223" s="682">
        <f>H222</f>
        <v>1223.28</v>
      </c>
      <c r="H223" s="683">
        <f>TRUNC(G223*F223/100,2)</f>
        <v>862.29</v>
      </c>
    </row>
    <row r="224" spans="2:8">
      <c r="B224" s="684" t="s">
        <v>861</v>
      </c>
      <c r="C224" s="665"/>
      <c r="D224" s="665"/>
      <c r="E224" s="685"/>
      <c r="F224" s="685"/>
      <c r="G224" s="686"/>
      <c r="H224" s="687">
        <f>TRUNC(H222+H223,2)</f>
        <v>2085.5700000000002</v>
      </c>
    </row>
    <row r="225" spans="2:8">
      <c r="B225" s="688" t="s">
        <v>483</v>
      </c>
      <c r="C225" s="336"/>
      <c r="D225" s="336"/>
      <c r="E225" s="336"/>
      <c r="F225" s="336"/>
      <c r="G225" s="336"/>
      <c r="H225" s="689"/>
    </row>
    <row r="226" spans="2:8">
      <c r="B226" s="690" t="s">
        <v>860</v>
      </c>
      <c r="C226" s="691"/>
      <c r="D226" s="692"/>
      <c r="E226" s="693" t="s">
        <v>484</v>
      </c>
      <c r="F226" s="694">
        <v>1</v>
      </c>
      <c r="G226" s="694">
        <f>H229</f>
        <v>126.65</v>
      </c>
      <c r="H226" s="695">
        <f>TRUNC(G226*F226,2)</f>
        <v>126.65</v>
      </c>
    </row>
    <row r="227" spans="2:8">
      <c r="B227" s="664" t="s">
        <v>485</v>
      </c>
      <c r="C227" s="665"/>
      <c r="D227" s="665"/>
      <c r="E227" s="666" t="s">
        <v>477</v>
      </c>
      <c r="F227" s="626">
        <v>1</v>
      </c>
      <c r="G227" s="626">
        <f>VLOOKUP(B227,Tabela3[[#All],[descrição]:[fonte]],4,FALSE)</f>
        <v>3.95</v>
      </c>
      <c r="H227" s="667"/>
    </row>
    <row r="228" spans="2:8">
      <c r="B228" s="664" t="s">
        <v>486</v>
      </c>
      <c r="C228" s="665"/>
      <c r="D228" s="665"/>
      <c r="E228" s="666" t="s">
        <v>487</v>
      </c>
      <c r="F228" s="626">
        <f>$H$3</f>
        <v>25.33</v>
      </c>
      <c r="G228" s="626"/>
      <c r="H228" s="667"/>
    </row>
    <row r="229" spans="2:8">
      <c r="B229" s="696" t="str">
        <f>CONCATENATE("Vale Transporte - ",B208)</f>
        <v>Vale Transporte - Porteiro</v>
      </c>
      <c r="C229" s="665"/>
      <c r="D229" s="665"/>
      <c r="E229" s="697" t="s">
        <v>488</v>
      </c>
      <c r="F229" s="698">
        <f>F228*2*1</f>
        <v>50.66</v>
      </c>
      <c r="G229" s="698">
        <f>IF(TRUNC(IFERROR(((G227)-((G209*0.06)/(F228*2))),"-"),2)&lt;=0,0,TRUNC(IFERROR(((G227)-((G209*0.06)/(F228*2))),"-"),2))</f>
        <v>2.5</v>
      </c>
      <c r="H229" s="699">
        <f>TRUNC(IFERROR(F229*G229,"-"),2)</f>
        <v>126.65</v>
      </c>
    </row>
    <row r="230" spans="2:8">
      <c r="B230" s="690" t="s">
        <v>859</v>
      </c>
      <c r="C230" s="691"/>
      <c r="D230" s="692"/>
      <c r="E230" s="693" t="s">
        <v>484</v>
      </c>
      <c r="F230" s="694">
        <v>1</v>
      </c>
      <c r="G230" s="694">
        <f>H231</f>
        <v>303.95999999999998</v>
      </c>
      <c r="H230" s="695">
        <f>G230*F230</f>
        <v>303.95999999999998</v>
      </c>
    </row>
    <row r="231" spans="2:8">
      <c r="B231" s="700" t="s">
        <v>489</v>
      </c>
      <c r="C231" s="701"/>
      <c r="D231" s="702"/>
      <c r="E231" s="703" t="s">
        <v>490</v>
      </c>
      <c r="F231" s="694">
        <f>F228</f>
        <v>25.33</v>
      </c>
      <c r="G231" s="694">
        <f>VLOOKUP(B231,Tabela3[[#All],[descrição]:[fonte]],4,FALSE)</f>
        <v>12</v>
      </c>
      <c r="H231" s="704">
        <f>TRUNC(F231*G231,2)</f>
        <v>303.95999999999998</v>
      </c>
    </row>
    <row r="232" spans="2:8">
      <c r="B232" s="705" t="s">
        <v>491</v>
      </c>
      <c r="C232" s="706"/>
      <c r="D232" s="707"/>
      <c r="E232" s="675" t="s">
        <v>484</v>
      </c>
      <c r="F232" s="626">
        <v>1</v>
      </c>
      <c r="G232" s="626">
        <f>VLOOKUP(B232,Tabela3[[#All],[descrição]:[fonte]],4,FALSE)</f>
        <v>220</v>
      </c>
      <c r="H232" s="677">
        <f>G232*F232</f>
        <v>220</v>
      </c>
    </row>
    <row r="233" spans="2:8">
      <c r="B233" s="708" t="s">
        <v>384</v>
      </c>
      <c r="C233" s="709"/>
      <c r="D233" s="709"/>
      <c r="E233" s="709"/>
      <c r="F233" s="709"/>
      <c r="G233" s="709"/>
      <c r="H233" s="725">
        <f>D19</f>
        <v>1</v>
      </c>
    </row>
    <row r="234" spans="2:8" ht="15.75" thickBot="1">
      <c r="B234" s="710" t="s">
        <v>854</v>
      </c>
      <c r="C234" s="711"/>
      <c r="D234" s="711"/>
      <c r="E234" s="711"/>
      <c r="F234" s="711"/>
      <c r="G234" s="711"/>
      <c r="H234" s="712">
        <f>H233*H208</f>
        <v>2736.1800000000003</v>
      </c>
    </row>
    <row r="235" spans="2:8" ht="15.75" thickBot="1">
      <c r="B235" s="307"/>
      <c r="C235" s="307"/>
      <c r="D235" s="307"/>
      <c r="E235" s="307"/>
      <c r="F235" s="307"/>
      <c r="G235" s="307"/>
      <c r="H235" s="307"/>
    </row>
    <row r="236" spans="2:8" ht="15.75" thickBot="1">
      <c r="B236" s="348" t="s">
        <v>598</v>
      </c>
      <c r="C236" s="312"/>
      <c r="D236" s="312"/>
      <c r="E236" s="312"/>
      <c r="F236" s="312"/>
      <c r="G236" s="312"/>
      <c r="H236" s="349">
        <f>H205+H176+H147+H118+H89+H234</f>
        <v>43382.86</v>
      </c>
    </row>
    <row r="237" spans="2:8">
      <c r="B237" s="307"/>
      <c r="C237" s="307"/>
      <c r="D237" s="307"/>
      <c r="E237" s="307"/>
      <c r="F237" s="307"/>
      <c r="G237" s="307"/>
      <c r="H237" s="307"/>
    </row>
    <row r="238" spans="2:8">
      <c r="B238" s="309" t="s">
        <v>967</v>
      </c>
      <c r="C238" s="307"/>
      <c r="D238" s="307"/>
      <c r="E238" s="307"/>
      <c r="F238" s="307"/>
      <c r="G238" s="307"/>
      <c r="H238" s="307"/>
    </row>
    <row r="239" spans="2:8" ht="30">
      <c r="B239" s="645" t="s">
        <v>900</v>
      </c>
      <c r="C239" s="646"/>
      <c r="D239" s="648"/>
      <c r="E239" s="649" t="s">
        <v>1164</v>
      </c>
      <c r="F239" s="650" t="s">
        <v>1165</v>
      </c>
      <c r="G239" s="649" t="s">
        <v>1166</v>
      </c>
      <c r="H239" s="651" t="s">
        <v>1167</v>
      </c>
    </row>
    <row r="240" spans="2:8">
      <c r="B240" s="320"/>
      <c r="C240" s="321"/>
      <c r="D240" s="321"/>
      <c r="E240" s="355"/>
      <c r="F240" s="468"/>
      <c r="G240" s="854"/>
      <c r="H240" s="368"/>
    </row>
    <row r="241" spans="2:8" ht="15.75" thickBot="1">
      <c r="B241" s="336" t="s">
        <v>595</v>
      </c>
      <c r="C241" s="307"/>
      <c r="D241" s="307"/>
      <c r="E241" s="307"/>
      <c r="F241" s="307"/>
      <c r="G241" s="307"/>
      <c r="H241" s="307"/>
    </row>
    <row r="242" spans="2:8" ht="15.75" thickBot="1">
      <c r="B242" s="348" t="s">
        <v>602</v>
      </c>
      <c r="C242" s="312"/>
      <c r="D242" s="312"/>
      <c r="E242" s="312"/>
      <c r="F242" s="312"/>
      <c r="G242" s="312"/>
      <c r="H242" s="349">
        <f>SUM(H240:H240)</f>
        <v>0</v>
      </c>
    </row>
    <row r="243" spans="2:8">
      <c r="B243" s="307"/>
      <c r="C243" s="307"/>
      <c r="D243" s="307"/>
      <c r="E243" s="307"/>
      <c r="F243" s="307"/>
      <c r="G243" s="307"/>
      <c r="H243" s="307"/>
    </row>
    <row r="244" spans="2:8">
      <c r="B244" s="309" t="s">
        <v>968</v>
      </c>
      <c r="C244" s="307"/>
      <c r="D244" s="307"/>
      <c r="E244" s="307"/>
      <c r="F244" s="307"/>
      <c r="G244" s="307"/>
      <c r="H244" s="307"/>
    </row>
    <row r="245" spans="2:8">
      <c r="B245" s="570" t="s">
        <v>900</v>
      </c>
      <c r="C245" s="571"/>
      <c r="D245" s="571"/>
      <c r="E245" s="571" t="s">
        <v>1164</v>
      </c>
      <c r="F245" s="571"/>
      <c r="G245" s="571"/>
      <c r="H245" s="750" t="s">
        <v>1168</v>
      </c>
    </row>
    <row r="246" spans="2:8">
      <c r="B246" s="348"/>
      <c r="C246" s="312"/>
      <c r="D246" s="312"/>
      <c r="E246" s="358"/>
      <c r="F246" s="312"/>
      <c r="G246" s="312"/>
      <c r="H246" s="359"/>
    </row>
    <row r="247" spans="2:8" ht="15.75" thickBot="1">
      <c r="B247" s="307"/>
      <c r="C247" s="307"/>
      <c r="D247" s="307"/>
      <c r="E247" s="307"/>
      <c r="F247" s="307"/>
      <c r="G247" s="307"/>
      <c r="H247" s="307"/>
    </row>
    <row r="248" spans="2:8" ht="15.75" thickBot="1">
      <c r="B248" s="348" t="s">
        <v>636</v>
      </c>
      <c r="C248" s="312"/>
      <c r="D248" s="312"/>
      <c r="E248" s="312"/>
      <c r="F248" s="312"/>
      <c r="G248" s="312"/>
      <c r="H248" s="349">
        <f>H246</f>
        <v>0</v>
      </c>
    </row>
    <row r="249" spans="2:8">
      <c r="B249" s="307"/>
      <c r="C249" s="307"/>
      <c r="D249" s="307"/>
      <c r="E249" s="307"/>
      <c r="F249" s="307"/>
      <c r="G249" s="307"/>
      <c r="H249" s="307"/>
    </row>
    <row r="250" spans="2:8">
      <c r="B250" s="309" t="s">
        <v>971</v>
      </c>
      <c r="C250" s="307"/>
      <c r="D250" s="307"/>
      <c r="E250" s="307"/>
      <c r="F250" s="307"/>
      <c r="G250" s="307"/>
      <c r="H250" s="307"/>
    </row>
    <row r="251" spans="2:8" ht="30">
      <c r="B251" s="645" t="s">
        <v>900</v>
      </c>
      <c r="C251" s="646"/>
      <c r="D251" s="648"/>
      <c r="E251" s="649" t="s">
        <v>1164</v>
      </c>
      <c r="F251" s="650" t="s">
        <v>1165</v>
      </c>
      <c r="G251" s="649" t="s">
        <v>1166</v>
      </c>
      <c r="H251" s="651" t="s">
        <v>1167</v>
      </c>
    </row>
    <row r="252" spans="2:8">
      <c r="B252" s="315" t="str">
        <f t="shared" ref="B252:B260" si="1">B37</f>
        <v>Jaqueta com reflexivo</v>
      </c>
      <c r="C252" s="316"/>
      <c r="D252" s="316"/>
      <c r="E252" s="350" t="s">
        <v>601</v>
      </c>
      <c r="F252" s="466">
        <f t="shared" ref="F252:F260" si="2">H37</f>
        <v>0.66</v>
      </c>
      <c r="G252" s="330">
        <f>VLOOKUP(B252,Tabela1[[#All],[ITENS PARA ORÇAMENTO]:[MEDIANA]],11,FALSE)</f>
        <v>132.91</v>
      </c>
      <c r="H252" s="352">
        <f>TRUNC(F252*G252,2)</f>
        <v>87.72</v>
      </c>
    </row>
    <row r="253" spans="2:8">
      <c r="B253" s="318" t="str">
        <f t="shared" si="1"/>
        <v>Calça de Brim</v>
      </c>
      <c r="C253" s="307"/>
      <c r="D253" s="307"/>
      <c r="E253" s="353" t="s">
        <v>601</v>
      </c>
      <c r="F253" s="467">
        <f t="shared" si="2"/>
        <v>2</v>
      </c>
      <c r="G253" s="330">
        <f>VLOOKUP(B253,Tabela1[[#All],[ITENS PARA ORÇAMENTO]:[MEDIANA]],11,FALSE)</f>
        <v>43.86</v>
      </c>
      <c r="H253" s="354">
        <f t="shared" ref="H253:H260" si="3">TRUNC(F253*G253,2)</f>
        <v>87.72</v>
      </c>
    </row>
    <row r="254" spans="2:8">
      <c r="B254" s="318" t="str">
        <f t="shared" si="1"/>
        <v>Camiseta manga longa com faixa reflexiva</v>
      </c>
      <c r="C254" s="307"/>
      <c r="D254" s="307"/>
      <c r="E254" s="353" t="s">
        <v>601</v>
      </c>
      <c r="F254" s="467">
        <f t="shared" si="2"/>
        <v>2</v>
      </c>
      <c r="G254" s="330">
        <f>VLOOKUP(B254,Tabela1[[#All],[ITENS PARA ORÇAMENTO]:[MEDIANA]],11,FALSE)</f>
        <v>43.02</v>
      </c>
      <c r="H254" s="354">
        <f t="shared" si="3"/>
        <v>86.04</v>
      </c>
    </row>
    <row r="255" spans="2:8">
      <c r="B255" s="318" t="str">
        <f t="shared" si="1"/>
        <v>Boné de Brim</v>
      </c>
      <c r="C255" s="307"/>
      <c r="D255" s="307"/>
      <c r="E255" s="353" t="s">
        <v>601</v>
      </c>
      <c r="F255" s="467">
        <f t="shared" si="2"/>
        <v>1.33</v>
      </c>
      <c r="G255" s="330">
        <f>VLOOKUP(B255,Tabela1[[#All],[ITENS PARA ORÇAMENTO]:[MEDIANA]],11,FALSE)</f>
        <v>17.59</v>
      </c>
      <c r="H255" s="354">
        <f t="shared" si="3"/>
        <v>23.39</v>
      </c>
    </row>
    <row r="256" spans="2:8" ht="27.75" customHeight="1">
      <c r="B256" s="1445" t="str">
        <f t="shared" si="1"/>
        <v>Botina De Segurança C/ Ponta E Biqueira Com Sola Antiderrapante</v>
      </c>
      <c r="C256" s="1446"/>
      <c r="D256" s="1448"/>
      <c r="E256" s="217" t="s">
        <v>601</v>
      </c>
      <c r="F256" s="428">
        <f t="shared" si="2"/>
        <v>2</v>
      </c>
      <c r="G256" s="394">
        <f>VLOOKUP(B256,Tabela1[[#All],[ITENS PARA ORÇAMENTO]:[MEDIANA]],11,FALSE)</f>
        <v>57.7</v>
      </c>
      <c r="H256" s="431">
        <f t="shared" si="3"/>
        <v>115.4</v>
      </c>
    </row>
    <row r="257" spans="2:18">
      <c r="B257" s="318" t="str">
        <f t="shared" si="1"/>
        <v>Capa de chuva amarela com reflexivo</v>
      </c>
      <c r="C257" s="307"/>
      <c r="D257" s="307"/>
      <c r="E257" s="353" t="s">
        <v>601</v>
      </c>
      <c r="F257" s="467">
        <f t="shared" si="2"/>
        <v>1.33</v>
      </c>
      <c r="G257" s="330">
        <f>VLOOKUP(B257,Tabela1[[#All],[ITENS PARA ORÇAMENTO]:[MEDIANA]],11,FALSE)</f>
        <v>23</v>
      </c>
      <c r="H257" s="354">
        <f t="shared" si="3"/>
        <v>30.59</v>
      </c>
    </row>
    <row r="258" spans="2:18">
      <c r="B258" s="318" t="str">
        <f t="shared" si="1"/>
        <v>Colete reflexivo</v>
      </c>
      <c r="C258" s="307"/>
      <c r="D258" s="307"/>
      <c r="E258" s="353" t="s">
        <v>601</v>
      </c>
      <c r="F258" s="467">
        <f t="shared" si="2"/>
        <v>1.33</v>
      </c>
      <c r="G258" s="330">
        <f>VLOOKUP(B258,Tabela1[[#All],[ITENS PARA ORÇAMENTO]:[MEDIANA]],11,FALSE)</f>
        <v>19.989999999999998</v>
      </c>
      <c r="H258" s="354">
        <f t="shared" si="3"/>
        <v>26.58</v>
      </c>
    </row>
    <row r="259" spans="2:18">
      <c r="B259" s="318" t="str">
        <f t="shared" si="1"/>
        <v>Luva Tricotada com revestimento Nitrílico</v>
      </c>
      <c r="C259" s="307"/>
      <c r="D259" s="307"/>
      <c r="E259" s="353" t="s">
        <v>601</v>
      </c>
      <c r="F259" s="467">
        <f t="shared" si="2"/>
        <v>5.33</v>
      </c>
      <c r="G259" s="330">
        <f>VLOOKUP(B259,Tabela1[[#All],[ITENS PARA ORÇAMENTO]:[MEDIANA]],11,FALSE)</f>
        <v>9.99</v>
      </c>
      <c r="H259" s="354">
        <f t="shared" si="3"/>
        <v>53.24</v>
      </c>
    </row>
    <row r="260" spans="2:18">
      <c r="B260" s="320" t="str">
        <f t="shared" si="1"/>
        <v>Protetor solar FPS 30</v>
      </c>
      <c r="C260" s="321"/>
      <c r="D260" s="321"/>
      <c r="E260" s="355" t="s">
        <v>601</v>
      </c>
      <c r="F260" s="468">
        <f t="shared" si="2"/>
        <v>8</v>
      </c>
      <c r="G260" s="333">
        <f>VLOOKUP(B260,Tabela1[[#All],[ITENS PARA ORÇAMENTO]:[MEDIANA]],11,FALSE)</f>
        <v>9.65</v>
      </c>
      <c r="H260" s="356">
        <f t="shared" si="3"/>
        <v>77.2</v>
      </c>
    </row>
    <row r="261" spans="2:18" ht="15.75" thickBot="1">
      <c r="B261" s="337" t="s">
        <v>595</v>
      </c>
      <c r="C261" s="307"/>
      <c r="D261" s="307"/>
      <c r="E261" s="307"/>
      <c r="F261" s="307"/>
      <c r="G261" s="307"/>
      <c r="H261" s="307"/>
    </row>
    <row r="262" spans="2:18" ht="15.75" thickBot="1">
      <c r="B262" s="348" t="s">
        <v>614</v>
      </c>
      <c r="C262" s="312"/>
      <c r="D262" s="312"/>
      <c r="E262" s="312"/>
      <c r="F262" s="312"/>
      <c r="G262" s="312"/>
      <c r="H262" s="349">
        <f>SUM(H252:H260)</f>
        <v>587.88</v>
      </c>
    </row>
    <row r="263" spans="2:18">
      <c r="B263" s="307"/>
      <c r="C263" s="307"/>
      <c r="D263" s="307"/>
      <c r="E263" s="307"/>
      <c r="F263" s="307"/>
      <c r="G263" s="307"/>
      <c r="H263" s="307"/>
    </row>
    <row r="264" spans="2:18">
      <c r="B264" s="309" t="s">
        <v>971</v>
      </c>
      <c r="C264" s="307"/>
      <c r="D264" s="307"/>
      <c r="E264" s="307"/>
      <c r="F264" s="307"/>
      <c r="G264" s="307"/>
      <c r="H264" s="307"/>
    </row>
    <row r="265" spans="2:18" ht="30">
      <c r="B265" s="645" t="s">
        <v>900</v>
      </c>
      <c r="C265" s="646"/>
      <c r="D265" s="648"/>
      <c r="E265" s="649" t="s">
        <v>1164</v>
      </c>
      <c r="F265" s="650" t="s">
        <v>1165</v>
      </c>
      <c r="G265" s="649" t="s">
        <v>1166</v>
      </c>
      <c r="H265" s="651" t="s">
        <v>1167</v>
      </c>
    </row>
    <row r="266" spans="2:18">
      <c r="B266" s="311" t="str">
        <f>B50</f>
        <v>Cone de sinalização</v>
      </c>
      <c r="C266" s="312"/>
      <c r="D266" s="877"/>
      <c r="E266" s="358" t="s">
        <v>601</v>
      </c>
      <c r="F266" s="876">
        <f>H50</f>
        <v>0.16666666666666666</v>
      </c>
      <c r="G266" s="490">
        <f>VLOOKUP(B266,Tabela1[[#All],[ITENS PARA ORÇAMENTO]:[MEDIANA]],11,FALSE)</f>
        <v>27.5</v>
      </c>
      <c r="H266" s="339">
        <f>TRUNC(F266*G266,2)</f>
        <v>4.58</v>
      </c>
    </row>
    <row r="267" spans="2:18">
      <c r="B267" s="307"/>
      <c r="C267" s="307"/>
      <c r="D267" s="307"/>
      <c r="E267" s="307"/>
      <c r="F267" s="307"/>
      <c r="G267" s="307"/>
      <c r="H267" s="307"/>
    </row>
    <row r="268" spans="2:18">
      <c r="B268" s="309" t="s">
        <v>972</v>
      </c>
      <c r="C268" s="307"/>
      <c r="D268" s="307"/>
      <c r="E268" s="307"/>
      <c r="F268" s="307"/>
      <c r="G268" s="307"/>
      <c r="H268" s="307"/>
    </row>
    <row r="269" spans="2:18" ht="15.75" thickBot="1">
      <c r="B269" s="309" t="s">
        <v>1307</v>
      </c>
      <c r="C269" s="307"/>
      <c r="D269" s="307"/>
      <c r="E269" s="307"/>
      <c r="F269" s="307"/>
      <c r="G269" s="307"/>
      <c r="H269" s="307"/>
    </row>
    <row r="270" spans="2:18">
      <c r="B270" s="1598" t="s">
        <v>1051</v>
      </c>
      <c r="C270" s="1599"/>
      <c r="D270" s="1599"/>
      <c r="E270" s="1600"/>
      <c r="F270" s="762" t="s">
        <v>559</v>
      </c>
      <c r="G270" s="753" t="s">
        <v>814</v>
      </c>
      <c r="H270" s="754">
        <f>SUM(H272:H277)</f>
        <v>17215.04</v>
      </c>
      <c r="L270" s="893" t="s">
        <v>1068</v>
      </c>
      <c r="P270" s="504" t="s">
        <v>1069</v>
      </c>
      <c r="Q270" s="504"/>
      <c r="R270" s="504" t="s">
        <v>1070</v>
      </c>
    </row>
    <row r="271" spans="2:18">
      <c r="B271" s="1601" t="s">
        <v>799</v>
      </c>
      <c r="C271" s="1602"/>
      <c r="D271" s="1602"/>
      <c r="E271" s="1603"/>
      <c r="F271" s="666" t="s">
        <v>477</v>
      </c>
      <c r="H271" s="755">
        <v>544058.37</v>
      </c>
      <c r="L271" s="893" t="s">
        <v>1340</v>
      </c>
      <c r="P271" s="763">
        <v>11181</v>
      </c>
      <c r="Q271" s="504" t="s">
        <v>1071</v>
      </c>
      <c r="R271" s="504" t="s">
        <v>1339</v>
      </c>
    </row>
    <row r="272" spans="2:18">
      <c r="B272" s="1595" t="s">
        <v>812</v>
      </c>
      <c r="C272" s="1596"/>
      <c r="D272" s="1596"/>
      <c r="E272" s="1597"/>
      <c r="F272" s="666" t="s">
        <v>1049</v>
      </c>
      <c r="G272" s="507">
        <v>23.32</v>
      </c>
      <c r="H272" s="755">
        <f>TRUNC($P$289*$H$3*G272,2)</f>
        <v>4331.76</v>
      </c>
      <c r="L272" s="893" t="s">
        <v>1072</v>
      </c>
      <c r="P272" s="504">
        <v>1</v>
      </c>
      <c r="Q272" s="504" t="s">
        <v>1073</v>
      </c>
      <c r="R272" s="504"/>
    </row>
    <row r="273" spans="2:18">
      <c r="B273" s="1595" t="s">
        <v>1046</v>
      </c>
      <c r="C273" s="1596"/>
      <c r="D273" s="1596"/>
      <c r="E273" s="1597"/>
      <c r="F273" s="666" t="s">
        <v>1049</v>
      </c>
      <c r="G273" s="507">
        <v>2.4500000000000002</v>
      </c>
      <c r="H273" s="755">
        <f>TRUNC($P$289*$H$3*G273,2)</f>
        <v>455.09</v>
      </c>
      <c r="L273" s="893" t="s">
        <v>812</v>
      </c>
      <c r="P273" s="504">
        <v>4.0000000000000003E-5</v>
      </c>
      <c r="Q273" s="504" t="s">
        <v>1074</v>
      </c>
      <c r="R273" s="504"/>
    </row>
    <row r="274" spans="2:18">
      <c r="B274" s="1595" t="s">
        <v>1047</v>
      </c>
      <c r="C274" s="1596"/>
      <c r="D274" s="1596"/>
      <c r="E274" s="1597"/>
      <c r="F274" s="666" t="s">
        <v>1049</v>
      </c>
      <c r="G274" s="507">
        <v>3.89</v>
      </c>
      <c r="H274" s="755">
        <f>TRUNC($P$289*$H$3*G274,2)</f>
        <v>722.58</v>
      </c>
      <c r="L274" s="893" t="s">
        <v>1046</v>
      </c>
      <c r="P274" s="504">
        <v>4.0000000000000003E-5</v>
      </c>
      <c r="Q274" s="504" t="s">
        <v>1074</v>
      </c>
      <c r="R274" s="504"/>
    </row>
    <row r="275" spans="2:18">
      <c r="B275" s="1595" t="s">
        <v>843</v>
      </c>
      <c r="C275" s="1596"/>
      <c r="D275" s="1596"/>
      <c r="E275" s="1597"/>
      <c r="F275" s="666" t="s">
        <v>1050</v>
      </c>
      <c r="G275" s="507">
        <v>34.979999999999997</v>
      </c>
      <c r="H275" s="755">
        <f>TRUNC($P$289*$P$291*$H$3*G275,2)</f>
        <v>1949.29</v>
      </c>
      <c r="L275" s="893" t="s">
        <v>843</v>
      </c>
      <c r="P275" s="504">
        <v>1.1E-4</v>
      </c>
      <c r="Q275" s="504" t="s">
        <v>1074</v>
      </c>
      <c r="R275" s="504"/>
    </row>
    <row r="276" spans="2:18">
      <c r="B276" s="1595" t="s">
        <v>1048</v>
      </c>
      <c r="C276" s="1596"/>
      <c r="D276" s="1596"/>
      <c r="E276" s="1596"/>
      <c r="F276" s="666" t="s">
        <v>1050</v>
      </c>
      <c r="G276" s="507">
        <v>105.87</v>
      </c>
      <c r="H276" s="755">
        <f>TRUNC($P$289*$P$291*$H$3*G276,2)</f>
        <v>5899.71</v>
      </c>
      <c r="L276" s="893" t="s">
        <v>1075</v>
      </c>
      <c r="P276" s="504">
        <v>3.0000000000000001E-3</v>
      </c>
      <c r="Q276" s="504" t="s">
        <v>1076</v>
      </c>
      <c r="R276" s="504"/>
    </row>
    <row r="277" spans="2:18">
      <c r="B277" s="911" t="s">
        <v>1337</v>
      </c>
      <c r="C277" s="912"/>
      <c r="D277" s="912"/>
      <c r="E277" s="912"/>
      <c r="F277" s="697" t="s">
        <v>1338</v>
      </c>
      <c r="G277" s="931">
        <f>SUM(G272:G274)</f>
        <v>29.66</v>
      </c>
      <c r="H277" s="755">
        <f>TRUNC($P$289*0.7*$H$3*G277,2)</f>
        <v>3856.61</v>
      </c>
      <c r="L277" s="893" t="s">
        <v>1077</v>
      </c>
      <c r="P277" s="504">
        <v>1.6000000000000001E-3</v>
      </c>
      <c r="Q277" s="504" t="s">
        <v>1074</v>
      </c>
      <c r="R277" s="504"/>
    </row>
    <row r="278" spans="2:18">
      <c r="B278" s="757" t="s">
        <v>845</v>
      </c>
      <c r="C278" s="856"/>
      <c r="D278" s="856"/>
      <c r="E278" s="856"/>
      <c r="F278" s="756"/>
      <c r="G278" s="756"/>
      <c r="H278" s="758">
        <f>G5</f>
        <v>1</v>
      </c>
      <c r="L278" s="893" t="s">
        <v>1078</v>
      </c>
      <c r="P278" s="759">
        <v>4.4660000000000002</v>
      </c>
      <c r="Q278" s="504" t="s">
        <v>1079</v>
      </c>
      <c r="R278" s="504" t="s">
        <v>1084</v>
      </c>
    </row>
    <row r="279" spans="2:18" ht="15.75" thickBot="1">
      <c r="B279" s="1593" t="s">
        <v>844</v>
      </c>
      <c r="C279" s="1594"/>
      <c r="D279" s="1594"/>
      <c r="E279" s="1594"/>
      <c r="F279" s="760"/>
      <c r="G279" s="760"/>
      <c r="H279" s="761">
        <f>H270*H278</f>
        <v>17215.04</v>
      </c>
      <c r="L279" s="893" t="s">
        <v>1080</v>
      </c>
      <c r="P279" s="759">
        <v>20.18</v>
      </c>
      <c r="Q279" s="504" t="s">
        <v>1081</v>
      </c>
      <c r="R279" s="504"/>
    </row>
    <row r="280" spans="2:18">
      <c r="B280" s="337" t="s">
        <v>1058</v>
      </c>
      <c r="L280" s="893" t="s">
        <v>1082</v>
      </c>
      <c r="P280" s="759">
        <v>167.19</v>
      </c>
      <c r="Q280" s="504" t="s">
        <v>1071</v>
      </c>
      <c r="R280" s="504"/>
    </row>
    <row r="281" spans="2:18">
      <c r="B281" s="307"/>
      <c r="C281" s="307"/>
      <c r="D281" s="307"/>
      <c r="E281" s="307"/>
      <c r="F281" s="307"/>
      <c r="G281" s="307"/>
      <c r="H281" s="307"/>
      <c r="L281" s="894" t="s">
        <v>1083</v>
      </c>
      <c r="P281" s="504"/>
      <c r="Q281" s="504"/>
      <c r="R281" s="504"/>
    </row>
    <row r="282" spans="2:18" ht="15.75" thickBot="1">
      <c r="B282" s="309" t="s">
        <v>1308</v>
      </c>
      <c r="C282" s="307"/>
      <c r="D282" s="307"/>
      <c r="E282" s="307"/>
      <c r="F282" s="307"/>
      <c r="G282" s="307"/>
      <c r="H282" s="307"/>
      <c r="L282" s="893" t="s">
        <v>1072</v>
      </c>
      <c r="P282" s="514">
        <f>P278*P272</f>
        <v>4.4660000000000002</v>
      </c>
      <c r="Q282" s="504" t="s">
        <v>1049</v>
      </c>
      <c r="R282" s="504"/>
    </row>
    <row r="283" spans="2:18">
      <c r="B283" s="1598" t="s">
        <v>1059</v>
      </c>
      <c r="C283" s="1599"/>
      <c r="D283" s="1599"/>
      <c r="E283" s="1600"/>
      <c r="F283" s="762" t="s">
        <v>559</v>
      </c>
      <c r="G283" s="753" t="s">
        <v>814</v>
      </c>
      <c r="H283" s="754">
        <f>SUM(H285:H290)</f>
        <v>3545.0800000000004</v>
      </c>
      <c r="L283" s="893" t="s">
        <v>812</v>
      </c>
      <c r="P283" s="514">
        <f>P273*$P$271</f>
        <v>0.44724000000000003</v>
      </c>
      <c r="Q283" s="504" t="s">
        <v>1049</v>
      </c>
      <c r="R283" s="514"/>
    </row>
    <row r="284" spans="2:18">
      <c r="B284" s="1601" t="s">
        <v>799</v>
      </c>
      <c r="C284" s="1602"/>
      <c r="D284" s="1602"/>
      <c r="E284" s="1603"/>
      <c r="F284" s="666" t="s">
        <v>477</v>
      </c>
      <c r="H284" s="755">
        <v>121810.02</v>
      </c>
      <c r="L284" s="893" t="s">
        <v>1046</v>
      </c>
      <c r="P284" s="514">
        <f>P274*$P$271</f>
        <v>0.44724000000000003</v>
      </c>
      <c r="Q284" s="504" t="s">
        <v>1049</v>
      </c>
      <c r="R284" s="514"/>
    </row>
    <row r="285" spans="2:18">
      <c r="B285" s="1595" t="s">
        <v>812</v>
      </c>
      <c r="C285" s="1596"/>
      <c r="D285" s="1596"/>
      <c r="E285" s="1597"/>
      <c r="F285" s="666" t="s">
        <v>1049</v>
      </c>
      <c r="G285" s="507">
        <v>6.09</v>
      </c>
      <c r="H285" s="755">
        <f>TRUNC($P$289*$H$3*G285,2)</f>
        <v>1131.23</v>
      </c>
      <c r="L285" s="893" t="s">
        <v>843</v>
      </c>
      <c r="P285" s="514">
        <f>P275*$P$271</f>
        <v>1.2299100000000001</v>
      </c>
      <c r="Q285" s="504" t="s">
        <v>1049</v>
      </c>
      <c r="R285" s="514"/>
    </row>
    <row r="286" spans="2:18">
      <c r="B286" s="1595" t="s">
        <v>1046</v>
      </c>
      <c r="C286" s="1596"/>
      <c r="D286" s="1596"/>
      <c r="E286" s="1597"/>
      <c r="F286" s="666" t="s">
        <v>1049</v>
      </c>
      <c r="G286" s="507">
        <v>0.56000000000000005</v>
      </c>
      <c r="H286" s="755">
        <f>TRUNC($P$289*$H$3*G286,2)</f>
        <v>104.02</v>
      </c>
      <c r="L286" s="893" t="s">
        <v>1075</v>
      </c>
      <c r="P286" s="514">
        <f>P276*P279</f>
        <v>6.0540000000000004E-2</v>
      </c>
      <c r="Q286" s="504" t="s">
        <v>1049</v>
      </c>
      <c r="R286" s="514"/>
    </row>
    <row r="287" spans="2:18">
      <c r="B287" s="1595" t="s">
        <v>1047</v>
      </c>
      <c r="C287" s="1596"/>
      <c r="D287" s="1596"/>
      <c r="E287" s="1597"/>
      <c r="F287" s="666" t="s">
        <v>1049</v>
      </c>
      <c r="G287" s="507">
        <v>0.89</v>
      </c>
      <c r="H287" s="755">
        <f>TRUNC($P$289*$H$3*G287,2)</f>
        <v>165.32</v>
      </c>
      <c r="L287" s="893" t="s">
        <v>1077</v>
      </c>
      <c r="P287" s="514">
        <f>P277*P280</f>
        <v>0.26750400000000002</v>
      </c>
      <c r="Q287" s="504" t="s">
        <v>1049</v>
      </c>
      <c r="R287" s="514"/>
    </row>
    <row r="288" spans="2:18">
      <c r="B288" s="1595" t="s">
        <v>843</v>
      </c>
      <c r="C288" s="1596"/>
      <c r="D288" s="1596"/>
      <c r="E288" s="1597"/>
      <c r="F288" s="666" t="s">
        <v>1050</v>
      </c>
      <c r="G288" s="507">
        <v>6.09</v>
      </c>
      <c r="H288" s="755">
        <f>TRUNC($P$289*$P$292*$H$3*G288,2)</f>
        <v>339.37</v>
      </c>
      <c r="L288" s="883"/>
    </row>
    <row r="289" spans="2:17">
      <c r="B289" s="1595" t="s">
        <v>1048</v>
      </c>
      <c r="C289" s="1596"/>
      <c r="D289" s="1596"/>
      <c r="E289" s="1597"/>
      <c r="F289" s="666" t="s">
        <v>1050</v>
      </c>
      <c r="G289" s="507">
        <v>14.8</v>
      </c>
      <c r="H289" s="755">
        <f>TRUNC($P$289*$P$292*$H$3*G289,2)</f>
        <v>824.74</v>
      </c>
      <c r="L289" s="893" t="s">
        <v>1036</v>
      </c>
      <c r="P289" s="504">
        <f>44/6</f>
        <v>7.333333333333333</v>
      </c>
    </row>
    <row r="290" spans="2:17">
      <c r="B290" s="911" t="s">
        <v>1337</v>
      </c>
      <c r="C290" s="912"/>
      <c r="D290" s="912"/>
      <c r="E290" s="912"/>
      <c r="F290" s="697" t="s">
        <v>1338</v>
      </c>
      <c r="G290" s="931">
        <f>SUM(G285:G287)</f>
        <v>7.54</v>
      </c>
      <c r="H290" s="755">
        <f>TRUNC($P$289*0.7*$H$3*G290,2)</f>
        <v>980.4</v>
      </c>
      <c r="L290" s="894" t="s">
        <v>1052</v>
      </c>
      <c r="P290" s="504" t="s">
        <v>1053</v>
      </c>
      <c r="Q290" s="504" t="s">
        <v>1054</v>
      </c>
    </row>
    <row r="291" spans="2:17">
      <c r="B291" s="757" t="s">
        <v>845</v>
      </c>
      <c r="C291" s="856"/>
      <c r="D291" s="856"/>
      <c r="E291" s="856"/>
      <c r="F291" s="756"/>
      <c r="G291" s="756"/>
      <c r="H291" s="758">
        <f>G6</f>
        <v>1</v>
      </c>
      <c r="L291" s="893" t="s">
        <v>1055</v>
      </c>
      <c r="P291" s="508">
        <v>0.3</v>
      </c>
      <c r="Q291" s="508">
        <f>1-P291</f>
        <v>0.7</v>
      </c>
    </row>
    <row r="292" spans="2:17" ht="15.75" thickBot="1">
      <c r="B292" s="1593" t="s">
        <v>844</v>
      </c>
      <c r="C292" s="1594"/>
      <c r="D292" s="1594"/>
      <c r="E292" s="1594"/>
      <c r="F292" s="760"/>
      <c r="G292" s="760"/>
      <c r="H292" s="761">
        <f>H283*H291</f>
        <v>3545.0800000000004</v>
      </c>
      <c r="L292" s="893" t="s">
        <v>1056</v>
      </c>
      <c r="P292" s="508">
        <v>0.3</v>
      </c>
      <c r="Q292" s="508">
        <f>1-P292</f>
        <v>0.7</v>
      </c>
    </row>
    <row r="293" spans="2:17">
      <c r="B293" s="337" t="s">
        <v>1058</v>
      </c>
      <c r="L293" s="893" t="s">
        <v>1057</v>
      </c>
      <c r="P293" s="508">
        <v>0.28000000000000003</v>
      </c>
      <c r="Q293" s="508">
        <f>1-P293</f>
        <v>0.72</v>
      </c>
    </row>
    <row r="294" spans="2:17">
      <c r="B294" s="337"/>
    </row>
    <row r="295" spans="2:17" ht="15.75" thickBot="1">
      <c r="B295" s="309" t="s">
        <v>1309</v>
      </c>
      <c r="C295" s="307"/>
      <c r="D295" s="307"/>
      <c r="E295" s="307"/>
      <c r="F295" s="307"/>
      <c r="G295" s="307"/>
      <c r="H295" s="307"/>
    </row>
    <row r="296" spans="2:17">
      <c r="B296" s="1598" t="s">
        <v>1067</v>
      </c>
      <c r="C296" s="1599"/>
      <c r="D296" s="1599"/>
      <c r="E296" s="1600"/>
      <c r="F296" s="762" t="s">
        <v>559</v>
      </c>
      <c r="G296" s="753" t="s">
        <v>814</v>
      </c>
      <c r="H296" s="754">
        <f>SUM(H298:H303)</f>
        <v>781.91</v>
      </c>
    </row>
    <row r="297" spans="2:17">
      <c r="B297" s="1601" t="s">
        <v>799</v>
      </c>
      <c r="C297" s="1602"/>
      <c r="D297" s="1602"/>
      <c r="E297" s="1603"/>
      <c r="F297" s="666" t="s">
        <v>477</v>
      </c>
      <c r="H297" s="755">
        <v>11181</v>
      </c>
    </row>
    <row r="298" spans="2:17">
      <c r="B298" s="1595" t="s">
        <v>812</v>
      </c>
      <c r="C298" s="1596"/>
      <c r="D298" s="1596"/>
      <c r="E298" s="1597"/>
      <c r="F298" s="666" t="s">
        <v>1049</v>
      </c>
      <c r="G298" s="507">
        <v>0.45</v>
      </c>
      <c r="H298" s="755">
        <f>TRUNC($P$289*$H$3*G298,2)</f>
        <v>83.58</v>
      </c>
    </row>
    <row r="299" spans="2:17">
      <c r="B299" s="1595" t="s">
        <v>1046</v>
      </c>
      <c r="C299" s="1596"/>
      <c r="D299" s="1596"/>
      <c r="E299" s="1597"/>
      <c r="F299" s="666" t="s">
        <v>1049</v>
      </c>
      <c r="G299" s="507">
        <v>0.45</v>
      </c>
      <c r="H299" s="755">
        <f>TRUNC($P$289*$H$3*G299,2)</f>
        <v>83.58</v>
      </c>
    </row>
    <row r="300" spans="2:17">
      <c r="B300" s="1595" t="s">
        <v>1047</v>
      </c>
      <c r="C300" s="1596"/>
      <c r="D300" s="1596"/>
      <c r="E300" s="1597"/>
      <c r="F300" s="666" t="s">
        <v>1049</v>
      </c>
      <c r="G300" s="507">
        <v>0.56000000000000005</v>
      </c>
      <c r="H300" s="755">
        <f>TRUNC($P$289*$H$3*G300,2)</f>
        <v>104.02</v>
      </c>
    </row>
    <row r="301" spans="2:17">
      <c r="B301" s="1595" t="s">
        <v>843</v>
      </c>
      <c r="C301" s="1596"/>
      <c r="D301" s="1596"/>
      <c r="E301" s="1597"/>
      <c r="F301" s="666" t="s">
        <v>1050</v>
      </c>
      <c r="G301" s="507">
        <v>1.23</v>
      </c>
      <c r="H301" s="755">
        <f>TRUNC($P$289*$P$293*$H$3*G301,2)</f>
        <v>63.97</v>
      </c>
    </row>
    <row r="302" spans="2:17">
      <c r="B302" s="1595" t="s">
        <v>1048</v>
      </c>
      <c r="C302" s="1596"/>
      <c r="D302" s="1596"/>
      <c r="E302" s="1597"/>
      <c r="F302" s="666" t="s">
        <v>1050</v>
      </c>
      <c r="G302" s="507">
        <v>4.9400000000000004</v>
      </c>
      <c r="H302" s="755">
        <f>TRUNC($P$289*$P$293*$H$3*G302,2)</f>
        <v>256.93</v>
      </c>
    </row>
    <row r="303" spans="2:17">
      <c r="B303" s="911" t="s">
        <v>1337</v>
      </c>
      <c r="C303" s="912"/>
      <c r="D303" s="912"/>
      <c r="E303" s="912"/>
      <c r="F303" s="697" t="s">
        <v>1338</v>
      </c>
      <c r="G303" s="930">
        <f>SUM(G298:G300)</f>
        <v>1.46</v>
      </c>
      <c r="H303" s="755">
        <f>TRUNC($P$289*0.7*$H$3*G303,2)</f>
        <v>189.83</v>
      </c>
    </row>
    <row r="304" spans="2:17">
      <c r="B304" s="757" t="s">
        <v>845</v>
      </c>
      <c r="C304" s="856"/>
      <c r="D304" s="856"/>
      <c r="E304" s="856"/>
      <c r="F304" s="756"/>
      <c r="G304" s="756"/>
      <c r="H304" s="758">
        <f>G7</f>
        <v>1</v>
      </c>
    </row>
    <row r="305" spans="2:8" ht="15.75" thickBot="1">
      <c r="B305" s="1593" t="s">
        <v>844</v>
      </c>
      <c r="C305" s="1594"/>
      <c r="D305" s="1594"/>
      <c r="E305" s="1594"/>
      <c r="F305" s="760"/>
      <c r="G305" s="760"/>
      <c r="H305" s="761">
        <f>H296*H304</f>
        <v>781.91</v>
      </c>
    </row>
    <row r="306" spans="2:8">
      <c r="B306" s="337" t="s">
        <v>1085</v>
      </c>
    </row>
    <row r="307" spans="2:8" ht="15.75" thickBot="1">
      <c r="B307" s="337"/>
    </row>
    <row r="308" spans="2:8" ht="15.75" thickBot="1">
      <c r="B308" s="348" t="s">
        <v>669</v>
      </c>
      <c r="C308" s="312"/>
      <c r="D308" s="312"/>
      <c r="E308" s="312"/>
      <c r="F308" s="312"/>
      <c r="G308" s="312"/>
      <c r="H308" s="349">
        <f>H279+H292+H305</f>
        <v>21542.030000000002</v>
      </c>
    </row>
    <row r="309" spans="2:8">
      <c r="B309" s="307"/>
      <c r="C309" s="307"/>
      <c r="D309" s="307"/>
      <c r="E309" s="307"/>
      <c r="F309" s="307"/>
      <c r="G309" s="307"/>
      <c r="H309" s="307"/>
    </row>
    <row r="310" spans="2:8">
      <c r="B310" s="309" t="s">
        <v>1310</v>
      </c>
      <c r="C310" s="307"/>
      <c r="D310" s="307"/>
      <c r="E310" s="307"/>
      <c r="F310" s="307"/>
      <c r="G310" s="307"/>
      <c r="H310" s="307"/>
    </row>
    <row r="311" spans="2:8" ht="30">
      <c r="B311" s="645" t="s">
        <v>900</v>
      </c>
      <c r="C311" s="646"/>
      <c r="D311" s="648"/>
      <c r="E311" s="649" t="s">
        <v>1164</v>
      </c>
      <c r="F311" s="650" t="s">
        <v>1165</v>
      </c>
      <c r="G311" s="649" t="s">
        <v>1166</v>
      </c>
      <c r="H311" s="651" t="s">
        <v>1167</v>
      </c>
    </row>
    <row r="312" spans="2:8">
      <c r="B312" s="315" t="s">
        <v>1042</v>
      </c>
      <c r="C312" s="316"/>
      <c r="D312" s="316"/>
      <c r="E312" s="350" t="s">
        <v>1044</v>
      </c>
      <c r="F312" s="466">
        <v>1</v>
      </c>
      <c r="G312" s="330">
        <v>1875.26</v>
      </c>
      <c r="H312" s="351">
        <f>TRUNC(G312*F312,2)</f>
        <v>1875.26</v>
      </c>
    </row>
    <row r="313" spans="2:8">
      <c r="B313" s="318" t="s">
        <v>1043</v>
      </c>
      <c r="C313" s="307"/>
      <c r="D313" s="307"/>
      <c r="E313" s="353" t="s">
        <v>1044</v>
      </c>
      <c r="F313" s="467">
        <v>1</v>
      </c>
      <c r="G313" s="330">
        <v>806.52</v>
      </c>
      <c r="H313" s="464">
        <f>TRUNC(G313*F313,2)</f>
        <v>806.52</v>
      </c>
    </row>
    <row r="314" spans="2:8">
      <c r="B314" s="318"/>
      <c r="C314" s="307"/>
      <c r="D314" s="307"/>
      <c r="E314" s="353"/>
      <c r="F314" s="467"/>
      <c r="G314" s="330"/>
      <c r="H314" s="464">
        <f>TRUNC(G314*F314,2)</f>
        <v>0</v>
      </c>
    </row>
    <row r="315" spans="2:8">
      <c r="B315" s="320"/>
      <c r="C315" s="321"/>
      <c r="D315" s="321"/>
      <c r="E315" s="355"/>
      <c r="F315" s="468">
        <f>H91</f>
        <v>0</v>
      </c>
      <c r="G315" s="505"/>
      <c r="H315" s="368">
        <f>TRUNC(G315*F315,2)</f>
        <v>0</v>
      </c>
    </row>
    <row r="316" spans="2:8" ht="15.75" thickBot="1">
      <c r="B316" s="336" t="s">
        <v>595</v>
      </c>
      <c r="C316" s="307"/>
      <c r="D316" s="307"/>
      <c r="E316" s="307"/>
      <c r="F316" s="307"/>
      <c r="G316" s="307"/>
      <c r="H316" s="307"/>
    </row>
    <row r="317" spans="2:8" ht="15.75" thickBot="1">
      <c r="B317" s="348" t="s">
        <v>1045</v>
      </c>
      <c r="C317" s="312"/>
      <c r="D317" s="312"/>
      <c r="E317" s="312"/>
      <c r="F317" s="312"/>
      <c r="G317" s="312"/>
      <c r="H317" s="349">
        <f>SUM(H312:H315)</f>
        <v>2681.7799999999997</v>
      </c>
    </row>
    <row r="318" spans="2:8">
      <c r="B318" s="307"/>
      <c r="C318" s="307"/>
      <c r="D318" s="307"/>
      <c r="E318" s="307"/>
      <c r="F318" s="307"/>
      <c r="G318" s="307"/>
      <c r="H318" s="307"/>
    </row>
    <row r="319" spans="2:8" ht="15.75" thickBot="1">
      <c r="B319" s="309" t="s">
        <v>872</v>
      </c>
      <c r="C319" s="307"/>
      <c r="D319" s="307"/>
      <c r="E319" s="307"/>
      <c r="F319" s="307"/>
      <c r="G319" s="307"/>
      <c r="H319" s="307"/>
    </row>
    <row r="320" spans="2:8" ht="15.75" thickBot="1">
      <c r="B320" s="348" t="s">
        <v>873</v>
      </c>
      <c r="C320" s="312"/>
      <c r="D320" s="312"/>
      <c r="E320" s="312"/>
      <c r="F320" s="312"/>
      <c r="G320" s="312"/>
      <c r="H320" s="349">
        <f>H317+H308+H262+H248+H236+H242</f>
        <v>68194.55</v>
      </c>
    </row>
    <row r="321" spans="2:16">
      <c r="B321" s="307"/>
      <c r="C321" s="307"/>
      <c r="D321" s="307"/>
      <c r="E321" s="307"/>
      <c r="F321" s="307"/>
      <c r="G321" s="307"/>
      <c r="H321" s="307"/>
    </row>
    <row r="322" spans="2:16">
      <c r="B322" s="309" t="s">
        <v>974</v>
      </c>
      <c r="C322" s="307"/>
      <c r="D322" s="307"/>
      <c r="E322" s="307"/>
      <c r="F322" s="307"/>
      <c r="G322" s="307"/>
      <c r="H322" s="307"/>
    </row>
    <row r="323" spans="2:16">
      <c r="B323" s="315" t="str">
        <f>B236</f>
        <v>Custo mensal com mão-de-obra (R$/mês)</v>
      </c>
      <c r="C323" s="316"/>
      <c r="D323" s="316"/>
      <c r="E323" s="316"/>
      <c r="F323" s="316"/>
      <c r="G323" s="316"/>
      <c r="H323" s="351">
        <f>H236</f>
        <v>43382.86</v>
      </c>
    </row>
    <row r="324" spans="2:16">
      <c r="B324" s="318" t="str">
        <f>B242</f>
        <v>Custo mensal com ferramentas (R$/mês)</v>
      </c>
      <c r="C324" s="307"/>
      <c r="D324" s="307"/>
      <c r="E324" s="307"/>
      <c r="F324" s="307"/>
      <c r="G324" s="307"/>
      <c r="H324" s="464">
        <f>H242</f>
        <v>0</v>
      </c>
    </row>
    <row r="325" spans="2:16">
      <c r="B325" s="318" t="str">
        <f>B248</f>
        <v>Custo mensal com equipamentos (R$/mês)</v>
      </c>
      <c r="C325" s="307"/>
      <c r="D325" s="307"/>
      <c r="E325" s="307"/>
      <c r="F325" s="307"/>
      <c r="G325" s="307"/>
      <c r="H325" s="464">
        <f>H248</f>
        <v>0</v>
      </c>
    </row>
    <row r="326" spans="2:16">
      <c r="B326" s="318" t="str">
        <f>B262</f>
        <v>Custo mensal com EPI's (R$/mês)</v>
      </c>
      <c r="C326" s="307"/>
      <c r="D326" s="307"/>
      <c r="E326" s="307"/>
      <c r="F326" s="307"/>
      <c r="G326" s="307"/>
      <c r="H326" s="464">
        <f>H262</f>
        <v>587.88</v>
      </c>
    </row>
    <row r="327" spans="2:16">
      <c r="B327" s="318" t="s">
        <v>731</v>
      </c>
      <c r="C327" s="307"/>
      <c r="D327" s="307"/>
      <c r="E327" s="307"/>
      <c r="F327" s="307"/>
      <c r="G327" s="307"/>
      <c r="H327" s="464">
        <f>H308</f>
        <v>21542.030000000002</v>
      </c>
    </row>
    <row r="328" spans="2:16" ht="15.75" thickBot="1">
      <c r="B328" s="320" t="s">
        <v>1045</v>
      </c>
      <c r="C328" s="321"/>
      <c r="D328" s="321"/>
      <c r="E328" s="321"/>
      <c r="F328" s="321"/>
      <c r="G328" s="321"/>
      <c r="H328" s="368">
        <f>H317</f>
        <v>2681.7799999999997</v>
      </c>
    </row>
    <row r="329" spans="2:16" ht="15.75" thickBot="1">
      <c r="B329" s="348" t="s">
        <v>873</v>
      </c>
      <c r="C329" s="312"/>
      <c r="D329" s="312"/>
      <c r="E329" s="312"/>
      <c r="F329" s="312"/>
      <c r="G329" s="312"/>
      <c r="H329" s="349">
        <f>SUM(H323:H328)</f>
        <v>68194.55</v>
      </c>
    </row>
    <row r="330" spans="2:16">
      <c r="B330" s="307"/>
      <c r="C330" s="307"/>
      <c r="D330" s="307"/>
      <c r="E330" s="307"/>
      <c r="F330" s="307"/>
      <c r="G330" s="307"/>
      <c r="H330" s="307"/>
      <c r="N330" t="s">
        <v>1329</v>
      </c>
      <c r="O330" s="63">
        <f>'2.ROC_MEC_CAP_RASP'!H604+'1.VARRICAO_MAN'!H198+'3.PINTURA_MEIO-FIO'!H225+'4.LIMP_EVENTOS'!H178</f>
        <v>351983.17420000001</v>
      </c>
    </row>
    <row r="331" spans="2:16">
      <c r="B331" s="309" t="s">
        <v>1311</v>
      </c>
      <c r="C331" s="307"/>
      <c r="D331" s="307"/>
      <c r="E331" s="307"/>
      <c r="F331" s="307"/>
      <c r="G331" s="307"/>
      <c r="H331" s="307"/>
      <c r="O331" s="63">
        <f>'2.ROC_MEC_CAP_RASP'!$H$608+'3.PINTURA_MEIO-FIO'!$H$229+'4.LIMP_EVENTOS'!$H$182+'1.VARRICAO_MAN'!$H$202</f>
        <v>63559.679999999993</v>
      </c>
    </row>
    <row r="332" spans="2:16">
      <c r="B332" s="315" t="s">
        <v>925</v>
      </c>
      <c r="C332" s="316"/>
      <c r="D332" s="316"/>
      <c r="E332" s="316"/>
      <c r="F332" s="365">
        <f>H329</f>
        <v>68194.55</v>
      </c>
      <c r="G332" s="313"/>
      <c r="H332" s="313"/>
      <c r="O332" s="86">
        <f>F332/O330</f>
        <v>0.19374377810812982</v>
      </c>
      <c r="P332" t="s">
        <v>1330</v>
      </c>
    </row>
    <row r="333" spans="2:16">
      <c r="B333" s="320" t="s">
        <v>1106</v>
      </c>
      <c r="C333" s="321"/>
      <c r="D333" s="321"/>
      <c r="E333" s="321"/>
      <c r="F333" s="368">
        <f>P6</f>
        <v>103</v>
      </c>
      <c r="G333" s="307"/>
      <c r="H333" s="307"/>
    </row>
    <row r="334" spans="2:16">
      <c r="B334" s="364" t="s">
        <v>1207</v>
      </c>
      <c r="C334" s="321"/>
      <c r="D334" s="321"/>
      <c r="E334" s="312"/>
      <c r="F334" s="367">
        <f>TRUNC(F332/F333,2)</f>
        <v>662.08</v>
      </c>
      <c r="G334" s="313"/>
      <c r="H334" s="307"/>
    </row>
    <row r="335" spans="2:16">
      <c r="B335" s="337" t="s">
        <v>1107</v>
      </c>
    </row>
    <row r="337" spans="2:8">
      <c r="B337" s="61" t="s">
        <v>1209</v>
      </c>
      <c r="C337" s="61"/>
      <c r="D337" s="61"/>
      <c r="E337" s="61"/>
      <c r="F337" s="61"/>
      <c r="G337" s="61"/>
      <c r="H337" s="61"/>
    </row>
    <row r="338" spans="2:8">
      <c r="B338" t="s">
        <v>1208</v>
      </c>
    </row>
  </sheetData>
  <mergeCells count="27">
    <mergeCell ref="B18:C18"/>
    <mergeCell ref="B41:D41"/>
    <mergeCell ref="B256:D256"/>
    <mergeCell ref="B276:E276"/>
    <mergeCell ref="B279:E279"/>
    <mergeCell ref="B272:E272"/>
    <mergeCell ref="B283:E283"/>
    <mergeCell ref="B270:E270"/>
    <mergeCell ref="B271:E271"/>
    <mergeCell ref="B273:E273"/>
    <mergeCell ref="B274:E274"/>
    <mergeCell ref="B275:E275"/>
    <mergeCell ref="B289:E289"/>
    <mergeCell ref="B292:E292"/>
    <mergeCell ref="B296:E296"/>
    <mergeCell ref="B297:E297"/>
    <mergeCell ref="B284:E284"/>
    <mergeCell ref="B285:E285"/>
    <mergeCell ref="B286:E286"/>
    <mergeCell ref="B287:E287"/>
    <mergeCell ref="B288:E288"/>
    <mergeCell ref="B305:E305"/>
    <mergeCell ref="B298:E298"/>
    <mergeCell ref="B299:E299"/>
    <mergeCell ref="B300:E300"/>
    <mergeCell ref="B301:E301"/>
    <mergeCell ref="B302:E302"/>
  </mergeCells>
  <pageMargins left="0.78740157480314965" right="0.78740157480314965" top="1.1811023622047245" bottom="0.78740157480314965" header="0.31496062992125984" footer="0.31496062992125984"/>
  <pageSetup paperSize="9" scale="76" fitToHeight="0" orientation="portrait" r:id="rId1"/>
  <rowBreaks count="11" manualBreakCount="11">
    <brk id="22" min="1" max="7" man="1"/>
    <brk id="59" min="1" max="7" man="1"/>
    <brk id="90" min="1" max="7" man="1"/>
    <brk id="119" min="1" max="7" man="1"/>
    <brk id="148" min="1" max="7" man="1"/>
    <brk id="177" min="1" max="7" man="1"/>
    <brk id="206" min="1" max="7" man="1"/>
    <brk id="237" min="1" max="7" man="1"/>
    <brk id="267" min="1" max="7" man="1"/>
    <brk id="294" min="1" max="7" man="1"/>
    <brk id="318" min="1" max="7" man="1"/>
  </rowBreaks>
  <legacyDrawing r:id="rId2"/>
  <legacyDrawingHF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N24"/>
  <sheetViews>
    <sheetView view="pageLayout" zoomScale="55" zoomScaleNormal="100" zoomScalePageLayoutView="55" workbookViewId="0">
      <selection activeCell="B8" sqref="B8"/>
    </sheetView>
  </sheetViews>
  <sheetFormatPr defaultRowHeight="15"/>
  <cols>
    <col min="1" max="1" width="32.42578125" customWidth="1"/>
    <col min="9" max="9" width="24.7109375" customWidth="1"/>
  </cols>
  <sheetData>
    <row r="1" spans="1:9" ht="15.75">
      <c r="A1" s="1604" t="s">
        <v>1095</v>
      </c>
      <c r="B1" s="515">
        <v>50</v>
      </c>
      <c r="C1" s="515">
        <v>101</v>
      </c>
      <c r="D1" s="515">
        <v>251</v>
      </c>
      <c r="E1" s="515">
        <v>501</v>
      </c>
      <c r="F1" s="519">
        <v>1001</v>
      </c>
      <c r="G1" s="519">
        <v>2001</v>
      </c>
      <c r="H1" s="519">
        <v>3501</v>
      </c>
      <c r="I1" s="1604" t="s">
        <v>1097</v>
      </c>
    </row>
    <row r="2" spans="1:9" ht="15.75">
      <c r="A2" s="1605"/>
      <c r="B2" s="516" t="s">
        <v>1096</v>
      </c>
      <c r="C2" s="516" t="s">
        <v>1096</v>
      </c>
      <c r="D2" s="516" t="s">
        <v>1096</v>
      </c>
      <c r="E2" s="516" t="s">
        <v>1096</v>
      </c>
      <c r="F2" s="516" t="s">
        <v>1096</v>
      </c>
      <c r="G2" s="516" t="s">
        <v>1096</v>
      </c>
      <c r="H2" s="516" t="s">
        <v>1096</v>
      </c>
      <c r="I2" s="1605"/>
    </row>
    <row r="3" spans="1:9" ht="15.75">
      <c r="A3" s="1606"/>
      <c r="B3" s="517">
        <v>100</v>
      </c>
      <c r="C3" s="517">
        <v>250</v>
      </c>
      <c r="D3" s="517">
        <v>500</v>
      </c>
      <c r="E3" s="518">
        <v>1000</v>
      </c>
      <c r="F3" s="518">
        <v>2000</v>
      </c>
      <c r="G3" s="518">
        <v>3500</v>
      </c>
      <c r="H3" s="518">
        <v>5000</v>
      </c>
      <c r="I3" s="1606"/>
    </row>
    <row r="4" spans="1:9" ht="15.75">
      <c r="A4" s="520" t="s">
        <v>1098</v>
      </c>
      <c r="B4" s="521"/>
      <c r="C4" s="521"/>
      <c r="D4" s="521"/>
      <c r="E4" s="521"/>
      <c r="F4" s="521"/>
      <c r="G4" s="521"/>
      <c r="H4" s="521"/>
      <c r="I4" s="521"/>
    </row>
    <row r="5" spans="1:9" ht="15.75">
      <c r="A5" s="520" t="s">
        <v>1099</v>
      </c>
      <c r="B5" s="521" t="s">
        <v>559</v>
      </c>
      <c r="C5" s="521" t="s">
        <v>559</v>
      </c>
      <c r="D5" s="521" t="s">
        <v>559</v>
      </c>
      <c r="E5" s="521">
        <v>1</v>
      </c>
      <c r="F5" s="521">
        <v>1</v>
      </c>
      <c r="G5" s="521">
        <v>1</v>
      </c>
      <c r="H5" s="521">
        <v>2</v>
      </c>
      <c r="I5" s="521">
        <v>1</v>
      </c>
    </row>
    <row r="6" spans="1:9" ht="15.75">
      <c r="A6" s="520" t="s">
        <v>1100</v>
      </c>
      <c r="B6" s="521" t="s">
        <v>559</v>
      </c>
      <c r="C6" s="521" t="s">
        <v>559</v>
      </c>
      <c r="D6" s="521" t="s">
        <v>559</v>
      </c>
      <c r="E6" s="521" t="s">
        <v>559</v>
      </c>
      <c r="F6" s="521" t="s">
        <v>559</v>
      </c>
      <c r="G6" s="521" t="s">
        <v>1101</v>
      </c>
      <c r="H6" s="521">
        <v>1</v>
      </c>
      <c r="I6" s="521" t="s">
        <v>1101</v>
      </c>
    </row>
    <row r="7" spans="1:9" ht="15.75">
      <c r="A7" s="520" t="s">
        <v>1102</v>
      </c>
      <c r="B7" s="521" t="s">
        <v>559</v>
      </c>
      <c r="C7" s="521" t="s">
        <v>559</v>
      </c>
      <c r="D7" s="521" t="s">
        <v>559</v>
      </c>
      <c r="E7" s="521" t="s">
        <v>559</v>
      </c>
      <c r="F7" s="521" t="s">
        <v>559</v>
      </c>
      <c r="G7" s="521">
        <v>1</v>
      </c>
      <c r="H7" s="521">
        <v>1</v>
      </c>
      <c r="I7" s="521">
        <v>1</v>
      </c>
    </row>
    <row r="8" spans="1:9" ht="15.75">
      <c r="A8" s="520" t="s">
        <v>1103</v>
      </c>
      <c r="B8" s="521" t="s">
        <v>559</v>
      </c>
      <c r="C8" s="521" t="s">
        <v>559</v>
      </c>
      <c r="D8" s="521" t="s">
        <v>559</v>
      </c>
      <c r="E8" s="521" t="s">
        <v>559</v>
      </c>
      <c r="F8" s="521" t="s">
        <v>559</v>
      </c>
      <c r="G8" s="521" t="s">
        <v>559</v>
      </c>
      <c r="H8" s="521" t="s">
        <v>1101</v>
      </c>
      <c r="I8" s="521" t="s">
        <v>559</v>
      </c>
    </row>
    <row r="9" spans="1:9" ht="15.75">
      <c r="A9" s="520" t="s">
        <v>1104</v>
      </c>
      <c r="B9" s="521" t="s">
        <v>559</v>
      </c>
      <c r="C9" s="521" t="s">
        <v>559</v>
      </c>
      <c r="D9" s="521" t="s">
        <v>559</v>
      </c>
      <c r="E9" s="521" t="s">
        <v>559</v>
      </c>
      <c r="F9" s="521" t="s">
        <v>1101</v>
      </c>
      <c r="G9" s="521" t="s">
        <v>1101</v>
      </c>
      <c r="H9" s="521">
        <v>1</v>
      </c>
      <c r="I9" s="521" t="s">
        <v>1101</v>
      </c>
    </row>
    <row r="10" spans="1:9" ht="15.75">
      <c r="A10" s="520" t="s">
        <v>1099</v>
      </c>
      <c r="B10" s="521" t="s">
        <v>559</v>
      </c>
      <c r="C10" s="521" t="s">
        <v>559</v>
      </c>
      <c r="D10" s="521" t="s">
        <v>559</v>
      </c>
      <c r="E10" s="521">
        <v>1</v>
      </c>
      <c r="F10" s="521">
        <v>1</v>
      </c>
      <c r="G10" s="521">
        <v>2</v>
      </c>
      <c r="H10" s="521">
        <v>5</v>
      </c>
      <c r="I10" s="521">
        <v>1</v>
      </c>
    </row>
    <row r="11" spans="1:9" ht="15.75">
      <c r="A11" s="520" t="s">
        <v>1100</v>
      </c>
      <c r="B11" s="521" t="s">
        <v>559</v>
      </c>
      <c r="C11" s="521" t="s">
        <v>559</v>
      </c>
      <c r="D11" s="521" t="s">
        <v>559</v>
      </c>
      <c r="E11" s="521" t="s">
        <v>559</v>
      </c>
      <c r="F11" s="521" t="s">
        <v>1101</v>
      </c>
      <c r="G11" s="521">
        <v>1</v>
      </c>
      <c r="H11" s="521">
        <v>1</v>
      </c>
      <c r="I11" s="521" t="s">
        <v>1101</v>
      </c>
    </row>
    <row r="12" spans="1:9" ht="15.75">
      <c r="A12" s="520" t="s">
        <v>1102</v>
      </c>
      <c r="B12" s="521" t="s">
        <v>559</v>
      </c>
      <c r="C12" s="521" t="s">
        <v>559</v>
      </c>
      <c r="D12" s="521" t="s">
        <v>559</v>
      </c>
      <c r="E12" s="521" t="s">
        <v>559</v>
      </c>
      <c r="F12" s="521">
        <v>1</v>
      </c>
      <c r="G12" s="521">
        <v>1</v>
      </c>
      <c r="H12" s="521">
        <v>1</v>
      </c>
      <c r="I12" s="521">
        <v>1</v>
      </c>
    </row>
    <row r="13" spans="1:9" ht="15.75">
      <c r="A13" s="520" t="s">
        <v>1103</v>
      </c>
      <c r="B13" s="521" t="s">
        <v>559</v>
      </c>
      <c r="C13" s="521" t="s">
        <v>559</v>
      </c>
      <c r="D13" s="521" t="s">
        <v>559</v>
      </c>
      <c r="E13" s="521" t="s">
        <v>559</v>
      </c>
      <c r="F13" s="521" t="s">
        <v>559</v>
      </c>
      <c r="G13" s="521" t="s">
        <v>559</v>
      </c>
      <c r="H13" s="521">
        <v>1</v>
      </c>
      <c r="I13" s="521" t="s">
        <v>559</v>
      </c>
    </row>
    <row r="14" spans="1:9" ht="15.75">
      <c r="A14" s="520" t="s">
        <v>1104</v>
      </c>
      <c r="B14" s="521" t="s">
        <v>559</v>
      </c>
      <c r="C14" s="521" t="s">
        <v>559</v>
      </c>
      <c r="D14" s="521" t="s">
        <v>559</v>
      </c>
      <c r="E14" s="521" t="s">
        <v>559</v>
      </c>
      <c r="F14" s="521" t="s">
        <v>1101</v>
      </c>
      <c r="G14" s="521">
        <v>1</v>
      </c>
      <c r="H14" s="521">
        <v>1</v>
      </c>
      <c r="I14" s="521">
        <v>1</v>
      </c>
    </row>
    <row r="15" spans="1:9" ht="15.75">
      <c r="A15" s="520" t="s">
        <v>1099</v>
      </c>
      <c r="B15" s="521" t="s">
        <v>559</v>
      </c>
      <c r="C15" s="521">
        <v>1</v>
      </c>
      <c r="D15" s="521">
        <v>2</v>
      </c>
      <c r="E15" s="521">
        <v>3</v>
      </c>
      <c r="F15" s="521">
        <v>4</v>
      </c>
      <c r="G15" s="521">
        <v>6</v>
      </c>
      <c r="H15" s="521">
        <v>8</v>
      </c>
      <c r="I15" s="521">
        <v>3</v>
      </c>
    </row>
    <row r="16" spans="1:9" ht="15.75">
      <c r="A16" s="520" t="s">
        <v>1100</v>
      </c>
      <c r="B16" s="521" t="s">
        <v>559</v>
      </c>
      <c r="C16" s="521" t="s">
        <v>559</v>
      </c>
      <c r="D16" s="521" t="s">
        <v>559</v>
      </c>
      <c r="E16" s="521" t="s">
        <v>1101</v>
      </c>
      <c r="F16" s="521">
        <v>1</v>
      </c>
      <c r="G16" s="521">
        <v>1</v>
      </c>
      <c r="H16" s="521">
        <v>2</v>
      </c>
      <c r="I16" s="521">
        <v>1</v>
      </c>
    </row>
    <row r="17" spans="1:14" ht="15.75">
      <c r="A17" s="520" t="s">
        <v>1102</v>
      </c>
      <c r="B17" s="521" t="s">
        <v>559</v>
      </c>
      <c r="C17" s="521" t="s">
        <v>559</v>
      </c>
      <c r="D17" s="521" t="s">
        <v>559</v>
      </c>
      <c r="E17" s="521" t="s">
        <v>559</v>
      </c>
      <c r="F17" s="521">
        <v>1</v>
      </c>
      <c r="G17" s="521">
        <v>2</v>
      </c>
      <c r="H17" s="521">
        <v>1</v>
      </c>
      <c r="I17" s="521">
        <v>1</v>
      </c>
    </row>
    <row r="18" spans="1:14" ht="15.75">
      <c r="A18" s="520" t="s">
        <v>1103</v>
      </c>
      <c r="B18" s="521" t="s">
        <v>559</v>
      </c>
      <c r="C18" s="521" t="s">
        <v>559</v>
      </c>
      <c r="D18" s="521" t="s">
        <v>559</v>
      </c>
      <c r="E18" s="521" t="s">
        <v>559</v>
      </c>
      <c r="F18" s="521" t="s">
        <v>559</v>
      </c>
      <c r="G18" s="521" t="s">
        <v>559</v>
      </c>
      <c r="H18" s="521">
        <v>1</v>
      </c>
      <c r="I18" s="521" t="s">
        <v>559</v>
      </c>
    </row>
    <row r="19" spans="1:14" ht="15.75">
      <c r="A19" s="520" t="s">
        <v>1104</v>
      </c>
      <c r="B19" s="521" t="s">
        <v>559</v>
      </c>
      <c r="C19" s="521" t="s">
        <v>559</v>
      </c>
      <c r="D19" s="521" t="s">
        <v>559</v>
      </c>
      <c r="E19" s="521" t="s">
        <v>1101</v>
      </c>
      <c r="F19" s="521">
        <v>1</v>
      </c>
      <c r="G19" s="521">
        <v>1</v>
      </c>
      <c r="H19" s="521">
        <v>2</v>
      </c>
      <c r="I19" s="521">
        <v>1</v>
      </c>
      <c r="N19" s="535"/>
    </row>
    <row r="20" spans="1:14" ht="15.75">
      <c r="A20" s="520" t="s">
        <v>1099</v>
      </c>
      <c r="B20" s="521">
        <v>1</v>
      </c>
      <c r="C20" s="521">
        <v>2</v>
      </c>
      <c r="D20" s="521">
        <v>3</v>
      </c>
      <c r="E20" s="521">
        <v>4</v>
      </c>
      <c r="F20" s="521">
        <v>5</v>
      </c>
      <c r="G20" s="521">
        <v>8</v>
      </c>
      <c r="H20" s="521">
        <v>10</v>
      </c>
      <c r="I20" s="521">
        <v>3</v>
      </c>
    </row>
    <row r="21" spans="1:14" ht="15.75">
      <c r="A21" s="520" t="s">
        <v>1100</v>
      </c>
      <c r="B21" s="521" t="s">
        <v>559</v>
      </c>
      <c r="C21" s="521" t="s">
        <v>1101</v>
      </c>
      <c r="D21" s="521" t="s">
        <v>1101</v>
      </c>
      <c r="E21" s="521">
        <v>1</v>
      </c>
      <c r="F21" s="521">
        <v>1</v>
      </c>
      <c r="G21" s="521">
        <v>2</v>
      </c>
      <c r="H21" s="521">
        <v>3</v>
      </c>
      <c r="I21" s="521">
        <v>1</v>
      </c>
    </row>
    <row r="22" spans="1:14" ht="15.75">
      <c r="A22" s="520" t="s">
        <v>1102</v>
      </c>
      <c r="B22" s="521" t="s">
        <v>559</v>
      </c>
      <c r="C22" s="521" t="s">
        <v>559</v>
      </c>
      <c r="D22" s="521" t="s">
        <v>559</v>
      </c>
      <c r="E22" s="521">
        <v>1</v>
      </c>
      <c r="F22" s="521">
        <v>1</v>
      </c>
      <c r="G22" s="521">
        <v>2</v>
      </c>
      <c r="H22" s="521">
        <v>1</v>
      </c>
      <c r="I22" s="521">
        <v>1</v>
      </c>
    </row>
    <row r="23" spans="1:14" ht="15.75">
      <c r="A23" s="520" t="s">
        <v>1103</v>
      </c>
      <c r="B23" s="521" t="s">
        <v>559</v>
      </c>
      <c r="C23" s="521" t="s">
        <v>559</v>
      </c>
      <c r="D23" s="521" t="s">
        <v>559</v>
      </c>
      <c r="E23" s="521" t="s">
        <v>559</v>
      </c>
      <c r="F23" s="521" t="s">
        <v>559</v>
      </c>
      <c r="G23" s="521" t="s">
        <v>559</v>
      </c>
      <c r="H23" s="521">
        <v>1</v>
      </c>
      <c r="I23" s="521" t="s">
        <v>559</v>
      </c>
    </row>
    <row r="24" spans="1:14" ht="15.75">
      <c r="A24" s="520" t="s">
        <v>1104</v>
      </c>
      <c r="B24" s="521"/>
      <c r="C24" s="521" t="s">
        <v>1101</v>
      </c>
      <c r="D24" s="521" t="s">
        <v>1101</v>
      </c>
      <c r="E24" s="521">
        <v>1</v>
      </c>
      <c r="F24" s="521">
        <v>1</v>
      </c>
      <c r="G24" s="521">
        <v>2</v>
      </c>
      <c r="H24" s="521">
        <v>3</v>
      </c>
      <c r="I24" s="521">
        <v>1</v>
      </c>
    </row>
  </sheetData>
  <mergeCells count="2">
    <mergeCell ref="A1:A3"/>
    <mergeCell ref="I1:I3"/>
  </mergeCells>
  <pageMargins left="0.78740157480314965" right="0.82677165354330717" top="0.78740157480314965" bottom="0.78740157480314965" header="0.31496062992125984" footer="0.31496062992125984"/>
  <pageSetup paperSize="9" scale="69" fitToHeight="0" orientation="portrait" r:id="rId1"/>
  <headerFooter>
    <oddHeader>&amp;L&amp;G&amp;C&amp;"-,Negrito"&amp;K153357
Produto 3.4 – Estudos e Projetos para a solução definida – Volume 6&amp;R&amp;G</oddHeader>
    <oddFooter xml:space="preserve">&amp;L&amp;G&amp;R&amp;P </oddFooter>
  </headerFooter>
  <legacyDrawingHF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Z178"/>
  <sheetViews>
    <sheetView workbookViewId="0"/>
  </sheetViews>
  <sheetFormatPr defaultRowHeight="15"/>
  <cols>
    <col min="1" max="13" width="13.42578125" customWidth="1"/>
    <col min="17" max="17" width="16.140625" customWidth="1"/>
    <col min="20" max="20" width="13.42578125" customWidth="1"/>
    <col min="21" max="21" width="21.28515625" bestFit="1" customWidth="1"/>
    <col min="22" max="22" width="20.28515625" bestFit="1" customWidth="1"/>
    <col min="23" max="23" width="17.28515625" bestFit="1" customWidth="1"/>
    <col min="24" max="24" width="18.42578125" bestFit="1" customWidth="1"/>
    <col min="25" max="25" width="13.85546875" bestFit="1" customWidth="1"/>
    <col min="26" max="26" width="12.140625" customWidth="1"/>
  </cols>
  <sheetData>
    <row r="1" spans="1: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99</v>
      </c>
      <c r="K1" t="s">
        <v>100</v>
      </c>
      <c r="L1" t="s">
        <v>101</v>
      </c>
      <c r="M1" t="s">
        <v>102</v>
      </c>
      <c r="T1" s="1" t="s">
        <v>5</v>
      </c>
      <c r="U1" s="1" t="s">
        <v>226</v>
      </c>
      <c r="V1" s="1" t="s">
        <v>227</v>
      </c>
      <c r="W1" s="1" t="s">
        <v>228</v>
      </c>
      <c r="X1" s="1" t="s">
        <v>229</v>
      </c>
      <c r="Y1" s="1" t="s">
        <v>230</v>
      </c>
    </row>
    <row r="2" spans="1:25">
      <c r="B2" t="s">
        <v>10</v>
      </c>
      <c r="C2">
        <v>489.91080415180431</v>
      </c>
      <c r="D2" t="s">
        <v>11</v>
      </c>
      <c r="E2" t="s">
        <v>12</v>
      </c>
      <c r="F2" t="s">
        <v>13</v>
      </c>
      <c r="G2" t="s">
        <v>14</v>
      </c>
      <c r="I2" t="s">
        <v>15</v>
      </c>
      <c r="J2" t="s">
        <v>103</v>
      </c>
      <c r="K2">
        <v>7</v>
      </c>
      <c r="L2">
        <v>22003.444408334733</v>
      </c>
      <c r="M2">
        <v>23</v>
      </c>
      <c r="P2">
        <v>1</v>
      </c>
      <c r="Q2">
        <f>SUMIF($K$2:$K$178,P2,$C$2:$C$178)</f>
        <v>1751.5969784538788</v>
      </c>
      <c r="T2" s="2">
        <v>1</v>
      </c>
      <c r="U2" s="2">
        <v>1</v>
      </c>
      <c r="V2" s="3">
        <f>X2/1000</f>
        <v>1.7515969784538787</v>
      </c>
      <c r="W2" s="2">
        <v>3</v>
      </c>
      <c r="X2" s="3">
        <f>Q2</f>
        <v>1751.5969784538788</v>
      </c>
      <c r="Y2" s="3">
        <f>(U2*V2)</f>
        <v>1.7515969784538787</v>
      </c>
    </row>
    <row r="3" spans="1:25">
      <c r="B3" t="s">
        <v>16</v>
      </c>
      <c r="C3">
        <v>1498.6010299651266</v>
      </c>
      <c r="D3" t="s">
        <v>11</v>
      </c>
      <c r="E3" t="s">
        <v>12</v>
      </c>
      <c r="F3" t="s">
        <v>17</v>
      </c>
      <c r="G3" t="s">
        <v>14</v>
      </c>
      <c r="I3" t="s">
        <v>15</v>
      </c>
      <c r="J3" t="s">
        <v>103</v>
      </c>
      <c r="K3">
        <v>7</v>
      </c>
      <c r="L3">
        <v>22003.444408334733</v>
      </c>
      <c r="M3">
        <v>23</v>
      </c>
      <c r="P3">
        <v>2</v>
      </c>
      <c r="Q3">
        <f t="shared" ref="Q3:Q15" si="0">SUMIF($K$2:$K$178,P3,$C$2:$C$178)</f>
        <v>6335.8066995044392</v>
      </c>
      <c r="T3" s="4">
        <v>2</v>
      </c>
      <c r="U3" s="4">
        <v>2</v>
      </c>
      <c r="V3" s="5">
        <f>X3/1000</f>
        <v>6.3358066995044391</v>
      </c>
      <c r="W3" s="4">
        <v>6</v>
      </c>
      <c r="X3" s="5">
        <f t="shared" ref="X3:X15" si="1">Q3</f>
        <v>6335.8066995044392</v>
      </c>
      <c r="Y3" s="5">
        <f>(U3*V3)</f>
        <v>12.671613399008878</v>
      </c>
    </row>
    <row r="4" spans="1:25">
      <c r="B4" t="s">
        <v>16</v>
      </c>
      <c r="C4">
        <v>2614.9272933508005</v>
      </c>
      <c r="D4" t="s">
        <v>11</v>
      </c>
      <c r="E4" t="s">
        <v>12</v>
      </c>
      <c r="F4" t="s">
        <v>17</v>
      </c>
      <c r="G4" t="s">
        <v>14</v>
      </c>
      <c r="I4" t="s">
        <v>15</v>
      </c>
      <c r="J4" t="s">
        <v>104</v>
      </c>
      <c r="K4">
        <v>8</v>
      </c>
      <c r="L4">
        <v>16471.623778925205</v>
      </c>
      <c r="M4">
        <v>22</v>
      </c>
      <c r="P4">
        <v>3</v>
      </c>
      <c r="Q4">
        <f t="shared" si="0"/>
        <v>13189.643515414755</v>
      </c>
      <c r="T4" s="2">
        <v>3</v>
      </c>
      <c r="U4" s="2">
        <v>3</v>
      </c>
      <c r="V4" s="3">
        <f t="shared" ref="V4:V15" si="2">X4/1000</f>
        <v>13.189643515414755</v>
      </c>
      <c r="W4" s="2">
        <v>15</v>
      </c>
      <c r="X4" s="3">
        <f t="shared" si="1"/>
        <v>13189.643515414755</v>
      </c>
      <c r="Y4" s="3">
        <f t="shared" ref="Y4:Y15" si="3">(U4*V4)</f>
        <v>39.56893054624426</v>
      </c>
    </row>
    <row r="5" spans="1:25">
      <c r="B5" t="s">
        <v>16</v>
      </c>
      <c r="C5">
        <v>107.39656944925333</v>
      </c>
      <c r="D5" t="s">
        <v>11</v>
      </c>
      <c r="E5" t="s">
        <v>12</v>
      </c>
      <c r="F5" t="s">
        <v>17</v>
      </c>
      <c r="G5" t="s">
        <v>14</v>
      </c>
      <c r="I5" t="s">
        <v>15</v>
      </c>
      <c r="J5" t="s">
        <v>104</v>
      </c>
      <c r="K5">
        <v>9</v>
      </c>
      <c r="L5">
        <v>13203.929429588108</v>
      </c>
      <c r="M5">
        <v>17</v>
      </c>
      <c r="P5">
        <v>4</v>
      </c>
      <c r="Q5">
        <f t="shared" si="0"/>
        <v>8958.787825018404</v>
      </c>
      <c r="T5" s="4">
        <v>4</v>
      </c>
      <c r="U5" s="4">
        <v>2</v>
      </c>
      <c r="V5" s="5">
        <f t="shared" si="2"/>
        <v>8.9587878250184048</v>
      </c>
      <c r="W5" s="4">
        <v>12</v>
      </c>
      <c r="X5" s="5">
        <f t="shared" si="1"/>
        <v>8958.787825018404</v>
      </c>
      <c r="Y5" s="5">
        <f t="shared" si="3"/>
        <v>17.91757565003681</v>
      </c>
    </row>
    <row r="6" spans="1:25">
      <c r="B6" t="s">
        <v>20</v>
      </c>
      <c r="C6">
        <v>1192.9503368408402</v>
      </c>
      <c r="E6" t="s">
        <v>12</v>
      </c>
      <c r="F6" t="s">
        <v>21</v>
      </c>
      <c r="G6" t="s">
        <v>22</v>
      </c>
      <c r="I6" t="s">
        <v>15</v>
      </c>
      <c r="J6" t="s">
        <v>103</v>
      </c>
      <c r="K6">
        <v>7</v>
      </c>
      <c r="L6">
        <v>22003.444408334733</v>
      </c>
      <c r="M6">
        <v>23</v>
      </c>
      <c r="P6">
        <v>5</v>
      </c>
      <c r="Q6">
        <f t="shared" si="0"/>
        <v>13142.652863689775</v>
      </c>
      <c r="T6" s="2">
        <v>5</v>
      </c>
      <c r="U6" s="2">
        <v>2</v>
      </c>
      <c r="V6" s="3">
        <f t="shared" si="2"/>
        <v>13.142652863689774</v>
      </c>
      <c r="W6" s="2">
        <v>30</v>
      </c>
      <c r="X6" s="3">
        <f t="shared" si="1"/>
        <v>13142.652863689775</v>
      </c>
      <c r="Y6" s="3">
        <f t="shared" si="3"/>
        <v>26.285305727379548</v>
      </c>
    </row>
    <row r="7" spans="1:25">
      <c r="B7" t="s">
        <v>23</v>
      </c>
      <c r="C7">
        <v>403.58419288093683</v>
      </c>
      <c r="E7" t="s">
        <v>12</v>
      </c>
      <c r="F7" t="s">
        <v>24</v>
      </c>
      <c r="G7" t="s">
        <v>22</v>
      </c>
      <c r="I7" t="s">
        <v>15</v>
      </c>
      <c r="J7" t="s">
        <v>104</v>
      </c>
      <c r="K7">
        <v>8</v>
      </c>
      <c r="L7">
        <v>16471.623778925205</v>
      </c>
      <c r="M7">
        <v>22</v>
      </c>
      <c r="P7">
        <v>6</v>
      </c>
      <c r="Q7">
        <f t="shared" si="0"/>
        <v>8868.7874543679973</v>
      </c>
      <c r="T7" s="4">
        <v>6</v>
      </c>
      <c r="U7" s="4">
        <v>2</v>
      </c>
      <c r="V7" s="5">
        <f t="shared" si="2"/>
        <v>8.8687874543679968</v>
      </c>
      <c r="W7" s="4">
        <v>11</v>
      </c>
      <c r="X7" s="5">
        <f t="shared" si="1"/>
        <v>8868.7874543679973</v>
      </c>
      <c r="Y7" s="5">
        <f t="shared" si="3"/>
        <v>17.737574908735994</v>
      </c>
    </row>
    <row r="8" spans="1:25">
      <c r="B8" t="s">
        <v>31</v>
      </c>
      <c r="C8">
        <v>1249.3655481658502</v>
      </c>
      <c r="D8" t="s">
        <v>11</v>
      </c>
      <c r="E8" t="s">
        <v>12</v>
      </c>
      <c r="F8" t="s">
        <v>32</v>
      </c>
      <c r="G8" t="s">
        <v>14</v>
      </c>
      <c r="I8" t="s">
        <v>15</v>
      </c>
      <c r="J8" t="s">
        <v>103</v>
      </c>
      <c r="K8">
        <v>7</v>
      </c>
      <c r="L8">
        <v>22003.444408334733</v>
      </c>
      <c r="M8">
        <v>23</v>
      </c>
      <c r="P8">
        <v>7</v>
      </c>
      <c r="Q8">
        <f t="shared" si="0"/>
        <v>22003.444408334733</v>
      </c>
      <c r="S8" t="s">
        <v>569</v>
      </c>
      <c r="T8" s="2">
        <v>7</v>
      </c>
      <c r="U8" s="2">
        <v>4</v>
      </c>
      <c r="V8" s="3">
        <f t="shared" si="2"/>
        <v>22.003444408334733</v>
      </c>
      <c r="W8" s="2">
        <v>23</v>
      </c>
      <c r="X8" s="3">
        <f t="shared" si="1"/>
        <v>22003.444408334733</v>
      </c>
      <c r="Y8" s="3">
        <f t="shared" si="3"/>
        <v>88.013777633338933</v>
      </c>
    </row>
    <row r="9" spans="1:25">
      <c r="B9" t="s">
        <v>31</v>
      </c>
      <c r="C9">
        <v>2531.5542830985896</v>
      </c>
      <c r="D9" t="s">
        <v>11</v>
      </c>
      <c r="E9" t="s">
        <v>12</v>
      </c>
      <c r="F9" t="s">
        <v>32</v>
      </c>
      <c r="G9" t="s">
        <v>14</v>
      </c>
      <c r="I9" t="s">
        <v>15</v>
      </c>
      <c r="J9" t="s">
        <v>104</v>
      </c>
      <c r="K9">
        <v>8</v>
      </c>
      <c r="L9">
        <v>16471.623778925205</v>
      </c>
      <c r="M9">
        <v>22</v>
      </c>
      <c r="P9">
        <v>8</v>
      </c>
      <c r="Q9">
        <f t="shared" si="0"/>
        <v>16471.623778925208</v>
      </c>
      <c r="S9" t="s">
        <v>569</v>
      </c>
      <c r="T9" s="4">
        <v>8</v>
      </c>
      <c r="U9" s="4">
        <v>2</v>
      </c>
      <c r="V9" s="5">
        <f t="shared" si="2"/>
        <v>16.47162377892521</v>
      </c>
      <c r="W9" s="4">
        <v>22</v>
      </c>
      <c r="X9" s="5">
        <f t="shared" si="1"/>
        <v>16471.623778925208</v>
      </c>
      <c r="Y9" s="5">
        <f t="shared" si="3"/>
        <v>32.94324755785042</v>
      </c>
    </row>
    <row r="10" spans="1:25">
      <c r="B10" t="s">
        <v>36</v>
      </c>
      <c r="C10">
        <v>807.73625352971362</v>
      </c>
      <c r="E10" t="s">
        <v>12</v>
      </c>
      <c r="F10" t="s">
        <v>37</v>
      </c>
      <c r="G10" t="s">
        <v>22</v>
      </c>
      <c r="I10" t="s">
        <v>15</v>
      </c>
      <c r="J10" t="s">
        <v>103</v>
      </c>
      <c r="K10">
        <v>7</v>
      </c>
      <c r="L10">
        <v>22003.444408334733</v>
      </c>
      <c r="M10">
        <v>23</v>
      </c>
      <c r="P10">
        <v>9</v>
      </c>
      <c r="Q10">
        <f t="shared" si="0"/>
        <v>13203.92942958811</v>
      </c>
      <c r="T10" s="2">
        <v>9</v>
      </c>
      <c r="U10" s="2">
        <v>2</v>
      </c>
      <c r="V10" s="3">
        <f t="shared" si="2"/>
        <v>13.20392942958811</v>
      </c>
      <c r="W10" s="2">
        <v>17</v>
      </c>
      <c r="X10" s="3">
        <f t="shared" si="1"/>
        <v>13203.92942958811</v>
      </c>
      <c r="Y10" s="3">
        <f t="shared" si="3"/>
        <v>26.407858859176219</v>
      </c>
    </row>
    <row r="11" spans="1:25">
      <c r="B11" t="s">
        <v>36</v>
      </c>
      <c r="C11">
        <v>194.68566643730153</v>
      </c>
      <c r="E11" t="s">
        <v>12</v>
      </c>
      <c r="F11" t="s">
        <v>37</v>
      </c>
      <c r="G11" t="s">
        <v>22</v>
      </c>
      <c r="I11" t="s">
        <v>15</v>
      </c>
      <c r="J11" t="s">
        <v>104</v>
      </c>
      <c r="K11">
        <v>8</v>
      </c>
      <c r="L11">
        <v>16471.623778925205</v>
      </c>
      <c r="M11">
        <v>22</v>
      </c>
      <c r="P11">
        <v>10</v>
      </c>
      <c r="Q11">
        <f t="shared" si="0"/>
        <v>7596.0663558483348</v>
      </c>
      <c r="T11" s="4">
        <v>10</v>
      </c>
      <c r="U11" s="4">
        <v>2</v>
      </c>
      <c r="V11" s="5">
        <f t="shared" si="2"/>
        <v>7.5960663558483343</v>
      </c>
      <c r="W11" s="4">
        <v>9</v>
      </c>
      <c r="X11" s="5">
        <f t="shared" si="1"/>
        <v>7596.0663558483348</v>
      </c>
      <c r="Y11" s="5">
        <f t="shared" si="3"/>
        <v>15.192132711696669</v>
      </c>
    </row>
    <row r="12" spans="1:25">
      <c r="B12" t="s">
        <v>38</v>
      </c>
      <c r="C12">
        <v>865.80819638010485</v>
      </c>
      <c r="D12" t="s">
        <v>11</v>
      </c>
      <c r="E12" t="s">
        <v>12</v>
      </c>
      <c r="F12" t="s">
        <v>39</v>
      </c>
      <c r="G12" t="s">
        <v>14</v>
      </c>
      <c r="I12" t="s">
        <v>15</v>
      </c>
      <c r="J12" t="s">
        <v>103</v>
      </c>
      <c r="K12">
        <v>7</v>
      </c>
      <c r="L12">
        <v>22003.444408334733</v>
      </c>
      <c r="M12">
        <v>23</v>
      </c>
      <c r="P12">
        <v>11</v>
      </c>
      <c r="Q12">
        <f t="shared" si="0"/>
        <v>7002.5137604551537</v>
      </c>
      <c r="T12" s="2">
        <v>11</v>
      </c>
      <c r="U12" s="2">
        <v>2</v>
      </c>
      <c r="V12" s="3">
        <f t="shared" si="2"/>
        <v>7.0025137604551535</v>
      </c>
      <c r="W12" s="2">
        <v>20</v>
      </c>
      <c r="X12" s="3">
        <f t="shared" si="1"/>
        <v>7002.5137604551537</v>
      </c>
      <c r="Y12" s="3">
        <f t="shared" si="3"/>
        <v>14.005027520910307</v>
      </c>
    </row>
    <row r="13" spans="1:25">
      <c r="B13" t="s">
        <v>38</v>
      </c>
      <c r="C13">
        <v>191.56901663396846</v>
      </c>
      <c r="D13" t="s">
        <v>11</v>
      </c>
      <c r="E13" t="s">
        <v>12</v>
      </c>
      <c r="F13" t="s">
        <v>39</v>
      </c>
      <c r="G13" t="s">
        <v>14</v>
      </c>
      <c r="I13" t="s">
        <v>15</v>
      </c>
      <c r="J13" t="s">
        <v>104</v>
      </c>
      <c r="K13">
        <v>8</v>
      </c>
      <c r="L13">
        <v>16471.623778925205</v>
      </c>
      <c r="M13">
        <v>22</v>
      </c>
      <c r="P13">
        <v>12</v>
      </c>
      <c r="Q13">
        <f t="shared" si="0"/>
        <v>6551.905004010533</v>
      </c>
      <c r="T13" s="4">
        <v>12</v>
      </c>
      <c r="U13" s="4">
        <v>1</v>
      </c>
      <c r="V13" s="5">
        <f t="shared" si="2"/>
        <v>6.5519050040105329</v>
      </c>
      <c r="W13" s="4">
        <v>6</v>
      </c>
      <c r="X13" s="5">
        <f t="shared" si="1"/>
        <v>6551.905004010533</v>
      </c>
      <c r="Y13" s="5">
        <f t="shared" si="3"/>
        <v>6.5519050040105329</v>
      </c>
    </row>
    <row r="14" spans="1:25">
      <c r="B14" t="s">
        <v>40</v>
      </c>
      <c r="C14">
        <v>1002.5422212408841</v>
      </c>
      <c r="D14" t="s">
        <v>11</v>
      </c>
      <c r="E14" t="s">
        <v>12</v>
      </c>
      <c r="F14" t="s">
        <v>41</v>
      </c>
      <c r="G14" t="s">
        <v>14</v>
      </c>
      <c r="I14" t="s">
        <v>15</v>
      </c>
      <c r="J14" t="s">
        <v>103</v>
      </c>
      <c r="K14">
        <v>7</v>
      </c>
      <c r="L14">
        <v>22003.444408334733</v>
      </c>
      <c r="M14">
        <v>23</v>
      </c>
      <c r="P14">
        <v>13</v>
      </c>
      <c r="Q14">
        <f t="shared" si="0"/>
        <v>4026.3057079933114</v>
      </c>
      <c r="T14" s="2">
        <v>13</v>
      </c>
      <c r="U14" s="2">
        <v>1</v>
      </c>
      <c r="V14" s="3">
        <f t="shared" si="2"/>
        <v>4.0263057079933118</v>
      </c>
      <c r="W14" s="2">
        <v>5</v>
      </c>
      <c r="X14" s="3">
        <f t="shared" si="1"/>
        <v>4026.3057079933114</v>
      </c>
      <c r="Y14" s="3">
        <f t="shared" si="3"/>
        <v>4.0263057079933118</v>
      </c>
    </row>
    <row r="15" spans="1:25">
      <c r="B15" t="s">
        <v>40</v>
      </c>
      <c r="C15">
        <v>2571.4257334336339</v>
      </c>
      <c r="D15" t="s">
        <v>11</v>
      </c>
      <c r="E15" t="s">
        <v>12</v>
      </c>
      <c r="F15" t="s">
        <v>41</v>
      </c>
      <c r="G15" t="s">
        <v>14</v>
      </c>
      <c r="I15" t="s">
        <v>15</v>
      </c>
      <c r="J15" t="s">
        <v>104</v>
      </c>
      <c r="K15">
        <v>8</v>
      </c>
      <c r="L15">
        <v>16471.623778925205</v>
      </c>
      <c r="M15">
        <v>22</v>
      </c>
      <c r="P15">
        <v>14</v>
      </c>
      <c r="Q15">
        <f t="shared" si="0"/>
        <v>2801.7817899716347</v>
      </c>
      <c r="T15" s="4">
        <v>14</v>
      </c>
      <c r="U15" s="4">
        <v>1</v>
      </c>
      <c r="V15" s="5">
        <f t="shared" si="2"/>
        <v>2.8017817899716349</v>
      </c>
      <c r="W15" s="4">
        <v>6</v>
      </c>
      <c r="X15" s="5">
        <f t="shared" si="1"/>
        <v>2801.7817899716347</v>
      </c>
      <c r="Y15" s="5">
        <f t="shared" si="3"/>
        <v>2.8017817899716349</v>
      </c>
    </row>
    <row r="16" spans="1:25">
      <c r="B16" t="s">
        <v>42</v>
      </c>
      <c r="C16">
        <v>20.73772782318628</v>
      </c>
      <c r="D16" t="s">
        <v>11</v>
      </c>
      <c r="E16" t="s">
        <v>18</v>
      </c>
      <c r="F16" t="s">
        <v>43</v>
      </c>
      <c r="G16" t="s">
        <v>14</v>
      </c>
      <c r="I16" t="s">
        <v>15</v>
      </c>
      <c r="J16" t="s">
        <v>103</v>
      </c>
      <c r="K16">
        <v>7</v>
      </c>
      <c r="L16">
        <v>22003.444408334733</v>
      </c>
      <c r="M16">
        <v>23</v>
      </c>
      <c r="T16" s="6">
        <v>14</v>
      </c>
      <c r="U16" s="6">
        <f>SUM(U2:U15)</f>
        <v>27</v>
      </c>
      <c r="V16" s="7">
        <f>SUM(V2:V15)</f>
        <v>131.90484557157629</v>
      </c>
      <c r="W16" s="6">
        <f>SUM(W2:W15)</f>
        <v>185</v>
      </c>
      <c r="X16" s="7">
        <f>SUM(X2:X15)</f>
        <v>131904.84557157627</v>
      </c>
      <c r="Y16" s="7">
        <f>SUM(Y2:Y15)</f>
        <v>305.87463399480731</v>
      </c>
    </row>
    <row r="17" spans="2:26">
      <c r="B17" t="s">
        <v>42</v>
      </c>
      <c r="C17">
        <v>188.64743917855037</v>
      </c>
      <c r="D17" t="s">
        <v>11</v>
      </c>
      <c r="E17" t="s">
        <v>18</v>
      </c>
      <c r="F17" t="s">
        <v>43</v>
      </c>
      <c r="G17" t="s">
        <v>14</v>
      </c>
      <c r="I17" t="s">
        <v>15</v>
      </c>
      <c r="J17" t="s">
        <v>104</v>
      </c>
      <c r="K17">
        <v>6</v>
      </c>
      <c r="L17">
        <v>8868.7874543679973</v>
      </c>
      <c r="M17">
        <v>11</v>
      </c>
    </row>
    <row r="18" spans="2:26">
      <c r="B18" t="s">
        <v>105</v>
      </c>
      <c r="C18">
        <v>759.67763052541102</v>
      </c>
      <c r="D18" t="s">
        <v>11</v>
      </c>
      <c r="E18" t="s">
        <v>12</v>
      </c>
      <c r="F18" t="s">
        <v>106</v>
      </c>
      <c r="G18" t="s">
        <v>14</v>
      </c>
      <c r="I18" t="s">
        <v>15</v>
      </c>
      <c r="J18" t="s">
        <v>104</v>
      </c>
      <c r="K18">
        <v>6</v>
      </c>
      <c r="L18">
        <v>8868.7874543679973</v>
      </c>
      <c r="M18">
        <v>11</v>
      </c>
      <c r="T18" s="8" t="s">
        <v>231</v>
      </c>
      <c r="U18" s="9" t="s">
        <v>232</v>
      </c>
      <c r="V18" s="9" t="s">
        <v>233</v>
      </c>
      <c r="W18" s="9" t="s">
        <v>234</v>
      </c>
      <c r="X18" s="9" t="s">
        <v>235</v>
      </c>
      <c r="Y18" s="9" t="s">
        <v>236</v>
      </c>
      <c r="Z18" s="9" t="s">
        <v>0</v>
      </c>
    </row>
    <row r="19" spans="2:26">
      <c r="B19" t="s">
        <v>31</v>
      </c>
      <c r="C19">
        <v>0.13410678573428</v>
      </c>
      <c r="D19" t="s">
        <v>11</v>
      </c>
      <c r="E19" t="s">
        <v>18</v>
      </c>
      <c r="F19" t="s">
        <v>46</v>
      </c>
      <c r="G19" t="s">
        <v>14</v>
      </c>
      <c r="I19" t="s">
        <v>15</v>
      </c>
      <c r="J19" t="s">
        <v>103</v>
      </c>
      <c r="K19">
        <v>7</v>
      </c>
      <c r="L19">
        <v>22003.444408334733</v>
      </c>
      <c r="M19">
        <v>23</v>
      </c>
      <c r="T19" s="2">
        <v>1</v>
      </c>
      <c r="U19" s="10"/>
      <c r="V19" s="10"/>
      <c r="W19" s="10"/>
      <c r="X19" s="10"/>
      <c r="Y19" s="10"/>
      <c r="Z19" s="11" t="s">
        <v>237</v>
      </c>
    </row>
    <row r="20" spans="2:26">
      <c r="B20" t="s">
        <v>31</v>
      </c>
      <c r="C20">
        <v>61.910899735639624</v>
      </c>
      <c r="D20" t="s">
        <v>11</v>
      </c>
      <c r="E20" t="s">
        <v>18</v>
      </c>
      <c r="F20" t="s">
        <v>46</v>
      </c>
      <c r="G20" t="s">
        <v>14</v>
      </c>
      <c r="I20" t="s">
        <v>15</v>
      </c>
      <c r="J20" t="s">
        <v>104</v>
      </c>
      <c r="K20">
        <v>8</v>
      </c>
      <c r="L20">
        <v>16471.623778925205</v>
      </c>
      <c r="M20">
        <v>22</v>
      </c>
      <c r="T20" s="4">
        <v>2</v>
      </c>
      <c r="U20" s="12"/>
      <c r="V20" s="12" t="s">
        <v>237</v>
      </c>
      <c r="W20" s="12"/>
      <c r="X20" s="12"/>
      <c r="Y20" s="12" t="s">
        <v>237</v>
      </c>
      <c r="Z20" s="12"/>
    </row>
    <row r="21" spans="2:26">
      <c r="B21" t="s">
        <v>31</v>
      </c>
      <c r="C21">
        <v>671.90123896575199</v>
      </c>
      <c r="D21" t="s">
        <v>11</v>
      </c>
      <c r="E21" t="s">
        <v>18</v>
      </c>
      <c r="F21" t="s">
        <v>46</v>
      </c>
      <c r="G21" t="s">
        <v>14</v>
      </c>
      <c r="I21" t="s">
        <v>15</v>
      </c>
      <c r="J21" t="s">
        <v>104</v>
      </c>
      <c r="K21">
        <v>9</v>
      </c>
      <c r="L21">
        <v>13203.929429588108</v>
      </c>
      <c r="M21">
        <v>17</v>
      </c>
      <c r="T21" s="2">
        <v>3</v>
      </c>
      <c r="U21" s="10"/>
      <c r="V21" s="10" t="s">
        <v>237</v>
      </c>
      <c r="W21" s="10"/>
      <c r="X21" s="10" t="s">
        <v>237</v>
      </c>
      <c r="Y21" s="10"/>
      <c r="Z21" s="10" t="s">
        <v>237</v>
      </c>
    </row>
    <row r="22" spans="2:26">
      <c r="B22" t="s">
        <v>42</v>
      </c>
      <c r="C22">
        <v>1514.9428229036096</v>
      </c>
      <c r="D22" t="s">
        <v>11</v>
      </c>
      <c r="E22" t="s">
        <v>12</v>
      </c>
      <c r="F22" t="s">
        <v>53</v>
      </c>
      <c r="G22" t="s">
        <v>14</v>
      </c>
      <c r="I22" t="s">
        <v>15</v>
      </c>
      <c r="J22" t="s">
        <v>103</v>
      </c>
      <c r="K22">
        <v>7</v>
      </c>
      <c r="L22">
        <v>22003.444408334733</v>
      </c>
      <c r="M22">
        <v>23</v>
      </c>
      <c r="T22" s="4">
        <v>4</v>
      </c>
      <c r="U22" s="12"/>
      <c r="V22" s="12" t="s">
        <v>237</v>
      </c>
      <c r="W22" s="12"/>
      <c r="X22" s="12"/>
      <c r="Y22" s="12" t="s">
        <v>237</v>
      </c>
      <c r="Z22" s="12"/>
    </row>
    <row r="23" spans="2:26">
      <c r="B23" t="s">
        <v>42</v>
      </c>
      <c r="C23">
        <v>3.7318438067173672</v>
      </c>
      <c r="D23" t="s">
        <v>11</v>
      </c>
      <c r="E23" t="s">
        <v>12</v>
      </c>
      <c r="F23" t="s">
        <v>53</v>
      </c>
      <c r="G23" t="s">
        <v>14</v>
      </c>
      <c r="I23" t="s">
        <v>15</v>
      </c>
      <c r="J23" t="s">
        <v>104</v>
      </c>
      <c r="K23">
        <v>8</v>
      </c>
      <c r="L23">
        <v>16471.623778925205</v>
      </c>
      <c r="M23">
        <v>22</v>
      </c>
      <c r="T23" s="2">
        <v>5</v>
      </c>
      <c r="U23" s="10"/>
      <c r="V23" s="10" t="s">
        <v>237</v>
      </c>
      <c r="W23" s="10"/>
      <c r="X23" s="10"/>
      <c r="Y23" s="10" t="s">
        <v>237</v>
      </c>
      <c r="Z23" s="10"/>
    </row>
    <row r="24" spans="2:26">
      <c r="B24" t="s">
        <v>57</v>
      </c>
      <c r="C24">
        <v>3089.381693307917</v>
      </c>
      <c r="D24" t="s">
        <v>58</v>
      </c>
      <c r="E24" t="s">
        <v>12</v>
      </c>
      <c r="F24" t="s">
        <v>59</v>
      </c>
      <c r="G24" t="s">
        <v>14</v>
      </c>
      <c r="H24" t="s">
        <v>60</v>
      </c>
      <c r="I24" t="s">
        <v>15</v>
      </c>
      <c r="J24" t="s">
        <v>103</v>
      </c>
      <c r="K24">
        <v>7</v>
      </c>
      <c r="L24">
        <v>22003.444408334733</v>
      </c>
      <c r="M24">
        <v>23</v>
      </c>
      <c r="T24" s="4">
        <v>6</v>
      </c>
      <c r="U24" s="12"/>
      <c r="V24" s="12" t="s">
        <v>237</v>
      </c>
      <c r="W24" s="12"/>
      <c r="X24" s="12" t="s">
        <v>237</v>
      </c>
      <c r="Y24" s="12"/>
      <c r="Z24" s="12"/>
    </row>
    <row r="25" spans="2:26">
      <c r="B25" t="s">
        <v>57</v>
      </c>
      <c r="C25">
        <v>3173.8823662040281</v>
      </c>
      <c r="D25" t="s">
        <v>58</v>
      </c>
      <c r="E25" t="s">
        <v>12</v>
      </c>
      <c r="F25" t="s">
        <v>59</v>
      </c>
      <c r="G25" t="s">
        <v>14</v>
      </c>
      <c r="H25" t="s">
        <v>60</v>
      </c>
      <c r="I25" t="s">
        <v>15</v>
      </c>
      <c r="J25" t="s">
        <v>104</v>
      </c>
      <c r="K25">
        <v>6</v>
      </c>
      <c r="L25">
        <v>8868.7874543679973</v>
      </c>
      <c r="M25">
        <v>11</v>
      </c>
      <c r="T25" s="2">
        <v>7</v>
      </c>
      <c r="U25" s="10" t="s">
        <v>237</v>
      </c>
      <c r="V25" s="10"/>
      <c r="W25" s="10" t="s">
        <v>237</v>
      </c>
      <c r="X25" s="10"/>
      <c r="Y25" s="10" t="s">
        <v>237</v>
      </c>
      <c r="Z25" s="10" t="s">
        <v>237</v>
      </c>
    </row>
    <row r="26" spans="2:26">
      <c r="B26" t="s">
        <v>57</v>
      </c>
      <c r="C26">
        <v>4828.7834902742534</v>
      </c>
      <c r="D26" t="s">
        <v>58</v>
      </c>
      <c r="E26" t="s">
        <v>12</v>
      </c>
      <c r="F26" t="s">
        <v>59</v>
      </c>
      <c r="G26" t="s">
        <v>14</v>
      </c>
      <c r="H26" t="s">
        <v>60</v>
      </c>
      <c r="I26" t="s">
        <v>15</v>
      </c>
      <c r="J26" t="s">
        <v>107</v>
      </c>
      <c r="K26">
        <v>3</v>
      </c>
      <c r="L26">
        <v>13189.643515414757</v>
      </c>
      <c r="M26">
        <v>15</v>
      </c>
      <c r="T26" s="4">
        <v>8</v>
      </c>
      <c r="U26" s="12" t="s">
        <v>237</v>
      </c>
      <c r="V26" s="12"/>
      <c r="W26" s="12"/>
      <c r="X26" s="12" t="s">
        <v>237</v>
      </c>
      <c r="Y26" s="12"/>
      <c r="Z26" s="12"/>
    </row>
    <row r="27" spans="2:26">
      <c r="B27" t="s">
        <v>42</v>
      </c>
      <c r="C27">
        <v>1.3073180622268059</v>
      </c>
      <c r="D27" t="s">
        <v>11</v>
      </c>
      <c r="E27" t="s">
        <v>61</v>
      </c>
      <c r="F27" t="s">
        <v>62</v>
      </c>
      <c r="G27" t="s">
        <v>14</v>
      </c>
      <c r="I27" t="s">
        <v>15</v>
      </c>
      <c r="J27" t="s">
        <v>103</v>
      </c>
      <c r="K27">
        <v>7</v>
      </c>
      <c r="L27">
        <v>22003.444408334733</v>
      </c>
      <c r="M27">
        <v>23</v>
      </c>
      <c r="T27" s="2">
        <v>9</v>
      </c>
      <c r="U27" s="10" t="s">
        <v>237</v>
      </c>
      <c r="V27" s="10"/>
      <c r="W27" s="10"/>
      <c r="X27" s="10" t="s">
        <v>237</v>
      </c>
      <c r="Y27" s="10"/>
      <c r="Z27" s="10"/>
    </row>
    <row r="28" spans="2:26">
      <c r="B28" t="s">
        <v>63</v>
      </c>
      <c r="C28">
        <v>196.04889265006346</v>
      </c>
      <c r="E28" t="s">
        <v>12</v>
      </c>
      <c r="F28" t="s">
        <v>64</v>
      </c>
      <c r="G28" t="s">
        <v>22</v>
      </c>
      <c r="I28" t="s">
        <v>15</v>
      </c>
      <c r="J28" t="s">
        <v>103</v>
      </c>
      <c r="K28">
        <v>7</v>
      </c>
      <c r="L28">
        <v>22003.444408334733</v>
      </c>
      <c r="M28">
        <v>23</v>
      </c>
      <c r="T28" s="4">
        <v>10</v>
      </c>
      <c r="U28" s="12"/>
      <c r="V28" s="12"/>
      <c r="W28" s="12" t="s">
        <v>237</v>
      </c>
      <c r="X28" s="12"/>
      <c r="Y28" s="12"/>
      <c r="Z28" s="12" t="s">
        <v>237</v>
      </c>
    </row>
    <row r="29" spans="2:26">
      <c r="B29" t="s">
        <v>65</v>
      </c>
      <c r="C29">
        <v>235.62175821907454</v>
      </c>
      <c r="E29" t="s">
        <v>12</v>
      </c>
      <c r="F29" t="s">
        <v>66</v>
      </c>
      <c r="G29" t="s">
        <v>22</v>
      </c>
      <c r="I29" t="s">
        <v>15</v>
      </c>
      <c r="J29" t="s">
        <v>103</v>
      </c>
      <c r="K29">
        <v>7</v>
      </c>
      <c r="L29">
        <v>22003.444408334733</v>
      </c>
      <c r="M29">
        <v>23</v>
      </c>
      <c r="T29" s="2">
        <v>11</v>
      </c>
      <c r="U29" s="10"/>
      <c r="V29" s="10"/>
      <c r="W29" s="10" t="s">
        <v>237</v>
      </c>
      <c r="X29" s="10"/>
      <c r="Y29" s="10"/>
      <c r="Z29" s="10" t="s">
        <v>237</v>
      </c>
    </row>
    <row r="30" spans="2:26">
      <c r="B30" t="s">
        <v>71</v>
      </c>
      <c r="C30">
        <v>1545.4437858234512</v>
      </c>
      <c r="D30" t="s">
        <v>11</v>
      </c>
      <c r="E30" t="s">
        <v>12</v>
      </c>
      <c r="F30" t="s">
        <v>72</v>
      </c>
      <c r="G30" t="s">
        <v>14</v>
      </c>
      <c r="I30" t="s">
        <v>15</v>
      </c>
      <c r="J30" t="s">
        <v>103</v>
      </c>
      <c r="K30">
        <v>7</v>
      </c>
      <c r="L30">
        <v>22003.444408334733</v>
      </c>
      <c r="M30">
        <v>23</v>
      </c>
      <c r="T30" s="4">
        <v>12</v>
      </c>
      <c r="U30" s="12"/>
      <c r="V30" s="12"/>
      <c r="W30" s="12" t="s">
        <v>237</v>
      </c>
      <c r="X30" s="12"/>
      <c r="Y30" s="12"/>
      <c r="Z30" s="12"/>
    </row>
    <row r="31" spans="2:26">
      <c r="B31" t="s">
        <v>71</v>
      </c>
      <c r="C31">
        <v>2145.3462092019608</v>
      </c>
      <c r="D31" t="s">
        <v>11</v>
      </c>
      <c r="E31" t="s">
        <v>12</v>
      </c>
      <c r="F31" t="s">
        <v>72</v>
      </c>
      <c r="G31" t="s">
        <v>14</v>
      </c>
      <c r="I31" t="s">
        <v>15</v>
      </c>
      <c r="J31" t="s">
        <v>104</v>
      </c>
      <c r="K31">
        <v>8</v>
      </c>
      <c r="L31">
        <v>16471.623778925205</v>
      </c>
      <c r="M31">
        <v>22</v>
      </c>
      <c r="T31" s="2">
        <v>13</v>
      </c>
      <c r="U31" s="10"/>
      <c r="V31" s="10"/>
      <c r="W31" s="10" t="s">
        <v>237</v>
      </c>
      <c r="X31" s="10"/>
      <c r="Y31" s="10"/>
      <c r="Z31" s="10"/>
    </row>
    <row r="32" spans="2:26">
      <c r="B32" t="s">
        <v>75</v>
      </c>
      <c r="C32">
        <v>1376.5740363912359</v>
      </c>
      <c r="D32" t="s">
        <v>11</v>
      </c>
      <c r="E32" t="s">
        <v>12</v>
      </c>
      <c r="F32" t="s">
        <v>76</v>
      </c>
      <c r="G32" t="s">
        <v>14</v>
      </c>
      <c r="I32" t="s">
        <v>15</v>
      </c>
      <c r="J32" t="s">
        <v>103</v>
      </c>
      <c r="K32">
        <v>7</v>
      </c>
      <c r="L32">
        <v>22003.444408334733</v>
      </c>
      <c r="M32">
        <v>23</v>
      </c>
      <c r="T32" s="4">
        <v>14</v>
      </c>
      <c r="U32" s="12"/>
      <c r="V32" s="12"/>
      <c r="W32" s="12" t="s">
        <v>237</v>
      </c>
      <c r="X32" s="12"/>
      <c r="Y32" s="12"/>
      <c r="Z32" s="12"/>
    </row>
    <row r="33" spans="2:26">
      <c r="B33" t="s">
        <v>75</v>
      </c>
      <c r="C33">
        <v>2536.4105201287193</v>
      </c>
      <c r="D33" t="s">
        <v>11</v>
      </c>
      <c r="E33" t="s">
        <v>12</v>
      </c>
      <c r="F33" t="s">
        <v>76</v>
      </c>
      <c r="G33" t="s">
        <v>14</v>
      </c>
      <c r="I33" t="s">
        <v>15</v>
      </c>
      <c r="J33" t="s">
        <v>104</v>
      </c>
      <c r="K33">
        <v>8</v>
      </c>
      <c r="L33">
        <v>16471.623778925205</v>
      </c>
      <c r="M33">
        <v>22</v>
      </c>
    </row>
    <row r="34" spans="2:26">
      <c r="B34" t="s">
        <v>77</v>
      </c>
      <c r="C34">
        <v>649.17256999130768</v>
      </c>
      <c r="D34" t="s">
        <v>11</v>
      </c>
      <c r="E34" t="s">
        <v>12</v>
      </c>
      <c r="F34" t="s">
        <v>78</v>
      </c>
      <c r="G34" t="s">
        <v>14</v>
      </c>
      <c r="I34" t="s">
        <v>15</v>
      </c>
      <c r="J34" t="s">
        <v>103</v>
      </c>
      <c r="K34">
        <v>7</v>
      </c>
      <c r="L34">
        <v>22003.444408334733</v>
      </c>
      <c r="M34">
        <v>23</v>
      </c>
      <c r="T34" s="8" t="s">
        <v>231</v>
      </c>
      <c r="U34" s="9" t="s">
        <v>232</v>
      </c>
      <c r="V34" s="9" t="s">
        <v>233</v>
      </c>
      <c r="W34" s="9" t="s">
        <v>234</v>
      </c>
      <c r="X34" s="9" t="s">
        <v>235</v>
      </c>
      <c r="Y34" s="9" t="s">
        <v>236</v>
      </c>
      <c r="Z34" s="9" t="s">
        <v>0</v>
      </c>
    </row>
    <row r="35" spans="2:26">
      <c r="B35" t="s">
        <v>81</v>
      </c>
      <c r="C35">
        <v>0.69246472947015603</v>
      </c>
      <c r="D35" t="s">
        <v>11</v>
      </c>
      <c r="E35" t="s">
        <v>61</v>
      </c>
      <c r="F35" t="s">
        <v>82</v>
      </c>
      <c r="G35" t="s">
        <v>14</v>
      </c>
      <c r="I35" t="s">
        <v>15</v>
      </c>
      <c r="J35" t="s">
        <v>103</v>
      </c>
      <c r="K35">
        <v>7</v>
      </c>
      <c r="L35">
        <v>22003.444408334733</v>
      </c>
      <c r="M35">
        <v>23</v>
      </c>
      <c r="T35" s="13">
        <v>1</v>
      </c>
      <c r="U35" s="14">
        <f t="shared" ref="U35:Z48" si="4">IF(U19="x",VLOOKUP($T35,$T$2:$V$15,3,0),0)</f>
        <v>0</v>
      </c>
      <c r="V35" s="14">
        <f t="shared" si="4"/>
        <v>0</v>
      </c>
      <c r="W35" s="14">
        <f t="shared" si="4"/>
        <v>0</v>
      </c>
      <c r="X35" s="14">
        <f t="shared" si="4"/>
        <v>0</v>
      </c>
      <c r="Y35" s="14">
        <f t="shared" si="4"/>
        <v>0</v>
      </c>
      <c r="Z35" s="14">
        <f t="shared" si="4"/>
        <v>1.7515969784538787</v>
      </c>
    </row>
    <row r="36" spans="2:26">
      <c r="B36" t="s">
        <v>23</v>
      </c>
      <c r="C36">
        <v>993.57995549259749</v>
      </c>
      <c r="D36" t="s">
        <v>11</v>
      </c>
      <c r="E36" t="s">
        <v>12</v>
      </c>
      <c r="F36" t="s">
        <v>87</v>
      </c>
      <c r="G36" t="s">
        <v>14</v>
      </c>
      <c r="I36" t="s">
        <v>15</v>
      </c>
      <c r="J36" t="s">
        <v>104</v>
      </c>
      <c r="K36">
        <v>8</v>
      </c>
      <c r="L36">
        <v>16471.623778925205</v>
      </c>
      <c r="M36">
        <v>22</v>
      </c>
      <c r="T36" s="15">
        <v>2</v>
      </c>
      <c r="U36" s="16">
        <f t="shared" si="4"/>
        <v>0</v>
      </c>
      <c r="V36" s="16">
        <f t="shared" si="4"/>
        <v>6.3358066995044391</v>
      </c>
      <c r="W36" s="16">
        <f t="shared" si="4"/>
        <v>0</v>
      </c>
      <c r="X36" s="16">
        <f t="shared" si="4"/>
        <v>0</v>
      </c>
      <c r="Y36" s="16">
        <f t="shared" si="4"/>
        <v>6.3358066995044391</v>
      </c>
      <c r="Z36" s="16">
        <f t="shared" si="4"/>
        <v>0</v>
      </c>
    </row>
    <row r="37" spans="2:26">
      <c r="B37" t="s">
        <v>88</v>
      </c>
      <c r="C37">
        <v>199.16273370792447</v>
      </c>
      <c r="E37" t="s">
        <v>12</v>
      </c>
      <c r="F37" t="s">
        <v>89</v>
      </c>
      <c r="G37" t="s">
        <v>22</v>
      </c>
      <c r="I37" t="s">
        <v>15</v>
      </c>
      <c r="J37" t="s">
        <v>103</v>
      </c>
      <c r="K37">
        <v>7</v>
      </c>
      <c r="L37">
        <v>22003.444408334733</v>
      </c>
      <c r="M37">
        <v>23</v>
      </c>
      <c r="T37" s="13">
        <v>3</v>
      </c>
      <c r="U37" s="14">
        <f t="shared" si="4"/>
        <v>0</v>
      </c>
      <c r="V37" s="14">
        <f t="shared" si="4"/>
        <v>13.189643515414755</v>
      </c>
      <c r="W37" s="14">
        <f t="shared" si="4"/>
        <v>0</v>
      </c>
      <c r="X37" s="14">
        <f t="shared" si="4"/>
        <v>13.189643515414755</v>
      </c>
      <c r="Y37" s="14">
        <f t="shared" si="4"/>
        <v>0</v>
      </c>
      <c r="Z37" s="14">
        <f t="shared" si="4"/>
        <v>13.189643515414755</v>
      </c>
    </row>
    <row r="38" spans="2:26">
      <c r="B38" t="s">
        <v>90</v>
      </c>
      <c r="C38">
        <v>67.229329678899106</v>
      </c>
      <c r="D38" t="s">
        <v>11</v>
      </c>
      <c r="E38" t="s">
        <v>12</v>
      </c>
      <c r="F38" t="s">
        <v>91</v>
      </c>
      <c r="G38" t="s">
        <v>14</v>
      </c>
      <c r="I38" t="s">
        <v>15</v>
      </c>
      <c r="J38" t="s">
        <v>103</v>
      </c>
      <c r="K38">
        <v>7</v>
      </c>
      <c r="L38">
        <v>22003.444408334733</v>
      </c>
      <c r="M38">
        <v>23</v>
      </c>
      <c r="T38" s="15">
        <v>4</v>
      </c>
      <c r="U38" s="16">
        <f t="shared" si="4"/>
        <v>0</v>
      </c>
      <c r="V38" s="16">
        <f t="shared" si="4"/>
        <v>8.9587878250184048</v>
      </c>
      <c r="W38" s="16">
        <f t="shared" si="4"/>
        <v>0</v>
      </c>
      <c r="X38" s="16">
        <f t="shared" si="4"/>
        <v>0</v>
      </c>
      <c r="Y38" s="16">
        <f t="shared" si="4"/>
        <v>8.9587878250184048</v>
      </c>
      <c r="Z38" s="16">
        <f t="shared" si="4"/>
        <v>0</v>
      </c>
    </row>
    <row r="39" spans="2:26">
      <c r="B39" t="s">
        <v>90</v>
      </c>
      <c r="C39">
        <v>1012.9222271779199</v>
      </c>
      <c r="D39" t="s">
        <v>11</v>
      </c>
      <c r="E39" t="s">
        <v>12</v>
      </c>
      <c r="F39" t="s">
        <v>91</v>
      </c>
      <c r="G39" t="s">
        <v>14</v>
      </c>
      <c r="I39" t="s">
        <v>15</v>
      </c>
      <c r="J39" t="s">
        <v>107</v>
      </c>
      <c r="K39">
        <v>3</v>
      </c>
      <c r="L39">
        <v>13189.643515414757</v>
      </c>
      <c r="M39">
        <v>15</v>
      </c>
      <c r="T39" s="13">
        <v>5</v>
      </c>
      <c r="U39" s="14">
        <f t="shared" si="4"/>
        <v>0</v>
      </c>
      <c r="V39" s="14">
        <f t="shared" si="4"/>
        <v>13.142652863689774</v>
      </c>
      <c r="W39" s="14">
        <f t="shared" si="4"/>
        <v>0</v>
      </c>
      <c r="X39" s="14">
        <f t="shared" si="4"/>
        <v>0</v>
      </c>
      <c r="Y39" s="14">
        <f t="shared" si="4"/>
        <v>13.142652863689774</v>
      </c>
      <c r="Z39" s="14">
        <f t="shared" si="4"/>
        <v>0</v>
      </c>
    </row>
    <row r="40" spans="2:26">
      <c r="B40" t="s">
        <v>81</v>
      </c>
      <c r="C40">
        <v>3008.9531053586088</v>
      </c>
      <c r="D40" t="s">
        <v>11</v>
      </c>
      <c r="E40" t="s">
        <v>12</v>
      </c>
      <c r="F40" t="s">
        <v>92</v>
      </c>
      <c r="G40" t="s">
        <v>14</v>
      </c>
      <c r="I40" t="s">
        <v>15</v>
      </c>
      <c r="J40" t="s">
        <v>103</v>
      </c>
      <c r="K40">
        <v>7</v>
      </c>
      <c r="L40">
        <v>22003.444408334733</v>
      </c>
      <c r="M40">
        <v>23</v>
      </c>
      <c r="T40" s="15">
        <v>6</v>
      </c>
      <c r="U40" s="16">
        <f t="shared" si="4"/>
        <v>0</v>
      </c>
      <c r="V40" s="16">
        <f t="shared" si="4"/>
        <v>8.8687874543679968</v>
      </c>
      <c r="W40" s="16">
        <f t="shared" si="4"/>
        <v>0</v>
      </c>
      <c r="X40" s="16">
        <f t="shared" si="4"/>
        <v>8.8687874543679968</v>
      </c>
      <c r="Y40" s="16">
        <f t="shared" si="4"/>
        <v>0</v>
      </c>
      <c r="Z40" s="16">
        <f t="shared" si="4"/>
        <v>0</v>
      </c>
    </row>
    <row r="41" spans="2:26">
      <c r="B41" t="s">
        <v>81</v>
      </c>
      <c r="C41">
        <v>2775.2064402493602</v>
      </c>
      <c r="D41" t="s">
        <v>11</v>
      </c>
      <c r="E41" t="s">
        <v>12</v>
      </c>
      <c r="F41" t="s">
        <v>92</v>
      </c>
      <c r="G41" t="s">
        <v>14</v>
      </c>
      <c r="I41" t="s">
        <v>15</v>
      </c>
      <c r="J41" t="s">
        <v>104</v>
      </c>
      <c r="K41">
        <v>6</v>
      </c>
      <c r="L41">
        <v>8868.7874543679973</v>
      </c>
      <c r="M41">
        <v>11</v>
      </c>
      <c r="T41" s="13">
        <v>7</v>
      </c>
      <c r="U41" s="14">
        <f t="shared" si="4"/>
        <v>22.003444408334733</v>
      </c>
      <c r="V41" s="14">
        <f t="shared" si="4"/>
        <v>0</v>
      </c>
      <c r="W41" s="14">
        <f t="shared" si="4"/>
        <v>22.003444408334733</v>
      </c>
      <c r="X41" s="14">
        <f t="shared" si="4"/>
        <v>0</v>
      </c>
      <c r="Y41" s="14">
        <f t="shared" si="4"/>
        <v>22.003444408334733</v>
      </c>
      <c r="Z41" s="14">
        <f t="shared" si="4"/>
        <v>22.003444408334733</v>
      </c>
    </row>
    <row r="42" spans="2:26">
      <c r="B42" t="s">
        <v>95</v>
      </c>
      <c r="C42">
        <v>8.3730635115853236</v>
      </c>
      <c r="E42" t="s">
        <v>12</v>
      </c>
      <c r="F42" t="s">
        <v>96</v>
      </c>
      <c r="G42" t="s">
        <v>22</v>
      </c>
      <c r="I42" t="s">
        <v>15</v>
      </c>
      <c r="J42" t="s">
        <v>103</v>
      </c>
      <c r="K42">
        <v>7</v>
      </c>
      <c r="L42">
        <v>22003.444408334733</v>
      </c>
      <c r="M42">
        <v>23</v>
      </c>
      <c r="T42" s="15">
        <v>8</v>
      </c>
      <c r="U42" s="16">
        <f t="shared" si="4"/>
        <v>16.47162377892521</v>
      </c>
      <c r="V42" s="16">
        <f t="shared" si="4"/>
        <v>0</v>
      </c>
      <c r="W42" s="16">
        <f t="shared" si="4"/>
        <v>0</v>
      </c>
      <c r="X42" s="16">
        <f t="shared" si="4"/>
        <v>16.47162377892521</v>
      </c>
      <c r="Y42" s="16">
        <f t="shared" si="4"/>
        <v>0</v>
      </c>
      <c r="Z42" s="16">
        <f t="shared" si="4"/>
        <v>0</v>
      </c>
    </row>
    <row r="43" spans="2:26">
      <c r="B43" t="s">
        <v>95</v>
      </c>
      <c r="C43">
        <v>209.26786716996756</v>
      </c>
      <c r="E43" t="s">
        <v>12</v>
      </c>
      <c r="F43" t="s">
        <v>96</v>
      </c>
      <c r="G43" t="s">
        <v>22</v>
      </c>
      <c r="I43" t="s">
        <v>15</v>
      </c>
      <c r="J43" t="s">
        <v>104</v>
      </c>
      <c r="K43">
        <v>8</v>
      </c>
      <c r="L43">
        <v>16471.623778925205</v>
      </c>
      <c r="M43">
        <v>22</v>
      </c>
      <c r="T43" s="13">
        <v>9</v>
      </c>
      <c r="U43" s="14">
        <f t="shared" si="4"/>
        <v>13.20392942958811</v>
      </c>
      <c r="V43" s="14">
        <f t="shared" si="4"/>
        <v>0</v>
      </c>
      <c r="W43" s="14">
        <f t="shared" si="4"/>
        <v>0</v>
      </c>
      <c r="X43" s="14">
        <f t="shared" si="4"/>
        <v>13.20392942958811</v>
      </c>
      <c r="Y43" s="14">
        <f t="shared" si="4"/>
        <v>0</v>
      </c>
      <c r="Z43" s="14">
        <f t="shared" si="4"/>
        <v>0</v>
      </c>
    </row>
    <row r="44" spans="2:26">
      <c r="B44" t="s">
        <v>97</v>
      </c>
      <c r="C44">
        <v>2982.7546091161134</v>
      </c>
      <c r="D44" t="s">
        <v>11</v>
      </c>
      <c r="E44" t="s">
        <v>12</v>
      </c>
      <c r="F44" t="s">
        <v>98</v>
      </c>
      <c r="G44" t="s">
        <v>14</v>
      </c>
      <c r="I44" t="s">
        <v>15</v>
      </c>
      <c r="J44" t="s">
        <v>103</v>
      </c>
      <c r="K44">
        <v>7</v>
      </c>
      <c r="L44">
        <v>22003.444408334733</v>
      </c>
      <c r="M44">
        <v>23</v>
      </c>
      <c r="T44" s="15">
        <v>10</v>
      </c>
      <c r="U44" s="16">
        <f t="shared" si="4"/>
        <v>0</v>
      </c>
      <c r="V44" s="16">
        <f t="shared" si="4"/>
        <v>0</v>
      </c>
      <c r="W44" s="16">
        <f t="shared" si="4"/>
        <v>7.5960663558483343</v>
      </c>
      <c r="X44" s="16">
        <f t="shared" si="4"/>
        <v>0</v>
      </c>
      <c r="Y44" s="16">
        <f t="shared" si="4"/>
        <v>0</v>
      </c>
      <c r="Z44" s="16">
        <f t="shared" si="4"/>
        <v>7.5960663558483343</v>
      </c>
    </row>
    <row r="45" spans="2:26">
      <c r="B45" t="s">
        <v>97</v>
      </c>
      <c r="C45">
        <v>601.09816353474207</v>
      </c>
      <c r="D45" t="s">
        <v>11</v>
      </c>
      <c r="E45" t="s">
        <v>12</v>
      </c>
      <c r="F45" t="s">
        <v>98</v>
      </c>
      <c r="G45" t="s">
        <v>14</v>
      </c>
      <c r="I45" t="s">
        <v>15</v>
      </c>
      <c r="J45" t="s">
        <v>104</v>
      </c>
      <c r="K45">
        <v>6</v>
      </c>
      <c r="L45">
        <v>8868.7874543679973</v>
      </c>
      <c r="M45">
        <v>11</v>
      </c>
      <c r="T45" s="13">
        <v>11</v>
      </c>
      <c r="U45" s="14">
        <f t="shared" si="4"/>
        <v>0</v>
      </c>
      <c r="V45" s="14">
        <f t="shared" si="4"/>
        <v>0</v>
      </c>
      <c r="W45" s="14">
        <f t="shared" si="4"/>
        <v>7.0025137604551535</v>
      </c>
      <c r="X45" s="14">
        <f t="shared" si="4"/>
        <v>0</v>
      </c>
      <c r="Y45" s="14">
        <f t="shared" si="4"/>
        <v>0</v>
      </c>
      <c r="Z45" s="14">
        <f t="shared" si="4"/>
        <v>7.0025137604551535</v>
      </c>
    </row>
    <row r="46" spans="2:26">
      <c r="B46" t="s">
        <v>97</v>
      </c>
      <c r="C46">
        <v>2886.141602165962</v>
      </c>
      <c r="D46" t="s">
        <v>11</v>
      </c>
      <c r="E46" t="s">
        <v>12</v>
      </c>
      <c r="F46" t="s">
        <v>98</v>
      </c>
      <c r="G46" t="s">
        <v>14</v>
      </c>
      <c r="I46" t="s">
        <v>15</v>
      </c>
      <c r="J46" t="s">
        <v>107</v>
      </c>
      <c r="K46">
        <v>3</v>
      </c>
      <c r="L46">
        <v>13189.643515414757</v>
      </c>
      <c r="M46">
        <v>15</v>
      </c>
      <c r="T46" s="15">
        <v>12</v>
      </c>
      <c r="U46" s="16">
        <f t="shared" si="4"/>
        <v>0</v>
      </c>
      <c r="V46" s="16">
        <f t="shared" si="4"/>
        <v>0</v>
      </c>
      <c r="W46" s="16">
        <f t="shared" si="4"/>
        <v>6.5519050040105329</v>
      </c>
      <c r="X46" s="16">
        <f t="shared" si="4"/>
        <v>0</v>
      </c>
      <c r="Y46" s="16">
        <f t="shared" si="4"/>
        <v>0</v>
      </c>
      <c r="Z46" s="16">
        <f t="shared" si="4"/>
        <v>0</v>
      </c>
    </row>
    <row r="47" spans="2:26">
      <c r="B47" t="s">
        <v>51</v>
      </c>
      <c r="C47">
        <v>406.03898661666142</v>
      </c>
      <c r="D47" t="s">
        <v>11</v>
      </c>
      <c r="E47" t="s">
        <v>12</v>
      </c>
      <c r="F47" t="s">
        <v>108</v>
      </c>
      <c r="G47" t="s">
        <v>14</v>
      </c>
      <c r="I47" t="s">
        <v>15</v>
      </c>
      <c r="J47" t="s">
        <v>104</v>
      </c>
      <c r="K47">
        <v>6</v>
      </c>
      <c r="L47">
        <v>8868.7874543679973</v>
      </c>
      <c r="M47">
        <v>11</v>
      </c>
      <c r="T47" s="13">
        <v>13</v>
      </c>
      <c r="U47" s="14">
        <f t="shared" si="4"/>
        <v>0</v>
      </c>
      <c r="V47" s="14">
        <f t="shared" si="4"/>
        <v>0</v>
      </c>
      <c r="W47" s="14">
        <f t="shared" si="4"/>
        <v>4.0263057079933118</v>
      </c>
      <c r="X47" s="14">
        <f t="shared" si="4"/>
        <v>0</v>
      </c>
      <c r="Y47" s="14">
        <f t="shared" si="4"/>
        <v>0</v>
      </c>
      <c r="Z47" s="14">
        <f t="shared" si="4"/>
        <v>0</v>
      </c>
    </row>
    <row r="48" spans="2:26">
      <c r="B48" t="s">
        <v>42</v>
      </c>
      <c r="C48">
        <v>209.19008154504178</v>
      </c>
      <c r="E48" t="s">
        <v>12</v>
      </c>
      <c r="F48" t="s">
        <v>109</v>
      </c>
      <c r="G48" t="s">
        <v>22</v>
      </c>
      <c r="I48" t="s">
        <v>15</v>
      </c>
      <c r="J48" t="s">
        <v>104</v>
      </c>
      <c r="K48">
        <v>6</v>
      </c>
      <c r="L48">
        <v>8868.7874543679973</v>
      </c>
      <c r="M48">
        <v>11</v>
      </c>
      <c r="T48" s="15">
        <v>14</v>
      </c>
      <c r="U48" s="16">
        <f t="shared" si="4"/>
        <v>0</v>
      </c>
      <c r="V48" s="16">
        <f t="shared" si="4"/>
        <v>0</v>
      </c>
      <c r="W48" s="16">
        <f t="shared" si="4"/>
        <v>2.8017817899716349</v>
      </c>
      <c r="X48" s="16">
        <f t="shared" si="4"/>
        <v>0</v>
      </c>
      <c r="Y48" s="16">
        <f t="shared" si="4"/>
        <v>0</v>
      </c>
      <c r="Z48" s="16">
        <f t="shared" si="4"/>
        <v>0</v>
      </c>
    </row>
    <row r="49" spans="2:26">
      <c r="B49" t="s">
        <v>110</v>
      </c>
      <c r="C49">
        <v>3.8541926221048128</v>
      </c>
      <c r="E49" t="s">
        <v>18</v>
      </c>
      <c r="F49" t="s">
        <v>111</v>
      </c>
      <c r="G49" t="s">
        <v>22</v>
      </c>
      <c r="I49" t="s">
        <v>15</v>
      </c>
      <c r="J49" t="s">
        <v>112</v>
      </c>
      <c r="K49">
        <v>12</v>
      </c>
      <c r="L49">
        <v>6551.905004010533</v>
      </c>
      <c r="M49">
        <v>10</v>
      </c>
      <c r="T49" s="17" t="s">
        <v>238</v>
      </c>
      <c r="U49" s="18">
        <f t="shared" ref="U49:Z49" si="5">SUM(U35:U48)</f>
        <v>51.678997616848051</v>
      </c>
      <c r="V49" s="18">
        <f t="shared" si="5"/>
        <v>50.495678357995367</v>
      </c>
      <c r="W49" s="18">
        <f t="shared" si="5"/>
        <v>49.982017026613697</v>
      </c>
      <c r="X49" s="18">
        <f t="shared" si="5"/>
        <v>51.733984178296069</v>
      </c>
      <c r="Y49" s="18">
        <f t="shared" si="5"/>
        <v>50.440691796547355</v>
      </c>
      <c r="Z49" s="18">
        <f t="shared" si="5"/>
        <v>51.543265018506851</v>
      </c>
    </row>
    <row r="50" spans="2:26">
      <c r="B50" t="s">
        <v>110</v>
      </c>
      <c r="C50">
        <v>823.52332137920814</v>
      </c>
      <c r="E50" t="s">
        <v>18</v>
      </c>
      <c r="F50" t="s">
        <v>111</v>
      </c>
      <c r="G50" t="s">
        <v>22</v>
      </c>
      <c r="I50" t="s">
        <v>15</v>
      </c>
      <c r="J50" t="s">
        <v>104</v>
      </c>
      <c r="K50">
        <v>10</v>
      </c>
      <c r="L50">
        <v>7596.0663558483348</v>
      </c>
      <c r="M50">
        <v>9</v>
      </c>
    </row>
    <row r="51" spans="2:26">
      <c r="B51" t="s">
        <v>110</v>
      </c>
      <c r="C51">
        <v>696.84483742614361</v>
      </c>
      <c r="E51" t="s">
        <v>18</v>
      </c>
      <c r="F51" t="s">
        <v>111</v>
      </c>
      <c r="G51" t="s">
        <v>22</v>
      </c>
      <c r="I51" t="s">
        <v>15</v>
      </c>
      <c r="J51" t="s">
        <v>104</v>
      </c>
      <c r="K51">
        <v>11</v>
      </c>
      <c r="L51">
        <v>7002.5137604551546</v>
      </c>
      <c r="M51">
        <v>17</v>
      </c>
    </row>
    <row r="52" spans="2:26">
      <c r="B52" t="s">
        <v>51</v>
      </c>
      <c r="C52">
        <v>61.802441146536005</v>
      </c>
      <c r="D52" t="s">
        <v>11</v>
      </c>
      <c r="E52" t="s">
        <v>18</v>
      </c>
      <c r="F52" t="s">
        <v>52</v>
      </c>
      <c r="G52" t="s">
        <v>14</v>
      </c>
      <c r="I52" t="s">
        <v>15</v>
      </c>
      <c r="J52" t="s">
        <v>104</v>
      </c>
      <c r="K52">
        <v>6</v>
      </c>
      <c r="L52">
        <v>8868.7874543679973</v>
      </c>
      <c r="M52">
        <v>11</v>
      </c>
    </row>
    <row r="53" spans="2:26">
      <c r="B53" t="s">
        <v>51</v>
      </c>
      <c r="C53">
        <v>2613.9035344191211</v>
      </c>
      <c r="D53" t="s">
        <v>11</v>
      </c>
      <c r="E53" t="s">
        <v>18</v>
      </c>
      <c r="F53" t="s">
        <v>52</v>
      </c>
      <c r="G53" t="s">
        <v>14</v>
      </c>
      <c r="I53" t="s">
        <v>15</v>
      </c>
      <c r="J53" t="s">
        <v>104</v>
      </c>
      <c r="K53">
        <v>10</v>
      </c>
      <c r="L53">
        <v>7596.0663558483348</v>
      </c>
      <c r="M53">
        <v>9</v>
      </c>
    </row>
    <row r="54" spans="2:26">
      <c r="B54" t="s">
        <v>51</v>
      </c>
      <c r="C54">
        <v>605.45223435159778</v>
      </c>
      <c r="D54" t="s">
        <v>11</v>
      </c>
      <c r="E54" t="s">
        <v>18</v>
      </c>
      <c r="F54" t="s">
        <v>52</v>
      </c>
      <c r="G54" t="s">
        <v>14</v>
      </c>
      <c r="I54" t="s">
        <v>15</v>
      </c>
      <c r="J54" t="s">
        <v>104</v>
      </c>
      <c r="K54">
        <v>9</v>
      </c>
      <c r="L54">
        <v>13203.929429588108</v>
      </c>
      <c r="M54">
        <v>17</v>
      </c>
    </row>
    <row r="55" spans="2:26">
      <c r="B55" t="s">
        <v>113</v>
      </c>
      <c r="C55">
        <v>289.94990157390657</v>
      </c>
      <c r="E55" t="s">
        <v>18</v>
      </c>
      <c r="F55" t="s">
        <v>114</v>
      </c>
      <c r="G55" t="s">
        <v>22</v>
      </c>
      <c r="I55" t="s">
        <v>15</v>
      </c>
      <c r="J55" t="s">
        <v>104</v>
      </c>
      <c r="K55">
        <v>6</v>
      </c>
      <c r="L55">
        <v>8868.7874543679973</v>
      </c>
      <c r="M55">
        <v>11</v>
      </c>
    </row>
    <row r="56" spans="2:26">
      <c r="B56" t="s">
        <v>115</v>
      </c>
      <c r="C56">
        <v>403.29400379375932</v>
      </c>
      <c r="E56" t="s">
        <v>12</v>
      </c>
      <c r="F56" t="s">
        <v>109</v>
      </c>
      <c r="G56" t="s">
        <v>22</v>
      </c>
      <c r="I56" t="s">
        <v>15</v>
      </c>
      <c r="J56" t="s">
        <v>104</v>
      </c>
      <c r="K56">
        <v>6</v>
      </c>
      <c r="L56">
        <v>8868.7874543679973</v>
      </c>
      <c r="M56">
        <v>11</v>
      </c>
    </row>
    <row r="57" spans="2:26">
      <c r="B57" t="s">
        <v>116</v>
      </c>
      <c r="C57">
        <v>1691.7254624944303</v>
      </c>
      <c r="D57" t="s">
        <v>11</v>
      </c>
      <c r="E57" t="s">
        <v>18</v>
      </c>
      <c r="F57" t="s">
        <v>117</v>
      </c>
      <c r="G57" t="s">
        <v>14</v>
      </c>
      <c r="I57" t="s">
        <v>15</v>
      </c>
      <c r="J57" t="s">
        <v>104</v>
      </c>
      <c r="K57">
        <v>10</v>
      </c>
      <c r="L57">
        <v>7596.0663558483348</v>
      </c>
      <c r="M57">
        <v>9</v>
      </c>
    </row>
    <row r="58" spans="2:26">
      <c r="B58" t="s">
        <v>118</v>
      </c>
      <c r="C58">
        <v>1410.4656272943034</v>
      </c>
      <c r="D58" t="s">
        <v>11</v>
      </c>
      <c r="E58" t="s">
        <v>119</v>
      </c>
      <c r="F58" t="s">
        <v>120</v>
      </c>
      <c r="G58" t="s">
        <v>14</v>
      </c>
      <c r="I58" t="s">
        <v>15</v>
      </c>
      <c r="J58" t="s">
        <v>104</v>
      </c>
      <c r="K58">
        <v>4</v>
      </c>
      <c r="L58">
        <v>8958.787825018404</v>
      </c>
      <c r="M58">
        <v>15</v>
      </c>
    </row>
    <row r="59" spans="2:26">
      <c r="B59" t="s">
        <v>121</v>
      </c>
      <c r="C59">
        <v>747.7571547058086</v>
      </c>
      <c r="E59" t="s">
        <v>119</v>
      </c>
      <c r="F59" t="s">
        <v>122</v>
      </c>
      <c r="G59" t="s">
        <v>22</v>
      </c>
      <c r="I59" t="s">
        <v>15</v>
      </c>
      <c r="J59" t="s">
        <v>104</v>
      </c>
      <c r="K59">
        <v>4</v>
      </c>
      <c r="L59">
        <v>8958.787825018404</v>
      </c>
      <c r="M59">
        <v>15</v>
      </c>
    </row>
    <row r="60" spans="2:26">
      <c r="B60" t="s">
        <v>123</v>
      </c>
      <c r="C60">
        <v>1515.5850895475473</v>
      </c>
      <c r="D60" t="s">
        <v>11</v>
      </c>
      <c r="E60" t="s">
        <v>119</v>
      </c>
      <c r="F60" t="s">
        <v>124</v>
      </c>
      <c r="G60" t="s">
        <v>14</v>
      </c>
      <c r="I60" t="s">
        <v>15</v>
      </c>
      <c r="J60" t="s">
        <v>104</v>
      </c>
      <c r="K60">
        <v>4</v>
      </c>
      <c r="L60">
        <v>8958.787825018404</v>
      </c>
      <c r="M60">
        <v>15</v>
      </c>
    </row>
    <row r="61" spans="2:26">
      <c r="B61" t="s">
        <v>125</v>
      </c>
      <c r="C61">
        <v>77.950673409854801</v>
      </c>
      <c r="E61" t="s">
        <v>119</v>
      </c>
      <c r="F61" t="s">
        <v>122</v>
      </c>
      <c r="G61" t="s">
        <v>22</v>
      </c>
      <c r="I61" t="s">
        <v>15</v>
      </c>
      <c r="J61" t="s">
        <v>104</v>
      </c>
      <c r="K61">
        <v>4</v>
      </c>
      <c r="L61">
        <v>8958.787825018404</v>
      </c>
      <c r="M61">
        <v>15</v>
      </c>
    </row>
    <row r="62" spans="2:26">
      <c r="B62" t="s">
        <v>126</v>
      </c>
      <c r="C62">
        <v>1029.204360107205</v>
      </c>
      <c r="E62" t="s">
        <v>119</v>
      </c>
      <c r="F62" t="s">
        <v>127</v>
      </c>
      <c r="G62" t="s">
        <v>22</v>
      </c>
      <c r="I62" t="s">
        <v>15</v>
      </c>
      <c r="J62" t="s">
        <v>104</v>
      </c>
      <c r="K62">
        <v>4</v>
      </c>
      <c r="L62">
        <v>8958.787825018404</v>
      </c>
      <c r="M62">
        <v>15</v>
      </c>
    </row>
    <row r="63" spans="2:26">
      <c r="B63" t="s">
        <v>128</v>
      </c>
      <c r="C63">
        <v>171.71696611172254</v>
      </c>
      <c r="E63" t="s">
        <v>119</v>
      </c>
      <c r="F63" t="s">
        <v>122</v>
      </c>
      <c r="G63" t="s">
        <v>22</v>
      </c>
      <c r="I63" t="s">
        <v>15</v>
      </c>
      <c r="J63" t="s">
        <v>104</v>
      </c>
      <c r="K63">
        <v>4</v>
      </c>
      <c r="L63">
        <v>8958.787825018404</v>
      </c>
      <c r="M63">
        <v>15</v>
      </c>
    </row>
    <row r="64" spans="2:26">
      <c r="B64" t="s">
        <v>129</v>
      </c>
      <c r="C64">
        <v>0.16762651663092501</v>
      </c>
      <c r="D64" t="s">
        <v>11</v>
      </c>
      <c r="E64" t="s">
        <v>119</v>
      </c>
      <c r="F64" t="s">
        <v>130</v>
      </c>
      <c r="G64" t="s">
        <v>14</v>
      </c>
      <c r="I64" t="s">
        <v>15</v>
      </c>
      <c r="J64" t="s">
        <v>107</v>
      </c>
      <c r="K64">
        <v>3</v>
      </c>
      <c r="L64">
        <v>13189.643515414757</v>
      </c>
      <c r="M64">
        <v>15</v>
      </c>
    </row>
    <row r="65" spans="2:13">
      <c r="B65" t="s">
        <v>131</v>
      </c>
      <c r="C65">
        <v>899.30018140439006</v>
      </c>
      <c r="E65" t="s">
        <v>119</v>
      </c>
      <c r="G65" t="s">
        <v>132</v>
      </c>
      <c r="I65" t="s">
        <v>15</v>
      </c>
      <c r="J65" t="s">
        <v>104</v>
      </c>
      <c r="K65">
        <v>4</v>
      </c>
      <c r="L65">
        <v>8958.787825018404</v>
      </c>
      <c r="M65">
        <v>15</v>
      </c>
    </row>
    <row r="66" spans="2:13">
      <c r="B66" t="s">
        <v>133</v>
      </c>
      <c r="C66">
        <v>887.36866236464755</v>
      </c>
      <c r="E66" t="s">
        <v>119</v>
      </c>
      <c r="G66" t="s">
        <v>132</v>
      </c>
      <c r="I66" t="s">
        <v>15</v>
      </c>
      <c r="J66" t="s">
        <v>104</v>
      </c>
      <c r="K66">
        <v>4</v>
      </c>
      <c r="L66">
        <v>8958.787825018404</v>
      </c>
      <c r="M66">
        <v>15</v>
      </c>
    </row>
    <row r="67" spans="2:13">
      <c r="B67" t="s">
        <v>134</v>
      </c>
      <c r="C67">
        <v>695.49091695144955</v>
      </c>
      <c r="E67" t="s">
        <v>119</v>
      </c>
      <c r="G67" t="s">
        <v>132</v>
      </c>
      <c r="I67" t="s">
        <v>15</v>
      </c>
      <c r="J67" t="s">
        <v>104</v>
      </c>
      <c r="K67">
        <v>4</v>
      </c>
      <c r="L67">
        <v>8958.787825018404</v>
      </c>
      <c r="M67">
        <v>15</v>
      </c>
    </row>
    <row r="68" spans="2:13">
      <c r="B68" t="s">
        <v>129</v>
      </c>
      <c r="C68">
        <v>2748.2632590076673</v>
      </c>
      <c r="D68" t="s">
        <v>11</v>
      </c>
      <c r="E68" t="s">
        <v>61</v>
      </c>
      <c r="F68" t="s">
        <v>135</v>
      </c>
      <c r="G68" t="s">
        <v>14</v>
      </c>
      <c r="I68" t="s">
        <v>15</v>
      </c>
      <c r="J68" t="s">
        <v>107</v>
      </c>
      <c r="K68">
        <v>3</v>
      </c>
      <c r="L68">
        <v>13189.643515414757</v>
      </c>
      <c r="M68">
        <v>15</v>
      </c>
    </row>
    <row r="69" spans="2:13">
      <c r="B69" t="s">
        <v>136</v>
      </c>
      <c r="C69">
        <v>3031.6837669636498</v>
      </c>
      <c r="G69" t="s">
        <v>132</v>
      </c>
      <c r="I69" t="s">
        <v>15</v>
      </c>
      <c r="J69" t="s">
        <v>104</v>
      </c>
      <c r="K69">
        <v>2</v>
      </c>
      <c r="L69">
        <v>6335.8066995044392</v>
      </c>
      <c r="M69">
        <v>3</v>
      </c>
    </row>
    <row r="70" spans="2:13">
      <c r="B70" t="s">
        <v>136</v>
      </c>
      <c r="C70">
        <v>16.268602738167971</v>
      </c>
      <c r="G70" t="s">
        <v>132</v>
      </c>
      <c r="I70" t="s">
        <v>15</v>
      </c>
      <c r="J70" t="s">
        <v>107</v>
      </c>
      <c r="K70">
        <v>3</v>
      </c>
      <c r="L70">
        <v>13189.643515414757</v>
      </c>
      <c r="M70">
        <v>15</v>
      </c>
    </row>
    <row r="71" spans="2:13">
      <c r="B71" t="s">
        <v>136</v>
      </c>
      <c r="C71">
        <v>3026.8042757114108</v>
      </c>
      <c r="G71" t="s">
        <v>132</v>
      </c>
      <c r="I71" t="s">
        <v>15</v>
      </c>
      <c r="J71" t="s">
        <v>104</v>
      </c>
      <c r="K71">
        <v>2</v>
      </c>
      <c r="L71">
        <v>6335.8066995044392</v>
      </c>
      <c r="M71">
        <v>3</v>
      </c>
    </row>
    <row r="72" spans="2:13">
      <c r="B72" t="s">
        <v>136</v>
      </c>
      <c r="C72">
        <v>18.611603372062785</v>
      </c>
      <c r="G72" t="s">
        <v>132</v>
      </c>
      <c r="I72" t="s">
        <v>15</v>
      </c>
      <c r="J72" t="s">
        <v>107</v>
      </c>
      <c r="K72">
        <v>3</v>
      </c>
      <c r="L72">
        <v>13189.643515414757</v>
      </c>
      <c r="M72">
        <v>15</v>
      </c>
    </row>
    <row r="73" spans="2:13">
      <c r="B73" t="s">
        <v>137</v>
      </c>
      <c r="C73">
        <v>277.31865682937831</v>
      </c>
      <c r="G73" t="s">
        <v>132</v>
      </c>
      <c r="I73" t="s">
        <v>15</v>
      </c>
      <c r="J73" t="s">
        <v>104</v>
      </c>
      <c r="K73">
        <v>2</v>
      </c>
      <c r="L73">
        <v>6335.8066995044392</v>
      </c>
      <c r="M73">
        <v>3</v>
      </c>
    </row>
    <row r="74" spans="2:13">
      <c r="B74" t="s">
        <v>138</v>
      </c>
      <c r="C74">
        <v>2193.1833654388161</v>
      </c>
      <c r="D74" t="s">
        <v>139</v>
      </c>
      <c r="E74" t="s">
        <v>61</v>
      </c>
      <c r="F74" t="s">
        <v>140</v>
      </c>
      <c r="G74" t="s">
        <v>14</v>
      </c>
      <c r="I74" t="s">
        <v>15</v>
      </c>
      <c r="J74" t="s">
        <v>104</v>
      </c>
      <c r="K74">
        <v>5</v>
      </c>
      <c r="L74">
        <v>13142.65286368978</v>
      </c>
      <c r="M74">
        <v>32</v>
      </c>
    </row>
    <row r="75" spans="2:13">
      <c r="B75" t="s">
        <v>141</v>
      </c>
      <c r="C75">
        <v>1506.2821253533768</v>
      </c>
      <c r="E75" t="s">
        <v>119</v>
      </c>
      <c r="F75" t="s">
        <v>142</v>
      </c>
      <c r="G75" t="s">
        <v>22</v>
      </c>
      <c r="I75" t="s">
        <v>15</v>
      </c>
      <c r="J75" t="s">
        <v>104</v>
      </c>
      <c r="K75">
        <v>4</v>
      </c>
      <c r="L75">
        <v>8958.787825018404</v>
      </c>
      <c r="M75">
        <v>15</v>
      </c>
    </row>
    <row r="76" spans="2:13">
      <c r="B76" t="s">
        <v>143</v>
      </c>
      <c r="C76">
        <v>2.8970338379984182</v>
      </c>
      <c r="E76" t="s">
        <v>61</v>
      </c>
      <c r="F76" t="s">
        <v>144</v>
      </c>
      <c r="G76" t="s">
        <v>22</v>
      </c>
      <c r="I76" t="s">
        <v>15</v>
      </c>
      <c r="J76" t="s">
        <v>107</v>
      </c>
      <c r="K76">
        <v>3</v>
      </c>
      <c r="L76">
        <v>13189.643515414757</v>
      </c>
      <c r="M76">
        <v>15</v>
      </c>
    </row>
    <row r="77" spans="2:13">
      <c r="B77" t="s">
        <v>143</v>
      </c>
      <c r="C77">
        <v>395.92976540480453</v>
      </c>
      <c r="E77" t="s">
        <v>61</v>
      </c>
      <c r="F77" t="s">
        <v>144</v>
      </c>
      <c r="G77" t="s">
        <v>22</v>
      </c>
      <c r="I77" t="s">
        <v>15</v>
      </c>
      <c r="J77" t="s">
        <v>104</v>
      </c>
      <c r="K77">
        <v>5</v>
      </c>
      <c r="L77">
        <v>13142.65286368978</v>
      </c>
      <c r="M77">
        <v>32</v>
      </c>
    </row>
    <row r="78" spans="2:13">
      <c r="B78" t="s">
        <v>145</v>
      </c>
      <c r="C78">
        <v>1571.5882688845918</v>
      </c>
      <c r="D78" t="s">
        <v>11</v>
      </c>
      <c r="E78" t="s">
        <v>61</v>
      </c>
      <c r="F78" t="s">
        <v>146</v>
      </c>
      <c r="G78" t="s">
        <v>14</v>
      </c>
      <c r="I78" t="s">
        <v>15</v>
      </c>
      <c r="J78" t="s">
        <v>104</v>
      </c>
      <c r="K78">
        <v>5</v>
      </c>
      <c r="L78">
        <v>13142.65286368978</v>
      </c>
      <c r="M78">
        <v>32</v>
      </c>
    </row>
    <row r="79" spans="2:13">
      <c r="B79" t="s">
        <v>145</v>
      </c>
      <c r="C79">
        <v>14.695596080700934</v>
      </c>
      <c r="D79" t="s">
        <v>11</v>
      </c>
      <c r="E79" t="s">
        <v>61</v>
      </c>
      <c r="F79" t="s">
        <v>146</v>
      </c>
      <c r="G79" t="s">
        <v>14</v>
      </c>
      <c r="I79" t="s">
        <v>15</v>
      </c>
      <c r="J79" t="s">
        <v>104</v>
      </c>
      <c r="K79">
        <v>4</v>
      </c>
      <c r="L79">
        <v>8958.787825018404</v>
      </c>
      <c r="M79">
        <v>15</v>
      </c>
    </row>
    <row r="80" spans="2:13">
      <c r="B80" t="s">
        <v>147</v>
      </c>
      <c r="C80">
        <v>2.1944478710955151</v>
      </c>
      <c r="E80" t="s">
        <v>61</v>
      </c>
      <c r="F80" t="s">
        <v>148</v>
      </c>
      <c r="G80" t="s">
        <v>22</v>
      </c>
      <c r="I80" t="s">
        <v>15</v>
      </c>
      <c r="J80" t="s">
        <v>107</v>
      </c>
      <c r="K80">
        <v>3</v>
      </c>
      <c r="L80">
        <v>13189.643515414757</v>
      </c>
      <c r="M80">
        <v>15</v>
      </c>
    </row>
    <row r="81" spans="2:13">
      <c r="B81" t="s">
        <v>147</v>
      </c>
      <c r="C81">
        <v>212.14485409463788</v>
      </c>
      <c r="E81" t="s">
        <v>61</v>
      </c>
      <c r="F81" t="s">
        <v>148</v>
      </c>
      <c r="G81" t="s">
        <v>22</v>
      </c>
      <c r="I81" t="s">
        <v>15</v>
      </c>
      <c r="J81" t="s">
        <v>104</v>
      </c>
      <c r="K81">
        <v>5</v>
      </c>
      <c r="L81">
        <v>13142.65286368978</v>
      </c>
      <c r="M81">
        <v>32</v>
      </c>
    </row>
    <row r="82" spans="2:13">
      <c r="B82" t="s">
        <v>149</v>
      </c>
      <c r="C82">
        <v>986.20252614988021</v>
      </c>
      <c r="D82" t="s">
        <v>139</v>
      </c>
      <c r="E82" t="s">
        <v>61</v>
      </c>
      <c r="F82" t="s">
        <v>150</v>
      </c>
      <c r="G82" t="s">
        <v>14</v>
      </c>
      <c r="I82" t="s">
        <v>15</v>
      </c>
      <c r="J82" t="s">
        <v>104</v>
      </c>
      <c r="K82">
        <v>5</v>
      </c>
      <c r="L82">
        <v>13142.65286368978</v>
      </c>
      <c r="M82">
        <v>32</v>
      </c>
    </row>
    <row r="83" spans="2:13">
      <c r="B83" t="s">
        <v>151</v>
      </c>
      <c r="C83">
        <v>180.60188316788941</v>
      </c>
      <c r="E83" t="s">
        <v>61</v>
      </c>
      <c r="F83" t="s">
        <v>152</v>
      </c>
      <c r="G83" t="s">
        <v>22</v>
      </c>
      <c r="I83" t="s">
        <v>15</v>
      </c>
      <c r="J83" t="s">
        <v>104</v>
      </c>
      <c r="K83">
        <v>5</v>
      </c>
      <c r="L83">
        <v>13142.65286368978</v>
      </c>
      <c r="M83">
        <v>32</v>
      </c>
    </row>
    <row r="84" spans="2:13">
      <c r="B84" t="s">
        <v>153</v>
      </c>
      <c r="C84">
        <v>736.82917691184116</v>
      </c>
      <c r="D84" t="s">
        <v>11</v>
      </c>
      <c r="E84" t="s">
        <v>61</v>
      </c>
      <c r="F84" t="s">
        <v>154</v>
      </c>
      <c r="G84" t="s">
        <v>14</v>
      </c>
      <c r="I84" t="s">
        <v>15</v>
      </c>
      <c r="J84" t="s">
        <v>104</v>
      </c>
      <c r="K84">
        <v>5</v>
      </c>
      <c r="L84">
        <v>13142.65286368978</v>
      </c>
      <c r="M84">
        <v>32</v>
      </c>
    </row>
    <row r="85" spans="2:13">
      <c r="B85" t="s">
        <v>155</v>
      </c>
      <c r="C85">
        <v>6.9282684318867336</v>
      </c>
      <c r="E85" t="s">
        <v>61</v>
      </c>
      <c r="F85" t="s">
        <v>156</v>
      </c>
      <c r="G85" t="s">
        <v>22</v>
      </c>
      <c r="I85" t="s">
        <v>15</v>
      </c>
      <c r="J85" t="s">
        <v>107</v>
      </c>
      <c r="K85">
        <v>3</v>
      </c>
      <c r="L85">
        <v>13189.643515414757</v>
      </c>
      <c r="M85">
        <v>15</v>
      </c>
    </row>
    <row r="86" spans="2:13">
      <c r="B86" t="s">
        <v>155</v>
      </c>
      <c r="C86">
        <v>467.52042927367086</v>
      </c>
      <c r="E86" t="s">
        <v>61</v>
      </c>
      <c r="F86" t="s">
        <v>156</v>
      </c>
      <c r="G86" t="s">
        <v>22</v>
      </c>
      <c r="I86" t="s">
        <v>15</v>
      </c>
      <c r="J86" t="s">
        <v>104</v>
      </c>
      <c r="K86">
        <v>5</v>
      </c>
      <c r="L86">
        <v>13142.65286368978</v>
      </c>
      <c r="M86">
        <v>32</v>
      </c>
    </row>
    <row r="87" spans="2:13">
      <c r="B87" t="s">
        <v>157</v>
      </c>
      <c r="C87">
        <v>444.09888722807068</v>
      </c>
      <c r="E87" t="s">
        <v>61</v>
      </c>
      <c r="F87" t="s">
        <v>158</v>
      </c>
      <c r="G87" t="s">
        <v>22</v>
      </c>
      <c r="I87" t="s">
        <v>15</v>
      </c>
      <c r="J87" t="s">
        <v>104</v>
      </c>
      <c r="K87">
        <v>5</v>
      </c>
      <c r="L87">
        <v>13142.65286368978</v>
      </c>
      <c r="M87">
        <v>32</v>
      </c>
    </row>
    <row r="88" spans="2:13">
      <c r="B88" t="s">
        <v>159</v>
      </c>
      <c r="C88">
        <v>2.1148043257476652</v>
      </c>
      <c r="D88" t="s">
        <v>11</v>
      </c>
      <c r="E88" t="s">
        <v>61</v>
      </c>
      <c r="F88" t="s">
        <v>160</v>
      </c>
      <c r="G88" t="s">
        <v>14</v>
      </c>
      <c r="I88" t="s">
        <v>15</v>
      </c>
      <c r="J88" t="s">
        <v>107</v>
      </c>
      <c r="K88">
        <v>3</v>
      </c>
      <c r="L88">
        <v>13189.643515414757</v>
      </c>
      <c r="M88">
        <v>15</v>
      </c>
    </row>
    <row r="89" spans="2:13">
      <c r="B89" t="s">
        <v>159</v>
      </c>
      <c r="C89">
        <v>1054.281292887955</v>
      </c>
      <c r="D89" t="s">
        <v>11</v>
      </c>
      <c r="E89" t="s">
        <v>61</v>
      </c>
      <c r="F89" t="s">
        <v>160</v>
      </c>
      <c r="G89" t="s">
        <v>14</v>
      </c>
      <c r="I89" t="s">
        <v>15</v>
      </c>
      <c r="J89" t="s">
        <v>104</v>
      </c>
      <c r="K89">
        <v>5</v>
      </c>
      <c r="L89">
        <v>13142.65286368978</v>
      </c>
      <c r="M89">
        <v>32</v>
      </c>
    </row>
    <row r="90" spans="2:13">
      <c r="B90" t="s">
        <v>129</v>
      </c>
      <c r="C90">
        <v>1660.9245490668561</v>
      </c>
      <c r="D90" t="s">
        <v>11</v>
      </c>
      <c r="E90" t="s">
        <v>12</v>
      </c>
      <c r="F90" t="s">
        <v>161</v>
      </c>
      <c r="G90" t="s">
        <v>14</v>
      </c>
      <c r="I90" t="s">
        <v>15</v>
      </c>
      <c r="J90" t="s">
        <v>107</v>
      </c>
      <c r="K90">
        <v>3</v>
      </c>
      <c r="L90">
        <v>13189.643515414757</v>
      </c>
      <c r="M90">
        <v>15</v>
      </c>
    </row>
    <row r="91" spans="2:13">
      <c r="B91" t="s">
        <v>162</v>
      </c>
      <c r="C91">
        <v>3.426000628507087</v>
      </c>
      <c r="E91" t="s">
        <v>61</v>
      </c>
      <c r="F91" t="s">
        <v>163</v>
      </c>
      <c r="G91" t="s">
        <v>22</v>
      </c>
      <c r="I91" t="s">
        <v>15</v>
      </c>
      <c r="J91" t="s">
        <v>107</v>
      </c>
      <c r="K91">
        <v>3</v>
      </c>
      <c r="L91">
        <v>13189.643515414757</v>
      </c>
      <c r="M91">
        <v>15</v>
      </c>
    </row>
    <row r="92" spans="2:13">
      <c r="B92" t="s">
        <v>162</v>
      </c>
      <c r="C92">
        <v>1118.3188768241102</v>
      </c>
      <c r="E92" t="s">
        <v>61</v>
      </c>
      <c r="F92" t="s">
        <v>163</v>
      </c>
      <c r="G92" t="s">
        <v>22</v>
      </c>
      <c r="I92" t="s">
        <v>15</v>
      </c>
      <c r="J92" t="s">
        <v>104</v>
      </c>
      <c r="K92">
        <v>5</v>
      </c>
      <c r="L92">
        <v>13142.65286368978</v>
      </c>
      <c r="M92">
        <v>32</v>
      </c>
    </row>
    <row r="93" spans="2:13">
      <c r="B93" t="s">
        <v>164</v>
      </c>
      <c r="C93">
        <v>690.74827681766612</v>
      </c>
      <c r="G93" t="s">
        <v>132</v>
      </c>
      <c r="I93" t="s">
        <v>15</v>
      </c>
      <c r="J93" t="s">
        <v>104</v>
      </c>
      <c r="K93">
        <v>5</v>
      </c>
      <c r="L93">
        <v>13142.65286368978</v>
      </c>
      <c r="M93">
        <v>32</v>
      </c>
    </row>
    <row r="94" spans="2:13">
      <c r="B94" t="s">
        <v>165</v>
      </c>
      <c r="C94">
        <v>285.0749934857285</v>
      </c>
      <c r="G94" t="s">
        <v>132</v>
      </c>
      <c r="I94" t="s">
        <v>15</v>
      </c>
      <c r="J94" t="s">
        <v>104</v>
      </c>
      <c r="K94">
        <v>5</v>
      </c>
      <c r="L94">
        <v>13142.65286368978</v>
      </c>
      <c r="M94">
        <v>32</v>
      </c>
    </row>
    <row r="95" spans="2:13">
      <c r="B95" t="s">
        <v>166</v>
      </c>
      <c r="C95">
        <v>129.52287465438633</v>
      </c>
      <c r="G95" t="s">
        <v>132</v>
      </c>
      <c r="I95" t="s">
        <v>15</v>
      </c>
      <c r="J95" t="s">
        <v>104</v>
      </c>
      <c r="K95">
        <v>5</v>
      </c>
      <c r="L95">
        <v>13142.65286368978</v>
      </c>
      <c r="M95">
        <v>32</v>
      </c>
    </row>
    <row r="96" spans="2:13">
      <c r="B96" t="s">
        <v>167</v>
      </c>
      <c r="C96">
        <v>287.56092044068743</v>
      </c>
      <c r="G96" t="s">
        <v>132</v>
      </c>
      <c r="I96" t="s">
        <v>15</v>
      </c>
      <c r="J96" t="s">
        <v>104</v>
      </c>
      <c r="K96">
        <v>5</v>
      </c>
      <c r="L96">
        <v>13142.65286368978</v>
      </c>
      <c r="M96">
        <v>32</v>
      </c>
    </row>
    <row r="97" spans="2:13">
      <c r="B97" t="s">
        <v>168</v>
      </c>
      <c r="C97">
        <v>168.79565800458585</v>
      </c>
      <c r="E97" t="s">
        <v>61</v>
      </c>
      <c r="G97" t="s">
        <v>132</v>
      </c>
      <c r="I97" t="s">
        <v>15</v>
      </c>
      <c r="J97" t="s">
        <v>104</v>
      </c>
      <c r="K97">
        <v>5</v>
      </c>
      <c r="L97">
        <v>13142.65286368978</v>
      </c>
      <c r="M97">
        <v>32</v>
      </c>
    </row>
    <row r="98" spans="2:13">
      <c r="B98" t="s">
        <v>169</v>
      </c>
      <c r="C98">
        <v>152.75805827493892</v>
      </c>
      <c r="E98" t="s">
        <v>61</v>
      </c>
      <c r="G98" t="s">
        <v>132</v>
      </c>
      <c r="I98" t="s">
        <v>15</v>
      </c>
      <c r="J98" t="s">
        <v>104</v>
      </c>
      <c r="K98">
        <v>5</v>
      </c>
      <c r="L98">
        <v>13142.65286368978</v>
      </c>
      <c r="M98">
        <v>32</v>
      </c>
    </row>
    <row r="99" spans="2:13">
      <c r="B99" t="s">
        <v>170</v>
      </c>
      <c r="C99">
        <v>597.53264489202184</v>
      </c>
      <c r="E99" t="s">
        <v>61</v>
      </c>
      <c r="G99" t="s">
        <v>132</v>
      </c>
      <c r="I99" t="s">
        <v>15</v>
      </c>
      <c r="J99" t="s">
        <v>104</v>
      </c>
      <c r="K99">
        <v>5</v>
      </c>
      <c r="L99">
        <v>13142.65286368978</v>
      </c>
      <c r="M99">
        <v>32</v>
      </c>
    </row>
    <row r="100" spans="2:13">
      <c r="B100" t="s">
        <v>171</v>
      </c>
      <c r="C100">
        <v>99.332245073745113</v>
      </c>
      <c r="E100" t="s">
        <v>61</v>
      </c>
      <c r="G100" t="s">
        <v>132</v>
      </c>
      <c r="I100" t="s">
        <v>15</v>
      </c>
      <c r="J100" t="s">
        <v>104</v>
      </c>
      <c r="K100">
        <v>5</v>
      </c>
      <c r="L100">
        <v>13142.65286368978</v>
      </c>
      <c r="M100">
        <v>32</v>
      </c>
    </row>
    <row r="101" spans="2:13">
      <c r="B101" t="s">
        <v>172</v>
      </c>
      <c r="C101">
        <v>152.27291779458861</v>
      </c>
      <c r="E101" t="s">
        <v>61</v>
      </c>
      <c r="G101" t="s">
        <v>132</v>
      </c>
      <c r="I101" t="s">
        <v>15</v>
      </c>
      <c r="J101" t="s">
        <v>104</v>
      </c>
      <c r="K101">
        <v>5</v>
      </c>
      <c r="L101">
        <v>13142.65286368978</v>
      </c>
      <c r="M101">
        <v>32</v>
      </c>
    </row>
    <row r="102" spans="2:13">
      <c r="B102" t="s">
        <v>173</v>
      </c>
      <c r="C102">
        <v>81.16418148478374</v>
      </c>
      <c r="E102" t="s">
        <v>61</v>
      </c>
      <c r="G102" t="s">
        <v>174</v>
      </c>
      <c r="I102" t="s">
        <v>15</v>
      </c>
      <c r="J102" t="s">
        <v>104</v>
      </c>
      <c r="K102">
        <v>5</v>
      </c>
      <c r="L102">
        <v>13142.65286368978</v>
      </c>
      <c r="M102">
        <v>32</v>
      </c>
    </row>
    <row r="103" spans="2:13">
      <c r="B103" t="s">
        <v>175</v>
      </c>
      <c r="C103">
        <v>1187.910709942613</v>
      </c>
      <c r="D103" t="s">
        <v>11</v>
      </c>
      <c r="E103" t="s">
        <v>176</v>
      </c>
      <c r="F103" t="s">
        <v>177</v>
      </c>
      <c r="G103" t="s">
        <v>14</v>
      </c>
      <c r="I103" t="s">
        <v>15</v>
      </c>
      <c r="J103" t="s">
        <v>112</v>
      </c>
      <c r="K103">
        <v>12</v>
      </c>
      <c r="L103">
        <v>6551.905004010533</v>
      </c>
      <c r="M103">
        <v>10</v>
      </c>
    </row>
    <row r="104" spans="2:13">
      <c r="B104" t="s">
        <v>178</v>
      </c>
      <c r="C104">
        <v>5.0923665088422636</v>
      </c>
      <c r="D104" t="s">
        <v>11</v>
      </c>
      <c r="E104" t="s">
        <v>18</v>
      </c>
      <c r="F104" t="s">
        <v>179</v>
      </c>
      <c r="G104" t="s">
        <v>14</v>
      </c>
      <c r="I104" t="s">
        <v>15</v>
      </c>
      <c r="J104" t="s">
        <v>112</v>
      </c>
      <c r="K104">
        <v>12</v>
      </c>
      <c r="L104">
        <v>6551.905004010533</v>
      </c>
      <c r="M104">
        <v>10</v>
      </c>
    </row>
    <row r="105" spans="2:13">
      <c r="B105" t="s">
        <v>178</v>
      </c>
      <c r="C105">
        <v>787.92710374874684</v>
      </c>
      <c r="D105" t="s">
        <v>11</v>
      </c>
      <c r="E105" t="s">
        <v>18</v>
      </c>
      <c r="F105" t="s">
        <v>179</v>
      </c>
      <c r="G105" t="s">
        <v>14</v>
      </c>
      <c r="I105" t="s">
        <v>15</v>
      </c>
      <c r="J105" t="s">
        <v>104</v>
      </c>
      <c r="K105">
        <v>11</v>
      </c>
      <c r="L105">
        <v>7002.5137604551546</v>
      </c>
      <c r="M105">
        <v>17</v>
      </c>
    </row>
    <row r="106" spans="2:13">
      <c r="B106" t="s">
        <v>175</v>
      </c>
      <c r="C106">
        <v>1094.5769278387227</v>
      </c>
      <c r="D106" t="s">
        <v>11</v>
      </c>
      <c r="E106" t="s">
        <v>18</v>
      </c>
      <c r="F106" t="s">
        <v>180</v>
      </c>
      <c r="G106" t="s">
        <v>14</v>
      </c>
      <c r="I106" t="s">
        <v>15</v>
      </c>
      <c r="J106" t="s">
        <v>112</v>
      </c>
      <c r="K106">
        <v>12</v>
      </c>
      <c r="L106">
        <v>6551.905004010533</v>
      </c>
      <c r="M106">
        <v>10</v>
      </c>
    </row>
    <row r="107" spans="2:13">
      <c r="B107" t="s">
        <v>181</v>
      </c>
      <c r="C107">
        <v>2120.0139384040585</v>
      </c>
      <c r="E107" t="s">
        <v>18</v>
      </c>
      <c r="G107" t="s">
        <v>132</v>
      </c>
      <c r="I107" t="s">
        <v>15</v>
      </c>
      <c r="J107" t="s">
        <v>112</v>
      </c>
      <c r="K107">
        <v>12</v>
      </c>
      <c r="L107">
        <v>6551.905004010533</v>
      </c>
      <c r="M107">
        <v>10</v>
      </c>
    </row>
    <row r="108" spans="2:13">
      <c r="B108" t="s">
        <v>182</v>
      </c>
      <c r="C108">
        <v>2116.8947030119953</v>
      </c>
      <c r="E108" t="s">
        <v>18</v>
      </c>
      <c r="G108" t="s">
        <v>132</v>
      </c>
      <c r="I108" t="s">
        <v>15</v>
      </c>
      <c r="J108" t="s">
        <v>112</v>
      </c>
      <c r="K108">
        <v>12</v>
      </c>
      <c r="L108">
        <v>6551.905004010533</v>
      </c>
      <c r="M108">
        <v>10</v>
      </c>
    </row>
    <row r="109" spans="2:13">
      <c r="B109" t="s">
        <v>183</v>
      </c>
      <c r="C109">
        <v>12.194788563679921</v>
      </c>
      <c r="E109" t="s">
        <v>18</v>
      </c>
      <c r="G109" t="s">
        <v>132</v>
      </c>
      <c r="I109" t="s">
        <v>15</v>
      </c>
      <c r="J109" t="s">
        <v>112</v>
      </c>
      <c r="K109">
        <v>12</v>
      </c>
      <c r="L109">
        <v>6551.905004010533</v>
      </c>
      <c r="M109">
        <v>10</v>
      </c>
    </row>
    <row r="110" spans="2:13">
      <c r="B110" t="s">
        <v>183</v>
      </c>
      <c r="C110">
        <v>127.60885138971848</v>
      </c>
      <c r="E110" t="s">
        <v>18</v>
      </c>
      <c r="G110" t="s">
        <v>132</v>
      </c>
      <c r="I110" t="s">
        <v>15</v>
      </c>
      <c r="J110" t="s">
        <v>104</v>
      </c>
      <c r="K110">
        <v>11</v>
      </c>
      <c r="L110">
        <v>7002.5137604551546</v>
      </c>
      <c r="M110">
        <v>17</v>
      </c>
    </row>
    <row r="111" spans="2:13">
      <c r="B111" t="s">
        <v>184</v>
      </c>
      <c r="C111">
        <v>2.4186246926437631</v>
      </c>
      <c r="E111" t="s">
        <v>18</v>
      </c>
      <c r="G111" t="s">
        <v>132</v>
      </c>
      <c r="I111" t="s">
        <v>15</v>
      </c>
      <c r="J111" t="s">
        <v>112</v>
      </c>
      <c r="K111">
        <v>12</v>
      </c>
      <c r="L111">
        <v>6551.905004010533</v>
      </c>
      <c r="M111">
        <v>10</v>
      </c>
    </row>
    <row r="112" spans="2:13">
      <c r="B112" t="s">
        <v>184</v>
      </c>
      <c r="C112">
        <v>638.15819637651202</v>
      </c>
      <c r="E112" t="s">
        <v>18</v>
      </c>
      <c r="G112" t="s">
        <v>132</v>
      </c>
      <c r="I112" t="s">
        <v>15</v>
      </c>
      <c r="J112" t="s">
        <v>104</v>
      </c>
      <c r="K112">
        <v>11</v>
      </c>
      <c r="L112">
        <v>7002.5137604551546</v>
      </c>
      <c r="M112">
        <v>17</v>
      </c>
    </row>
    <row r="113" spans="2:13">
      <c r="B113" t="s">
        <v>185</v>
      </c>
      <c r="C113">
        <v>3.2904350037696082</v>
      </c>
      <c r="E113" t="s">
        <v>18</v>
      </c>
      <c r="G113" t="s">
        <v>132</v>
      </c>
      <c r="I113" t="s">
        <v>15</v>
      </c>
      <c r="J113" t="s">
        <v>112</v>
      </c>
      <c r="K113">
        <v>12</v>
      </c>
      <c r="L113">
        <v>6551.905004010533</v>
      </c>
      <c r="M113">
        <v>10</v>
      </c>
    </row>
    <row r="114" spans="2:13">
      <c r="B114" t="s">
        <v>185</v>
      </c>
      <c r="C114">
        <v>613.32256055484697</v>
      </c>
      <c r="E114" t="s">
        <v>18</v>
      </c>
      <c r="G114" t="s">
        <v>132</v>
      </c>
      <c r="I114" t="s">
        <v>15</v>
      </c>
      <c r="J114" t="s">
        <v>104</v>
      </c>
      <c r="K114">
        <v>11</v>
      </c>
      <c r="L114">
        <v>7002.5137604551546</v>
      </c>
      <c r="M114">
        <v>17</v>
      </c>
    </row>
    <row r="115" spans="2:13">
      <c r="B115" t="s">
        <v>186</v>
      </c>
      <c r="C115">
        <v>193.88587049221769</v>
      </c>
      <c r="E115" t="s">
        <v>18</v>
      </c>
      <c r="G115" t="s">
        <v>132</v>
      </c>
      <c r="I115" t="s">
        <v>15</v>
      </c>
      <c r="J115" t="s">
        <v>104</v>
      </c>
      <c r="K115">
        <v>11</v>
      </c>
      <c r="L115">
        <v>7002.5137604551546</v>
      </c>
      <c r="M115">
        <v>17</v>
      </c>
    </row>
    <row r="116" spans="2:13">
      <c r="B116" t="s">
        <v>187</v>
      </c>
      <c r="C116">
        <v>196.94975526358718</v>
      </c>
      <c r="E116" t="s">
        <v>18</v>
      </c>
      <c r="G116" t="s">
        <v>132</v>
      </c>
      <c r="I116" t="s">
        <v>15</v>
      </c>
      <c r="J116" t="s">
        <v>104</v>
      </c>
      <c r="K116">
        <v>11</v>
      </c>
      <c r="L116">
        <v>7002.5137604551546</v>
      </c>
      <c r="M116">
        <v>17</v>
      </c>
    </row>
    <row r="117" spans="2:13">
      <c r="B117" t="s">
        <v>188</v>
      </c>
      <c r="C117">
        <v>203.20320171225757</v>
      </c>
      <c r="E117" t="s">
        <v>18</v>
      </c>
      <c r="G117" t="s">
        <v>132</v>
      </c>
      <c r="I117" t="s">
        <v>15</v>
      </c>
      <c r="J117" t="s">
        <v>104</v>
      </c>
      <c r="K117">
        <v>11</v>
      </c>
      <c r="L117">
        <v>7002.5137604551546</v>
      </c>
      <c r="M117">
        <v>17</v>
      </c>
    </row>
    <row r="118" spans="2:13">
      <c r="B118" t="s">
        <v>189</v>
      </c>
      <c r="C118">
        <v>5.6583174221036403</v>
      </c>
      <c r="E118" t="s">
        <v>18</v>
      </c>
      <c r="G118" t="s">
        <v>132</v>
      </c>
      <c r="I118" t="s">
        <v>15</v>
      </c>
      <c r="J118" t="s">
        <v>112</v>
      </c>
      <c r="K118">
        <v>12</v>
      </c>
      <c r="L118">
        <v>6551.905004010533</v>
      </c>
      <c r="M118">
        <v>10</v>
      </c>
    </row>
    <row r="119" spans="2:13">
      <c r="B119" t="s">
        <v>189</v>
      </c>
      <c r="C119">
        <v>523.61236300463452</v>
      </c>
      <c r="E119" t="s">
        <v>18</v>
      </c>
      <c r="G119" t="s">
        <v>132</v>
      </c>
      <c r="I119" t="s">
        <v>15</v>
      </c>
      <c r="J119" t="s">
        <v>104</v>
      </c>
      <c r="K119">
        <v>11</v>
      </c>
      <c r="L119">
        <v>7002.5137604551546</v>
      </c>
      <c r="M119">
        <v>17</v>
      </c>
    </row>
    <row r="120" spans="2:13">
      <c r="B120" t="s">
        <v>190</v>
      </c>
      <c r="C120">
        <v>129.66165053665964</v>
      </c>
      <c r="D120" t="s">
        <v>11</v>
      </c>
      <c r="E120" t="s">
        <v>18</v>
      </c>
      <c r="F120" t="s">
        <v>191</v>
      </c>
      <c r="G120" t="s">
        <v>14</v>
      </c>
      <c r="I120" t="s">
        <v>15</v>
      </c>
      <c r="J120" t="s">
        <v>104</v>
      </c>
      <c r="K120">
        <v>10</v>
      </c>
      <c r="L120">
        <v>7596.0663558483348</v>
      </c>
      <c r="M120">
        <v>9</v>
      </c>
    </row>
    <row r="121" spans="2:13">
      <c r="B121" t="s">
        <v>25</v>
      </c>
      <c r="C121">
        <v>361.33609735206949</v>
      </c>
      <c r="E121" t="s">
        <v>18</v>
      </c>
      <c r="F121" t="s">
        <v>26</v>
      </c>
      <c r="G121" t="s">
        <v>22</v>
      </c>
      <c r="I121" t="s">
        <v>15</v>
      </c>
      <c r="J121" t="s">
        <v>104</v>
      </c>
      <c r="K121">
        <v>10</v>
      </c>
      <c r="L121">
        <v>7596.0663558483348</v>
      </c>
      <c r="M121">
        <v>9</v>
      </c>
    </row>
    <row r="122" spans="2:13">
      <c r="B122" t="s">
        <v>25</v>
      </c>
      <c r="C122">
        <v>5.1336876106884661</v>
      </c>
      <c r="E122" t="s">
        <v>18</v>
      </c>
      <c r="F122" t="s">
        <v>26</v>
      </c>
      <c r="G122" t="s">
        <v>22</v>
      </c>
      <c r="I122" t="s">
        <v>15</v>
      </c>
      <c r="J122" t="s">
        <v>104</v>
      </c>
      <c r="K122">
        <v>8</v>
      </c>
      <c r="L122">
        <v>16471.623778925205</v>
      </c>
      <c r="M122">
        <v>22</v>
      </c>
    </row>
    <row r="123" spans="2:13">
      <c r="B123" t="s">
        <v>23</v>
      </c>
      <c r="C123">
        <v>369.92392224399515</v>
      </c>
      <c r="E123" t="s">
        <v>18</v>
      </c>
      <c r="F123" t="s">
        <v>33</v>
      </c>
      <c r="G123" t="s">
        <v>22</v>
      </c>
      <c r="I123" t="s">
        <v>15</v>
      </c>
      <c r="J123" t="s">
        <v>104</v>
      </c>
      <c r="K123">
        <v>10</v>
      </c>
      <c r="L123">
        <v>7596.0663558483348</v>
      </c>
      <c r="M123">
        <v>9</v>
      </c>
    </row>
    <row r="124" spans="2:13">
      <c r="B124" t="s">
        <v>23</v>
      </c>
      <c r="C124">
        <v>27.771281698900172</v>
      </c>
      <c r="E124" t="s">
        <v>18</v>
      </c>
      <c r="F124" t="s">
        <v>33</v>
      </c>
      <c r="G124" t="s">
        <v>22</v>
      </c>
      <c r="I124" t="s">
        <v>15</v>
      </c>
      <c r="J124" t="s">
        <v>104</v>
      </c>
      <c r="K124">
        <v>8</v>
      </c>
      <c r="L124">
        <v>16471.623778925205</v>
      </c>
      <c r="M124">
        <v>22</v>
      </c>
    </row>
    <row r="125" spans="2:13">
      <c r="B125" t="s">
        <v>44</v>
      </c>
      <c r="C125">
        <v>198.93760893482215</v>
      </c>
      <c r="D125" t="s">
        <v>11</v>
      </c>
      <c r="E125" t="s">
        <v>18</v>
      </c>
      <c r="F125" t="s">
        <v>45</v>
      </c>
      <c r="G125" t="s">
        <v>14</v>
      </c>
      <c r="I125" t="s">
        <v>15</v>
      </c>
      <c r="J125" t="s">
        <v>104</v>
      </c>
      <c r="K125">
        <v>10</v>
      </c>
      <c r="L125">
        <v>7596.0663558483348</v>
      </c>
      <c r="M125">
        <v>9</v>
      </c>
    </row>
    <row r="126" spans="2:13">
      <c r="B126" t="s">
        <v>44</v>
      </c>
      <c r="C126">
        <v>493.5826882499187</v>
      </c>
      <c r="D126" t="s">
        <v>11</v>
      </c>
      <c r="E126" t="s">
        <v>18</v>
      </c>
      <c r="F126" t="s">
        <v>45</v>
      </c>
      <c r="G126" t="s">
        <v>14</v>
      </c>
      <c r="I126" t="s">
        <v>15</v>
      </c>
      <c r="J126" t="s">
        <v>104</v>
      </c>
      <c r="K126">
        <v>9</v>
      </c>
      <c r="L126">
        <v>13203.929429588108</v>
      </c>
      <c r="M126">
        <v>17</v>
      </c>
    </row>
    <row r="127" spans="2:13">
      <c r="B127" t="s">
        <v>67</v>
      </c>
      <c r="C127">
        <v>690.62011901556014</v>
      </c>
      <c r="D127" t="s">
        <v>11</v>
      </c>
      <c r="E127" t="s">
        <v>18</v>
      </c>
      <c r="F127" t="s">
        <v>68</v>
      </c>
      <c r="G127" t="s">
        <v>14</v>
      </c>
      <c r="I127" t="s">
        <v>15</v>
      </c>
      <c r="J127" t="s">
        <v>104</v>
      </c>
      <c r="K127">
        <v>10</v>
      </c>
      <c r="L127">
        <v>7596.0663558483348</v>
      </c>
      <c r="M127">
        <v>9</v>
      </c>
    </row>
    <row r="128" spans="2:13">
      <c r="B128" t="s">
        <v>67</v>
      </c>
      <c r="C128">
        <v>2.4415104854751002</v>
      </c>
      <c r="D128" t="s">
        <v>11</v>
      </c>
      <c r="E128" t="s">
        <v>18</v>
      </c>
      <c r="F128" t="s">
        <v>68</v>
      </c>
      <c r="G128" t="s">
        <v>14</v>
      </c>
      <c r="I128" t="s">
        <v>15</v>
      </c>
      <c r="J128" t="s">
        <v>104</v>
      </c>
      <c r="K128">
        <v>8</v>
      </c>
      <c r="L128">
        <v>16471.623778925205</v>
      </c>
      <c r="M128">
        <v>22</v>
      </c>
    </row>
    <row r="129" spans="2:13">
      <c r="B129" t="s">
        <v>31</v>
      </c>
      <c r="C129">
        <v>42.417437954123159</v>
      </c>
      <c r="E129" t="s">
        <v>12</v>
      </c>
      <c r="F129" t="s">
        <v>33</v>
      </c>
      <c r="G129" t="s">
        <v>22</v>
      </c>
      <c r="I129" t="s">
        <v>15</v>
      </c>
      <c r="J129" t="s">
        <v>104</v>
      </c>
      <c r="K129">
        <v>8</v>
      </c>
      <c r="L129">
        <v>16471.623778925205</v>
      </c>
      <c r="M129">
        <v>22</v>
      </c>
    </row>
    <row r="130" spans="2:13">
      <c r="B130" t="s">
        <v>192</v>
      </c>
      <c r="C130">
        <v>716.43463947246812</v>
      </c>
      <c r="D130" t="s">
        <v>11</v>
      </c>
      <c r="E130" t="s">
        <v>18</v>
      </c>
      <c r="F130" t="s">
        <v>193</v>
      </c>
      <c r="G130" t="s">
        <v>14</v>
      </c>
      <c r="I130" t="s">
        <v>15</v>
      </c>
      <c r="J130" t="s">
        <v>104</v>
      </c>
      <c r="K130">
        <v>10</v>
      </c>
      <c r="L130">
        <v>7596.0663558483348</v>
      </c>
      <c r="M130">
        <v>9</v>
      </c>
    </row>
    <row r="131" spans="2:13">
      <c r="B131" t="s">
        <v>194</v>
      </c>
      <c r="C131">
        <v>97.2325003870872</v>
      </c>
      <c r="E131" t="s">
        <v>61</v>
      </c>
      <c r="F131" t="s">
        <v>195</v>
      </c>
      <c r="G131" t="s">
        <v>22</v>
      </c>
      <c r="I131" t="s">
        <v>15</v>
      </c>
      <c r="J131" t="s">
        <v>104</v>
      </c>
      <c r="K131">
        <v>5</v>
      </c>
      <c r="L131">
        <v>13142.65286368978</v>
      </c>
      <c r="M131">
        <v>32</v>
      </c>
    </row>
    <row r="132" spans="2:13">
      <c r="B132" t="s">
        <v>196</v>
      </c>
      <c r="C132">
        <v>97.473077589328426</v>
      </c>
      <c r="E132" t="s">
        <v>61</v>
      </c>
      <c r="F132" t="s">
        <v>195</v>
      </c>
      <c r="G132" t="s">
        <v>22</v>
      </c>
      <c r="I132" t="s">
        <v>15</v>
      </c>
      <c r="J132" t="s">
        <v>104</v>
      </c>
      <c r="K132">
        <v>5</v>
      </c>
      <c r="L132">
        <v>13142.65286368978</v>
      </c>
      <c r="M132">
        <v>32</v>
      </c>
    </row>
    <row r="133" spans="2:13">
      <c r="B133" t="s">
        <v>197</v>
      </c>
      <c r="C133">
        <v>97.737787506055923</v>
      </c>
      <c r="E133" t="s">
        <v>61</v>
      </c>
      <c r="F133" t="s">
        <v>195</v>
      </c>
      <c r="G133" t="s">
        <v>22</v>
      </c>
      <c r="I133" t="s">
        <v>15</v>
      </c>
      <c r="J133" t="s">
        <v>104</v>
      </c>
      <c r="K133">
        <v>5</v>
      </c>
      <c r="L133">
        <v>13142.65286368978</v>
      </c>
      <c r="M133">
        <v>32</v>
      </c>
    </row>
    <row r="134" spans="2:13">
      <c r="B134" t="s">
        <v>198</v>
      </c>
      <c r="C134">
        <v>289.96402237477827</v>
      </c>
      <c r="D134" t="s">
        <v>11</v>
      </c>
      <c r="E134" t="s">
        <v>61</v>
      </c>
      <c r="F134" t="s">
        <v>199</v>
      </c>
      <c r="G134" t="s">
        <v>14</v>
      </c>
      <c r="I134" t="s">
        <v>15</v>
      </c>
      <c r="J134" t="s">
        <v>104</v>
      </c>
      <c r="K134">
        <v>5</v>
      </c>
      <c r="L134">
        <v>13142.65286368978</v>
      </c>
      <c r="M134">
        <v>32</v>
      </c>
    </row>
    <row r="135" spans="2:13">
      <c r="B135" t="s">
        <v>200</v>
      </c>
      <c r="C135">
        <v>92.787980978118597</v>
      </c>
      <c r="D135" t="s">
        <v>11</v>
      </c>
      <c r="E135" t="s">
        <v>61</v>
      </c>
      <c r="F135" t="s">
        <v>201</v>
      </c>
      <c r="G135" t="s">
        <v>14</v>
      </c>
      <c r="I135" t="s">
        <v>15</v>
      </c>
      <c r="J135" t="s">
        <v>104</v>
      </c>
      <c r="K135">
        <v>5</v>
      </c>
      <c r="L135">
        <v>13142.65286368978</v>
      </c>
      <c r="M135">
        <v>32</v>
      </c>
    </row>
    <row r="136" spans="2:13">
      <c r="B136" t="s">
        <v>202</v>
      </c>
      <c r="C136">
        <v>289.52041320137192</v>
      </c>
      <c r="D136" t="s">
        <v>11</v>
      </c>
      <c r="E136" t="s">
        <v>61</v>
      </c>
      <c r="F136" t="s">
        <v>203</v>
      </c>
      <c r="G136" t="s">
        <v>14</v>
      </c>
      <c r="I136" t="s">
        <v>15</v>
      </c>
      <c r="J136" t="s">
        <v>104</v>
      </c>
      <c r="K136">
        <v>5</v>
      </c>
      <c r="L136">
        <v>13142.65286368978</v>
      </c>
      <c r="M136">
        <v>32</v>
      </c>
    </row>
    <row r="137" spans="2:13">
      <c r="B137" t="s">
        <v>204</v>
      </c>
      <c r="C137">
        <v>2.9704716873970209</v>
      </c>
      <c r="D137" t="s">
        <v>11</v>
      </c>
      <c r="E137" t="s">
        <v>119</v>
      </c>
      <c r="F137" t="s">
        <v>205</v>
      </c>
      <c r="G137" t="s">
        <v>14</v>
      </c>
      <c r="I137" t="s">
        <v>15</v>
      </c>
      <c r="J137" t="s">
        <v>104</v>
      </c>
      <c r="K137">
        <v>4</v>
      </c>
      <c r="L137">
        <v>8958.787825018404</v>
      </c>
      <c r="M137">
        <v>15</v>
      </c>
    </row>
    <row r="138" spans="2:13">
      <c r="B138" t="s">
        <v>206</v>
      </c>
      <c r="C138">
        <v>172.47498446363107</v>
      </c>
      <c r="E138" t="s">
        <v>61</v>
      </c>
      <c r="G138" t="s">
        <v>132</v>
      </c>
      <c r="I138" t="s">
        <v>15</v>
      </c>
      <c r="J138" t="s">
        <v>104</v>
      </c>
      <c r="K138">
        <v>5</v>
      </c>
      <c r="L138">
        <v>13142.65286368978</v>
      </c>
      <c r="M138">
        <v>32</v>
      </c>
    </row>
    <row r="139" spans="2:13">
      <c r="B139" t="s">
        <v>207</v>
      </c>
      <c r="C139">
        <v>2268.4052816476351</v>
      </c>
      <c r="D139" t="s">
        <v>11</v>
      </c>
      <c r="E139" t="s">
        <v>176</v>
      </c>
      <c r="F139" t="s">
        <v>208</v>
      </c>
      <c r="G139" t="s">
        <v>14</v>
      </c>
      <c r="I139" t="s">
        <v>15</v>
      </c>
      <c r="J139" t="s">
        <v>112</v>
      </c>
      <c r="K139">
        <v>13</v>
      </c>
      <c r="L139">
        <v>4026.3057079933114</v>
      </c>
      <c r="M139">
        <v>5</v>
      </c>
    </row>
    <row r="140" spans="2:13">
      <c r="B140" t="s">
        <v>209</v>
      </c>
      <c r="C140">
        <v>348.82613674257055</v>
      </c>
      <c r="E140" t="s">
        <v>176</v>
      </c>
      <c r="G140" t="s">
        <v>132</v>
      </c>
      <c r="I140" t="s">
        <v>15</v>
      </c>
      <c r="J140" t="s">
        <v>112</v>
      </c>
      <c r="K140">
        <v>13</v>
      </c>
      <c r="L140">
        <v>4026.3057079933114</v>
      </c>
      <c r="M140">
        <v>5</v>
      </c>
    </row>
    <row r="141" spans="2:13">
      <c r="B141" t="s">
        <v>209</v>
      </c>
      <c r="C141">
        <v>350.67077481161868</v>
      </c>
      <c r="E141" t="s">
        <v>176</v>
      </c>
      <c r="G141" t="s">
        <v>132</v>
      </c>
      <c r="I141" t="s">
        <v>15</v>
      </c>
      <c r="J141" t="s">
        <v>112</v>
      </c>
      <c r="K141">
        <v>13</v>
      </c>
      <c r="L141">
        <v>4026.3057079933114</v>
      </c>
      <c r="M141">
        <v>5</v>
      </c>
    </row>
    <row r="142" spans="2:13">
      <c r="B142" t="s">
        <v>210</v>
      </c>
      <c r="C142">
        <v>529.04471414540853</v>
      </c>
      <c r="E142" t="s">
        <v>176</v>
      </c>
      <c r="G142" t="s">
        <v>132</v>
      </c>
      <c r="I142" t="s">
        <v>15</v>
      </c>
      <c r="J142" t="s">
        <v>112</v>
      </c>
      <c r="K142">
        <v>13</v>
      </c>
      <c r="L142">
        <v>4026.3057079933114</v>
      </c>
      <c r="M142">
        <v>5</v>
      </c>
    </row>
    <row r="143" spans="2:13">
      <c r="B143" t="s">
        <v>210</v>
      </c>
      <c r="C143">
        <v>529.35880064607863</v>
      </c>
      <c r="E143" t="s">
        <v>176</v>
      </c>
      <c r="G143" t="s">
        <v>132</v>
      </c>
      <c r="I143" t="s">
        <v>15</v>
      </c>
      <c r="J143" t="s">
        <v>112</v>
      </c>
      <c r="K143">
        <v>13</v>
      </c>
      <c r="L143">
        <v>4026.3057079933114</v>
      </c>
      <c r="M143">
        <v>5</v>
      </c>
    </row>
    <row r="144" spans="2:13">
      <c r="B144" t="s">
        <v>211</v>
      </c>
      <c r="C144">
        <v>413.10365467440261</v>
      </c>
      <c r="G144" t="s">
        <v>132</v>
      </c>
      <c r="I144" t="s">
        <v>212</v>
      </c>
      <c r="J144" t="s">
        <v>112</v>
      </c>
      <c r="K144">
        <v>14</v>
      </c>
      <c r="L144">
        <v>2801.7817899716347</v>
      </c>
      <c r="M144">
        <v>6</v>
      </c>
    </row>
    <row r="145" spans="2:13">
      <c r="B145" t="s">
        <v>211</v>
      </c>
      <c r="C145">
        <v>174.91394804362494</v>
      </c>
      <c r="G145" t="s">
        <v>132</v>
      </c>
      <c r="I145" t="s">
        <v>212</v>
      </c>
      <c r="J145" t="s">
        <v>112</v>
      </c>
      <c r="K145">
        <v>14</v>
      </c>
      <c r="L145">
        <v>2801.7817899716347</v>
      </c>
      <c r="M145">
        <v>6</v>
      </c>
    </row>
    <row r="146" spans="2:13">
      <c r="B146" t="s">
        <v>211</v>
      </c>
      <c r="C146">
        <v>228.38637415071864</v>
      </c>
      <c r="G146" t="s">
        <v>132</v>
      </c>
      <c r="I146" t="s">
        <v>212</v>
      </c>
      <c r="J146" t="s">
        <v>112</v>
      </c>
      <c r="K146">
        <v>14</v>
      </c>
      <c r="L146">
        <v>2801.7817899716347</v>
      </c>
      <c r="M146">
        <v>6</v>
      </c>
    </row>
    <row r="147" spans="2:13">
      <c r="B147" t="s">
        <v>211</v>
      </c>
      <c r="C147">
        <v>823.78168399716446</v>
      </c>
      <c r="G147" t="s">
        <v>132</v>
      </c>
      <c r="I147" t="s">
        <v>212</v>
      </c>
      <c r="J147" t="s">
        <v>112</v>
      </c>
      <c r="K147">
        <v>14</v>
      </c>
      <c r="L147">
        <v>2801.7817899716347</v>
      </c>
      <c r="M147">
        <v>6</v>
      </c>
    </row>
    <row r="148" spans="2:13">
      <c r="B148" t="s">
        <v>211</v>
      </c>
      <c r="C148">
        <v>259.80775899750148</v>
      </c>
      <c r="G148" t="s">
        <v>132</v>
      </c>
      <c r="I148" t="s">
        <v>212</v>
      </c>
      <c r="J148" t="s">
        <v>112</v>
      </c>
      <c r="K148">
        <v>14</v>
      </c>
      <c r="L148">
        <v>2801.7817899716347</v>
      </c>
      <c r="M148">
        <v>6</v>
      </c>
    </row>
    <row r="149" spans="2:13">
      <c r="B149" t="s">
        <v>211</v>
      </c>
      <c r="C149">
        <v>901.78837010822269</v>
      </c>
      <c r="G149" t="s">
        <v>132</v>
      </c>
      <c r="I149" t="s">
        <v>212</v>
      </c>
      <c r="J149" t="s">
        <v>112</v>
      </c>
      <c r="K149">
        <v>14</v>
      </c>
      <c r="L149">
        <v>2801.7817899716347</v>
      </c>
      <c r="M149">
        <v>6</v>
      </c>
    </row>
    <row r="150" spans="2:13">
      <c r="B150" t="s">
        <v>213</v>
      </c>
      <c r="C150">
        <v>1140.2853966149889</v>
      </c>
      <c r="G150" t="s">
        <v>132</v>
      </c>
      <c r="I150" t="s">
        <v>214</v>
      </c>
      <c r="J150" t="s">
        <v>112</v>
      </c>
      <c r="K150">
        <v>1</v>
      </c>
      <c r="L150">
        <v>1751.5969784538788</v>
      </c>
      <c r="M150">
        <v>3</v>
      </c>
    </row>
    <row r="151" spans="2:13">
      <c r="B151" t="s">
        <v>215</v>
      </c>
      <c r="C151">
        <v>439.35854810880392</v>
      </c>
      <c r="G151" t="s">
        <v>132</v>
      </c>
      <c r="I151" t="s">
        <v>214</v>
      </c>
      <c r="J151" t="s">
        <v>112</v>
      </c>
      <c r="K151">
        <v>1</v>
      </c>
      <c r="L151">
        <v>1751.5969784538788</v>
      </c>
      <c r="M151">
        <v>3</v>
      </c>
    </row>
    <row r="152" spans="2:13">
      <c r="B152" t="s">
        <v>216</v>
      </c>
      <c r="C152">
        <v>171.95303373008591</v>
      </c>
      <c r="G152" t="s">
        <v>132</v>
      </c>
      <c r="I152" t="s">
        <v>214</v>
      </c>
      <c r="J152" t="s">
        <v>112</v>
      </c>
      <c r="K152">
        <v>1</v>
      </c>
      <c r="L152">
        <v>1751.5969784538788</v>
      </c>
      <c r="M152">
        <v>3</v>
      </c>
    </row>
    <row r="153" spans="2:13">
      <c r="B153" t="s">
        <v>16</v>
      </c>
      <c r="C153">
        <v>1249.6696322860782</v>
      </c>
      <c r="D153" t="s">
        <v>11</v>
      </c>
      <c r="E153" t="s">
        <v>18</v>
      </c>
      <c r="F153" t="s">
        <v>19</v>
      </c>
      <c r="G153" t="s">
        <v>14</v>
      </c>
      <c r="I153" t="s">
        <v>15</v>
      </c>
      <c r="J153" t="s">
        <v>104</v>
      </c>
      <c r="K153">
        <v>9</v>
      </c>
      <c r="L153">
        <v>13203.929429588108</v>
      </c>
      <c r="M153">
        <v>17</v>
      </c>
    </row>
    <row r="154" spans="2:13">
      <c r="B154" t="s">
        <v>29</v>
      </c>
      <c r="C154">
        <v>1019.9481877599584</v>
      </c>
      <c r="D154" t="s">
        <v>11</v>
      </c>
      <c r="E154" t="s">
        <v>12</v>
      </c>
      <c r="F154" t="s">
        <v>30</v>
      </c>
      <c r="G154" t="s">
        <v>14</v>
      </c>
      <c r="I154" t="s">
        <v>15</v>
      </c>
      <c r="J154" t="s">
        <v>104</v>
      </c>
      <c r="K154">
        <v>8</v>
      </c>
      <c r="L154">
        <v>16471.623778925205</v>
      </c>
      <c r="M154">
        <v>22</v>
      </c>
    </row>
    <row r="155" spans="2:13">
      <c r="B155" t="s">
        <v>47</v>
      </c>
      <c r="C155">
        <v>419.75366223225774</v>
      </c>
      <c r="D155" t="s">
        <v>11</v>
      </c>
      <c r="E155" t="s">
        <v>18</v>
      </c>
      <c r="F155" t="s">
        <v>48</v>
      </c>
      <c r="G155" t="s">
        <v>14</v>
      </c>
      <c r="I155" t="s">
        <v>15</v>
      </c>
      <c r="J155" t="s">
        <v>104</v>
      </c>
      <c r="K155">
        <v>8</v>
      </c>
      <c r="L155">
        <v>16471.623778925205</v>
      </c>
      <c r="M155">
        <v>22</v>
      </c>
    </row>
    <row r="156" spans="2:13">
      <c r="B156" t="s">
        <v>49</v>
      </c>
      <c r="C156">
        <v>92.590891466969907</v>
      </c>
      <c r="D156" t="s">
        <v>11</v>
      </c>
      <c r="E156" t="s">
        <v>18</v>
      </c>
      <c r="F156" t="s">
        <v>50</v>
      </c>
      <c r="G156" t="s">
        <v>14</v>
      </c>
      <c r="I156" t="s">
        <v>15</v>
      </c>
      <c r="J156" t="s">
        <v>104</v>
      </c>
      <c r="K156">
        <v>8</v>
      </c>
      <c r="L156">
        <v>16471.623778925205</v>
      </c>
      <c r="M156">
        <v>22</v>
      </c>
    </row>
    <row r="157" spans="2:13">
      <c r="B157" t="s">
        <v>49</v>
      </c>
      <c r="C157">
        <v>704.18866839285317</v>
      </c>
      <c r="D157" t="s">
        <v>11</v>
      </c>
      <c r="E157" t="s">
        <v>18</v>
      </c>
      <c r="F157" t="s">
        <v>50</v>
      </c>
      <c r="G157" t="s">
        <v>14</v>
      </c>
      <c r="I157" t="s">
        <v>15</v>
      </c>
      <c r="J157" t="s">
        <v>104</v>
      </c>
      <c r="K157">
        <v>9</v>
      </c>
      <c r="L157">
        <v>13203.929429588108</v>
      </c>
      <c r="M157">
        <v>17</v>
      </c>
    </row>
    <row r="158" spans="2:13">
      <c r="B158" t="s">
        <v>40</v>
      </c>
      <c r="C158">
        <v>47.973948004463054</v>
      </c>
      <c r="D158" t="s">
        <v>11</v>
      </c>
      <c r="E158" t="s">
        <v>18</v>
      </c>
      <c r="F158" t="s">
        <v>54</v>
      </c>
      <c r="G158" t="s">
        <v>14</v>
      </c>
      <c r="I158" t="s">
        <v>15</v>
      </c>
      <c r="J158" t="s">
        <v>104</v>
      </c>
      <c r="K158">
        <v>8</v>
      </c>
      <c r="L158">
        <v>16471.623778925205</v>
      </c>
      <c r="M158">
        <v>22</v>
      </c>
    </row>
    <row r="159" spans="2:13">
      <c r="B159" t="s">
        <v>40</v>
      </c>
      <c r="C159">
        <v>741.06455234317207</v>
      </c>
      <c r="D159" t="s">
        <v>11</v>
      </c>
      <c r="E159" t="s">
        <v>18</v>
      </c>
      <c r="F159" t="s">
        <v>54</v>
      </c>
      <c r="G159" t="s">
        <v>14</v>
      </c>
      <c r="I159" t="s">
        <v>15</v>
      </c>
      <c r="J159" t="s">
        <v>104</v>
      </c>
      <c r="K159">
        <v>9</v>
      </c>
      <c r="L159">
        <v>13203.929429588108</v>
      </c>
      <c r="M159">
        <v>17</v>
      </c>
    </row>
    <row r="160" spans="2:13">
      <c r="B160" t="s">
        <v>55</v>
      </c>
      <c r="C160">
        <v>1109.2329417268775</v>
      </c>
      <c r="D160" t="s">
        <v>11</v>
      </c>
      <c r="E160" t="s">
        <v>18</v>
      </c>
      <c r="F160" t="s">
        <v>56</v>
      </c>
      <c r="G160" t="s">
        <v>14</v>
      </c>
      <c r="I160" t="s">
        <v>15</v>
      </c>
      <c r="J160" t="s">
        <v>104</v>
      </c>
      <c r="K160">
        <v>9</v>
      </c>
      <c r="L160">
        <v>13203.929429588108</v>
      </c>
      <c r="M160">
        <v>17</v>
      </c>
    </row>
    <row r="161" spans="2:13">
      <c r="B161" t="s">
        <v>73</v>
      </c>
      <c r="C161">
        <v>834.19357209247164</v>
      </c>
      <c r="D161" t="s">
        <v>11</v>
      </c>
      <c r="E161" t="s">
        <v>18</v>
      </c>
      <c r="F161" t="s">
        <v>74</v>
      </c>
      <c r="G161" t="s">
        <v>14</v>
      </c>
      <c r="I161" t="s">
        <v>15</v>
      </c>
      <c r="J161" t="s">
        <v>104</v>
      </c>
      <c r="K161">
        <v>9</v>
      </c>
      <c r="L161">
        <v>13203.929429588108</v>
      </c>
      <c r="M161">
        <v>17</v>
      </c>
    </row>
    <row r="162" spans="2:13">
      <c r="B162" t="s">
        <v>79</v>
      </c>
      <c r="C162">
        <v>1361.5683715542168</v>
      </c>
      <c r="D162" t="s">
        <v>11</v>
      </c>
      <c r="E162" t="s">
        <v>18</v>
      </c>
      <c r="F162" t="s">
        <v>80</v>
      </c>
      <c r="G162" t="s">
        <v>14</v>
      </c>
      <c r="I162" t="s">
        <v>15</v>
      </c>
      <c r="J162" t="s">
        <v>104</v>
      </c>
      <c r="K162">
        <v>9</v>
      </c>
      <c r="L162">
        <v>13203.929429588108</v>
      </c>
      <c r="M162">
        <v>17</v>
      </c>
    </row>
    <row r="163" spans="2:13">
      <c r="B163" t="s">
        <v>71</v>
      </c>
      <c r="C163">
        <v>242.57792087658405</v>
      </c>
      <c r="D163" t="s">
        <v>11</v>
      </c>
      <c r="E163" t="s">
        <v>18</v>
      </c>
      <c r="F163" t="s">
        <v>83</v>
      </c>
      <c r="G163" t="s">
        <v>14</v>
      </c>
      <c r="I163" t="s">
        <v>15</v>
      </c>
      <c r="J163" t="s">
        <v>104</v>
      </c>
      <c r="K163">
        <v>8</v>
      </c>
      <c r="L163">
        <v>16471.623778925205</v>
      </c>
      <c r="M163">
        <v>22</v>
      </c>
    </row>
    <row r="164" spans="2:13">
      <c r="B164" t="s">
        <v>71</v>
      </c>
      <c r="C164">
        <v>1515.8119059788592</v>
      </c>
      <c r="D164" t="s">
        <v>11</v>
      </c>
      <c r="E164" t="s">
        <v>18</v>
      </c>
      <c r="F164" t="s">
        <v>83</v>
      </c>
      <c r="G164" t="s">
        <v>14</v>
      </c>
      <c r="I164" t="s">
        <v>15</v>
      </c>
      <c r="J164" t="s">
        <v>104</v>
      </c>
      <c r="K164">
        <v>9</v>
      </c>
      <c r="L164">
        <v>13203.929429588108</v>
      </c>
      <c r="M164">
        <v>17</v>
      </c>
    </row>
    <row r="165" spans="2:13">
      <c r="B165" t="s">
        <v>75</v>
      </c>
      <c r="C165">
        <v>113.02176946495248</v>
      </c>
      <c r="D165" t="s">
        <v>11</v>
      </c>
      <c r="E165" t="s">
        <v>18</v>
      </c>
      <c r="F165" t="s">
        <v>86</v>
      </c>
      <c r="G165" t="s">
        <v>14</v>
      </c>
      <c r="I165" t="s">
        <v>15</v>
      </c>
      <c r="J165" t="s">
        <v>104</v>
      </c>
      <c r="K165">
        <v>8</v>
      </c>
      <c r="L165">
        <v>16471.623778925205</v>
      </c>
      <c r="M165">
        <v>22</v>
      </c>
    </row>
    <row r="166" spans="2:13">
      <c r="B166" t="s">
        <v>75</v>
      </c>
      <c r="C166">
        <v>2062.2898972949042</v>
      </c>
      <c r="D166" t="s">
        <v>11</v>
      </c>
      <c r="E166" t="s">
        <v>18</v>
      </c>
      <c r="F166" t="s">
        <v>86</v>
      </c>
      <c r="G166" t="s">
        <v>14</v>
      </c>
      <c r="I166" t="s">
        <v>15</v>
      </c>
      <c r="J166" t="s">
        <v>104</v>
      </c>
      <c r="K166">
        <v>9</v>
      </c>
      <c r="L166">
        <v>13203.929429588108</v>
      </c>
      <c r="M166">
        <v>17</v>
      </c>
    </row>
    <row r="167" spans="2:13">
      <c r="B167" t="s">
        <v>34</v>
      </c>
      <c r="C167">
        <v>960.14481638268319</v>
      </c>
      <c r="D167" t="s">
        <v>11</v>
      </c>
      <c r="E167" t="s">
        <v>18</v>
      </c>
      <c r="F167" t="s">
        <v>35</v>
      </c>
      <c r="G167" t="s">
        <v>14</v>
      </c>
      <c r="I167" t="s">
        <v>15</v>
      </c>
      <c r="J167" t="s">
        <v>104</v>
      </c>
      <c r="K167">
        <v>11</v>
      </c>
      <c r="L167">
        <v>7002.5137604551546</v>
      </c>
      <c r="M167">
        <v>17</v>
      </c>
    </row>
    <row r="168" spans="2:13">
      <c r="B168" t="s">
        <v>34</v>
      </c>
      <c r="C168">
        <v>362.98286973208241</v>
      </c>
      <c r="D168" t="s">
        <v>11</v>
      </c>
      <c r="E168" t="s">
        <v>18</v>
      </c>
      <c r="F168" t="s">
        <v>35</v>
      </c>
      <c r="G168" t="s">
        <v>14</v>
      </c>
      <c r="I168" t="s">
        <v>15</v>
      </c>
      <c r="J168" t="s">
        <v>104</v>
      </c>
      <c r="K168">
        <v>9</v>
      </c>
      <c r="L168">
        <v>13203.929429588108</v>
      </c>
      <c r="M168">
        <v>17</v>
      </c>
    </row>
    <row r="169" spans="2:13">
      <c r="B169" t="s">
        <v>217</v>
      </c>
      <c r="C169">
        <v>167.28726775274637</v>
      </c>
      <c r="E169" t="s">
        <v>18</v>
      </c>
      <c r="F169" t="s">
        <v>218</v>
      </c>
      <c r="G169" t="s">
        <v>22</v>
      </c>
      <c r="I169" t="s">
        <v>15</v>
      </c>
      <c r="J169" t="s">
        <v>104</v>
      </c>
      <c r="K169">
        <v>11</v>
      </c>
      <c r="L169">
        <v>7002.5137604551546</v>
      </c>
      <c r="M169">
        <v>17</v>
      </c>
    </row>
    <row r="170" spans="2:13">
      <c r="B170" t="s">
        <v>219</v>
      </c>
      <c r="C170">
        <v>387.93682166212625</v>
      </c>
      <c r="D170" t="s">
        <v>11</v>
      </c>
      <c r="E170" t="s">
        <v>18</v>
      </c>
      <c r="F170" t="s">
        <v>220</v>
      </c>
      <c r="G170" t="s">
        <v>14</v>
      </c>
      <c r="I170" t="s">
        <v>15</v>
      </c>
      <c r="J170" t="s">
        <v>104</v>
      </c>
      <c r="K170">
        <v>11</v>
      </c>
      <c r="L170">
        <v>7002.5137604551546</v>
      </c>
      <c r="M170">
        <v>17</v>
      </c>
    </row>
    <row r="171" spans="2:13">
      <c r="B171" t="s">
        <v>221</v>
      </c>
      <c r="C171">
        <v>577.43144688531754</v>
      </c>
      <c r="E171" t="s">
        <v>18</v>
      </c>
      <c r="F171" t="s">
        <v>222</v>
      </c>
      <c r="G171" t="s">
        <v>22</v>
      </c>
      <c r="I171" t="s">
        <v>15</v>
      </c>
      <c r="J171" t="s">
        <v>104</v>
      </c>
      <c r="K171">
        <v>11</v>
      </c>
      <c r="L171">
        <v>7002.5137604551546</v>
      </c>
      <c r="M171">
        <v>17</v>
      </c>
    </row>
    <row r="172" spans="2:13">
      <c r="B172" t="s">
        <v>223</v>
      </c>
      <c r="C172">
        <v>254.39451625868853</v>
      </c>
      <c r="E172" t="s">
        <v>18</v>
      </c>
      <c r="G172" t="s">
        <v>132</v>
      </c>
      <c r="I172" t="s">
        <v>15</v>
      </c>
      <c r="J172" t="s">
        <v>104</v>
      </c>
      <c r="K172">
        <v>11</v>
      </c>
      <c r="L172">
        <v>7002.5137604551546</v>
      </c>
      <c r="M172">
        <v>17</v>
      </c>
    </row>
    <row r="173" spans="2:13">
      <c r="B173" t="s">
        <v>224</v>
      </c>
      <c r="C173">
        <v>470.70284184834691</v>
      </c>
      <c r="E173" t="s">
        <v>18</v>
      </c>
      <c r="G173" t="s">
        <v>132</v>
      </c>
      <c r="I173" t="s">
        <v>15</v>
      </c>
      <c r="J173" t="s">
        <v>104</v>
      </c>
      <c r="K173">
        <v>11</v>
      </c>
      <c r="L173">
        <v>7002.5137604551546</v>
      </c>
      <c r="M173">
        <v>17</v>
      </c>
    </row>
    <row r="174" spans="2:13">
      <c r="B174" t="s">
        <v>225</v>
      </c>
      <c r="C174">
        <v>203.10330969658014</v>
      </c>
      <c r="E174" t="s">
        <v>18</v>
      </c>
      <c r="G174" t="s">
        <v>132</v>
      </c>
      <c r="I174" t="s">
        <v>15</v>
      </c>
      <c r="J174" t="s">
        <v>104</v>
      </c>
      <c r="K174">
        <v>11</v>
      </c>
      <c r="L174">
        <v>7002.5137604551546</v>
      </c>
      <c r="M174">
        <v>17</v>
      </c>
    </row>
    <row r="175" spans="2:13">
      <c r="B175" t="s">
        <v>27</v>
      </c>
      <c r="C175">
        <v>260.63622536921156</v>
      </c>
      <c r="D175" t="s">
        <v>11</v>
      </c>
      <c r="E175" t="s">
        <v>18</v>
      </c>
      <c r="F175" t="s">
        <v>28</v>
      </c>
      <c r="G175" t="s">
        <v>14</v>
      </c>
      <c r="I175" t="s">
        <v>15</v>
      </c>
      <c r="J175" t="s">
        <v>104</v>
      </c>
      <c r="K175">
        <v>9</v>
      </c>
      <c r="L175">
        <v>13203.929429588108</v>
      </c>
      <c r="M175">
        <v>17</v>
      </c>
    </row>
    <row r="176" spans="2:13">
      <c r="B176" t="s">
        <v>69</v>
      </c>
      <c r="C176">
        <v>428.70981305279656</v>
      </c>
      <c r="D176" t="s">
        <v>11</v>
      </c>
      <c r="E176" t="s">
        <v>18</v>
      </c>
      <c r="F176" t="s">
        <v>70</v>
      </c>
      <c r="G176" t="s">
        <v>14</v>
      </c>
      <c r="I176" t="s">
        <v>15</v>
      </c>
      <c r="J176" t="s">
        <v>104</v>
      </c>
      <c r="K176">
        <v>9</v>
      </c>
      <c r="L176">
        <v>13203.929429588108</v>
      </c>
      <c r="M176">
        <v>17</v>
      </c>
    </row>
    <row r="177" spans="2:13">
      <c r="B177" t="s">
        <v>84</v>
      </c>
      <c r="C177">
        <v>393.41542784511353</v>
      </c>
      <c r="D177" t="s">
        <v>11</v>
      </c>
      <c r="E177" t="s">
        <v>18</v>
      </c>
      <c r="F177" t="s">
        <v>85</v>
      </c>
      <c r="G177" t="s">
        <v>14</v>
      </c>
      <c r="I177" t="s">
        <v>15</v>
      </c>
      <c r="J177" t="s">
        <v>104</v>
      </c>
      <c r="K177">
        <v>9</v>
      </c>
      <c r="L177">
        <v>13203.929429588108</v>
      </c>
      <c r="M177">
        <v>17</v>
      </c>
    </row>
    <row r="178" spans="2:13">
      <c r="B178" t="s">
        <v>93</v>
      </c>
      <c r="C178">
        <v>301.83282090295063</v>
      </c>
      <c r="D178" t="s">
        <v>11</v>
      </c>
      <c r="E178" t="s">
        <v>18</v>
      </c>
      <c r="F178" t="s">
        <v>94</v>
      </c>
      <c r="G178" t="s">
        <v>14</v>
      </c>
      <c r="I178" t="s">
        <v>15</v>
      </c>
      <c r="J178" t="s">
        <v>104</v>
      </c>
      <c r="K178">
        <v>9</v>
      </c>
      <c r="L178">
        <v>13203.929429588108</v>
      </c>
      <c r="M178">
        <v>17</v>
      </c>
    </row>
  </sheetData>
  <sortState xmlns:xlrd2="http://schemas.microsoft.com/office/spreadsheetml/2017/richdata2" ref="P2:P15">
    <sortCondition ref="P2"/>
  </sortState>
  <pageMargins left="0.511811024" right="0.511811024" top="0.78740157499999996" bottom="0.78740157499999996" header="0.31496062000000002" footer="0.3149606200000000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M53"/>
  <sheetViews>
    <sheetView workbookViewId="0"/>
  </sheetViews>
  <sheetFormatPr defaultRowHeight="15"/>
  <cols>
    <col min="1" max="10" width="13.42578125" customWidth="1"/>
    <col min="11" max="11" width="21.85546875" bestFit="1" customWidth="1"/>
  </cols>
  <sheetData>
    <row r="1" spans="1:13">
      <c r="A1" t="s">
        <v>2</v>
      </c>
      <c r="B1" t="s">
        <v>335</v>
      </c>
      <c r="C1" t="s">
        <v>336</v>
      </c>
      <c r="D1" t="s">
        <v>337</v>
      </c>
      <c r="E1" t="s">
        <v>338</v>
      </c>
      <c r="F1" t="s">
        <v>339</v>
      </c>
      <c r="G1" t="s">
        <v>340</v>
      </c>
      <c r="H1" t="s">
        <v>341</v>
      </c>
      <c r="I1" t="s">
        <v>342</v>
      </c>
      <c r="J1" t="s">
        <v>343</v>
      </c>
      <c r="K1" t="s">
        <v>5</v>
      </c>
    </row>
    <row r="2" spans="1:13">
      <c r="A2" t="s">
        <v>332</v>
      </c>
      <c r="B2" t="s">
        <v>344</v>
      </c>
      <c r="C2" t="s">
        <v>345</v>
      </c>
      <c r="D2" t="s">
        <v>245</v>
      </c>
      <c r="E2" t="s">
        <v>346</v>
      </c>
      <c r="F2" t="s">
        <v>347</v>
      </c>
      <c r="G2">
        <v>0.51439387996413299</v>
      </c>
      <c r="H2">
        <v>615.66700000000003</v>
      </c>
      <c r="I2" t="s">
        <v>348</v>
      </c>
      <c r="J2" t="s">
        <v>347</v>
      </c>
      <c r="K2" t="s">
        <v>61</v>
      </c>
      <c r="L2">
        <f>LEFT(C2,2)*1</f>
        <v>4</v>
      </c>
      <c r="M2">
        <f>G2*L2</f>
        <v>2.057575519856532</v>
      </c>
    </row>
    <row r="3" spans="1:13">
      <c r="A3" t="s">
        <v>251</v>
      </c>
      <c r="B3" t="s">
        <v>344</v>
      </c>
      <c r="C3" t="s">
        <v>345</v>
      </c>
      <c r="D3" t="s">
        <v>245</v>
      </c>
      <c r="E3" t="s">
        <v>346</v>
      </c>
      <c r="F3" t="s">
        <v>347</v>
      </c>
      <c r="G3">
        <v>0.27512405183439897</v>
      </c>
      <c r="H3">
        <v>211.46899999999999</v>
      </c>
      <c r="I3" t="s">
        <v>348</v>
      </c>
      <c r="J3" t="s">
        <v>347</v>
      </c>
      <c r="K3" t="s">
        <v>61</v>
      </c>
      <c r="L3">
        <f t="shared" ref="L3:L51" si="0">LEFT(C3,2)*1</f>
        <v>4</v>
      </c>
      <c r="M3">
        <f t="shared" ref="M3:M51" si="1">G3*L3</f>
        <v>1.1004962073375959</v>
      </c>
    </row>
    <row r="4" spans="1:13">
      <c r="A4" t="s">
        <v>265</v>
      </c>
      <c r="B4" t="s">
        <v>349</v>
      </c>
      <c r="C4" t="s">
        <v>350</v>
      </c>
      <c r="D4" t="s">
        <v>245</v>
      </c>
      <c r="E4" t="s">
        <v>346</v>
      </c>
      <c r="F4" t="s">
        <v>351</v>
      </c>
      <c r="G4">
        <v>2.8793005496269339</v>
      </c>
      <c r="H4">
        <v>736.89400000000001</v>
      </c>
      <c r="I4" t="s">
        <v>348</v>
      </c>
      <c r="J4" t="s">
        <v>351</v>
      </c>
      <c r="K4" t="s">
        <v>12</v>
      </c>
      <c r="L4">
        <f t="shared" si="0"/>
        <v>12</v>
      </c>
      <c r="M4">
        <f t="shared" si="1"/>
        <v>34.551606595523211</v>
      </c>
    </row>
    <row r="5" spans="1:13">
      <c r="A5" t="s">
        <v>307</v>
      </c>
      <c r="B5" t="s">
        <v>139</v>
      </c>
      <c r="C5" t="s">
        <v>350</v>
      </c>
      <c r="D5" t="s">
        <v>245</v>
      </c>
      <c r="E5" t="s">
        <v>346</v>
      </c>
      <c r="F5" t="s">
        <v>351</v>
      </c>
      <c r="G5">
        <v>1.19838266221253</v>
      </c>
      <c r="H5">
        <v>451.928</v>
      </c>
      <c r="I5" t="s">
        <v>348</v>
      </c>
      <c r="J5" t="s">
        <v>351</v>
      </c>
      <c r="K5" t="s">
        <v>12</v>
      </c>
      <c r="L5">
        <f t="shared" si="0"/>
        <v>12</v>
      </c>
      <c r="M5">
        <f t="shared" si="1"/>
        <v>14.380591946550361</v>
      </c>
    </row>
    <row r="6" spans="1:13">
      <c r="A6" t="s">
        <v>297</v>
      </c>
      <c r="B6" t="s">
        <v>344</v>
      </c>
      <c r="C6" t="s">
        <v>345</v>
      </c>
      <c r="D6" t="s">
        <v>245</v>
      </c>
      <c r="E6" t="s">
        <v>346</v>
      </c>
      <c r="F6" t="s">
        <v>351</v>
      </c>
      <c r="G6">
        <v>1.0364707137133939</v>
      </c>
      <c r="H6">
        <v>424.68200000000002</v>
      </c>
      <c r="I6" t="s">
        <v>348</v>
      </c>
      <c r="J6" t="s">
        <v>351</v>
      </c>
      <c r="K6" t="s">
        <v>12</v>
      </c>
      <c r="L6">
        <f t="shared" si="0"/>
        <v>4</v>
      </c>
      <c r="M6">
        <f t="shared" si="1"/>
        <v>4.1458828548535758</v>
      </c>
    </row>
    <row r="7" spans="1:13">
      <c r="A7" t="s">
        <v>299</v>
      </c>
      <c r="B7" t="s">
        <v>344</v>
      </c>
      <c r="C7" t="s">
        <v>345</v>
      </c>
      <c r="D7" t="s">
        <v>245</v>
      </c>
      <c r="E7" t="s">
        <v>346</v>
      </c>
      <c r="F7" t="s">
        <v>352</v>
      </c>
      <c r="G7">
        <v>1.4504569496558111</v>
      </c>
      <c r="H7">
        <v>515.15099999999995</v>
      </c>
      <c r="I7" t="s">
        <v>348</v>
      </c>
      <c r="J7" t="s">
        <v>352</v>
      </c>
      <c r="K7" t="s">
        <v>18</v>
      </c>
      <c r="L7">
        <f t="shared" si="0"/>
        <v>4</v>
      </c>
      <c r="M7">
        <f t="shared" si="1"/>
        <v>5.8018277986232443</v>
      </c>
    </row>
    <row r="8" spans="1:13">
      <c r="A8" t="s">
        <v>300</v>
      </c>
      <c r="B8" t="s">
        <v>344</v>
      </c>
      <c r="C8" t="s">
        <v>345</v>
      </c>
      <c r="D8" t="s">
        <v>245</v>
      </c>
      <c r="E8" t="s">
        <v>346</v>
      </c>
      <c r="F8" t="s">
        <v>347</v>
      </c>
      <c r="G8">
        <v>1.007562188142245</v>
      </c>
      <c r="H8">
        <v>416.75599999999997</v>
      </c>
      <c r="I8" t="s">
        <v>348</v>
      </c>
      <c r="J8" t="s">
        <v>347</v>
      </c>
      <c r="K8" t="s">
        <v>61</v>
      </c>
      <c r="L8">
        <f t="shared" si="0"/>
        <v>4</v>
      </c>
      <c r="M8">
        <f t="shared" si="1"/>
        <v>4.0302487525689799</v>
      </c>
    </row>
    <row r="9" spans="1:13">
      <c r="A9" t="s">
        <v>293</v>
      </c>
      <c r="B9" t="s">
        <v>344</v>
      </c>
      <c r="C9" t="s">
        <v>345</v>
      </c>
      <c r="D9" t="s">
        <v>245</v>
      </c>
      <c r="E9" t="s">
        <v>346</v>
      </c>
      <c r="F9" t="s">
        <v>347</v>
      </c>
      <c r="G9">
        <v>1.3771870790622729</v>
      </c>
      <c r="H9">
        <v>535.83299999999997</v>
      </c>
      <c r="I9" t="s">
        <v>348</v>
      </c>
      <c r="J9" t="s">
        <v>347</v>
      </c>
      <c r="K9" t="s">
        <v>61</v>
      </c>
      <c r="L9">
        <f t="shared" si="0"/>
        <v>4</v>
      </c>
      <c r="M9">
        <f t="shared" si="1"/>
        <v>5.5087483162490916</v>
      </c>
    </row>
    <row r="10" spans="1:13">
      <c r="A10" t="s">
        <v>258</v>
      </c>
      <c r="B10" t="s">
        <v>353</v>
      </c>
      <c r="C10" t="s">
        <v>345</v>
      </c>
      <c r="D10" t="s">
        <v>245</v>
      </c>
      <c r="E10" t="s">
        <v>346</v>
      </c>
      <c r="F10" t="s">
        <v>347</v>
      </c>
      <c r="G10">
        <v>0.34116357652026302</v>
      </c>
      <c r="H10">
        <v>239.20099999999999</v>
      </c>
      <c r="I10" t="s">
        <v>348</v>
      </c>
      <c r="J10" t="s">
        <v>347</v>
      </c>
      <c r="K10" t="s">
        <v>61</v>
      </c>
      <c r="L10">
        <f t="shared" si="0"/>
        <v>4</v>
      </c>
      <c r="M10">
        <f t="shared" si="1"/>
        <v>1.3646543060810521</v>
      </c>
    </row>
    <row r="11" spans="1:13">
      <c r="A11" t="s">
        <v>259</v>
      </c>
      <c r="B11" t="s">
        <v>354</v>
      </c>
      <c r="C11" t="s">
        <v>355</v>
      </c>
      <c r="D11" t="s">
        <v>245</v>
      </c>
      <c r="E11" t="s">
        <v>346</v>
      </c>
      <c r="F11" t="s">
        <v>352</v>
      </c>
      <c r="G11">
        <v>0.74892233200101199</v>
      </c>
      <c r="H11">
        <v>352.88499999999999</v>
      </c>
      <c r="I11" t="s">
        <v>348</v>
      </c>
      <c r="J11" t="s">
        <v>352</v>
      </c>
      <c r="K11" t="s">
        <v>18</v>
      </c>
      <c r="L11">
        <f t="shared" si="0"/>
        <v>6</v>
      </c>
      <c r="M11">
        <f t="shared" si="1"/>
        <v>4.4935339920060722</v>
      </c>
    </row>
    <row r="12" spans="1:13">
      <c r="A12" t="s">
        <v>266</v>
      </c>
      <c r="B12" t="s">
        <v>354</v>
      </c>
      <c r="C12" t="s">
        <v>355</v>
      </c>
      <c r="D12" t="s">
        <v>245</v>
      </c>
      <c r="E12" t="s">
        <v>346</v>
      </c>
      <c r="F12" t="s">
        <v>356</v>
      </c>
      <c r="G12">
        <v>0.88905217145318205</v>
      </c>
      <c r="H12">
        <v>745.96900000000005</v>
      </c>
      <c r="I12" t="s">
        <v>348</v>
      </c>
      <c r="J12" t="s">
        <v>356</v>
      </c>
      <c r="K12" t="s">
        <v>176</v>
      </c>
      <c r="L12">
        <f t="shared" si="0"/>
        <v>6</v>
      </c>
      <c r="M12">
        <f t="shared" si="1"/>
        <v>5.3343130287190927</v>
      </c>
    </row>
    <row r="13" spans="1:13">
      <c r="A13" t="s">
        <v>184</v>
      </c>
      <c r="B13" t="s">
        <v>353</v>
      </c>
      <c r="C13" t="s">
        <v>345</v>
      </c>
      <c r="D13" t="s">
        <v>245</v>
      </c>
      <c r="E13" t="s">
        <v>357</v>
      </c>
      <c r="F13" t="s">
        <v>352</v>
      </c>
      <c r="G13">
        <v>3.0866124864808001E-2</v>
      </c>
      <c r="H13">
        <v>80.11</v>
      </c>
      <c r="I13" t="s">
        <v>348</v>
      </c>
      <c r="J13" t="s">
        <v>352</v>
      </c>
      <c r="K13" t="s">
        <v>18</v>
      </c>
      <c r="L13">
        <f t="shared" si="0"/>
        <v>4</v>
      </c>
      <c r="M13">
        <f t="shared" si="1"/>
        <v>0.123464499459232</v>
      </c>
    </row>
    <row r="14" spans="1:13">
      <c r="A14" t="s">
        <v>331</v>
      </c>
      <c r="B14" t="s">
        <v>354</v>
      </c>
      <c r="C14" t="s">
        <v>355</v>
      </c>
      <c r="D14" t="s">
        <v>245</v>
      </c>
      <c r="E14" t="s">
        <v>346</v>
      </c>
      <c r="F14" t="s">
        <v>358</v>
      </c>
      <c r="G14">
        <v>2.9129084422283951</v>
      </c>
      <c r="H14">
        <v>711.74099999999999</v>
      </c>
      <c r="I14" t="s">
        <v>348</v>
      </c>
      <c r="J14" t="s">
        <v>358</v>
      </c>
      <c r="K14" t="s">
        <v>119</v>
      </c>
      <c r="L14">
        <f t="shared" si="0"/>
        <v>6</v>
      </c>
      <c r="M14">
        <f t="shared" si="1"/>
        <v>17.477450653370369</v>
      </c>
    </row>
    <row r="15" spans="1:13">
      <c r="A15" t="s">
        <v>311</v>
      </c>
      <c r="B15" t="s">
        <v>344</v>
      </c>
      <c r="C15" t="s">
        <v>345</v>
      </c>
      <c r="D15" t="s">
        <v>245</v>
      </c>
      <c r="E15" t="s">
        <v>346</v>
      </c>
      <c r="F15" t="s">
        <v>352</v>
      </c>
      <c r="G15">
        <v>1.409020645185141</v>
      </c>
      <c r="H15">
        <v>490.24700000000001</v>
      </c>
      <c r="I15" t="s">
        <v>348</v>
      </c>
      <c r="J15" t="s">
        <v>352</v>
      </c>
      <c r="K15" t="s">
        <v>18</v>
      </c>
      <c r="L15">
        <f t="shared" si="0"/>
        <v>4</v>
      </c>
      <c r="M15">
        <f t="shared" si="1"/>
        <v>5.6360825807405641</v>
      </c>
    </row>
    <row r="16" spans="1:13">
      <c r="A16" t="s">
        <v>257</v>
      </c>
      <c r="B16" t="s">
        <v>344</v>
      </c>
      <c r="C16" t="s">
        <v>345</v>
      </c>
      <c r="D16" t="s">
        <v>245</v>
      </c>
      <c r="E16" t="s">
        <v>346</v>
      </c>
      <c r="F16" t="s">
        <v>352</v>
      </c>
      <c r="G16">
        <v>0.87197257130169903</v>
      </c>
      <c r="H16">
        <v>371.23399999999998</v>
      </c>
      <c r="I16" t="s">
        <v>348</v>
      </c>
      <c r="J16" t="s">
        <v>352</v>
      </c>
      <c r="K16" t="s">
        <v>18</v>
      </c>
      <c r="L16">
        <f t="shared" si="0"/>
        <v>4</v>
      </c>
      <c r="M16">
        <f t="shared" si="1"/>
        <v>3.4878902852067961</v>
      </c>
    </row>
    <row r="17" spans="1:13">
      <c r="A17" t="s">
        <v>316</v>
      </c>
      <c r="B17" t="s">
        <v>353</v>
      </c>
      <c r="C17" t="s">
        <v>345</v>
      </c>
      <c r="D17" t="s">
        <v>245</v>
      </c>
      <c r="E17" t="s">
        <v>346</v>
      </c>
      <c r="F17" t="s">
        <v>352</v>
      </c>
      <c r="G17">
        <v>0.16658177120053499</v>
      </c>
      <c r="H17">
        <v>167.047</v>
      </c>
      <c r="I17" t="s">
        <v>348</v>
      </c>
      <c r="J17" t="s">
        <v>352</v>
      </c>
      <c r="K17" t="s">
        <v>18</v>
      </c>
      <c r="L17">
        <f t="shared" si="0"/>
        <v>4</v>
      </c>
      <c r="M17">
        <f t="shared" si="1"/>
        <v>0.66632708480213998</v>
      </c>
    </row>
    <row r="18" spans="1:13">
      <c r="A18" t="s">
        <v>280</v>
      </c>
      <c r="B18" t="s">
        <v>353</v>
      </c>
      <c r="C18" t="s">
        <v>345</v>
      </c>
      <c r="D18" t="s">
        <v>245</v>
      </c>
      <c r="E18" t="s">
        <v>346</v>
      </c>
      <c r="F18" t="s">
        <v>352</v>
      </c>
      <c r="G18">
        <v>0.32752931506189598</v>
      </c>
      <c r="H18">
        <v>525.49699999999996</v>
      </c>
      <c r="I18" t="s">
        <v>348</v>
      </c>
      <c r="J18" t="s">
        <v>352</v>
      </c>
      <c r="K18" t="s">
        <v>18</v>
      </c>
      <c r="L18">
        <f t="shared" si="0"/>
        <v>4</v>
      </c>
      <c r="M18">
        <f t="shared" si="1"/>
        <v>1.3101172602475839</v>
      </c>
    </row>
    <row r="19" spans="1:13">
      <c r="A19" t="s">
        <v>280</v>
      </c>
      <c r="B19" t="s">
        <v>353</v>
      </c>
      <c r="C19" t="s">
        <v>345</v>
      </c>
      <c r="D19" t="s">
        <v>245</v>
      </c>
      <c r="E19" t="s">
        <v>346</v>
      </c>
      <c r="F19" t="s">
        <v>352</v>
      </c>
      <c r="G19">
        <v>3.2271323501551E-2</v>
      </c>
      <c r="H19">
        <v>87.052999999999997</v>
      </c>
      <c r="I19" t="s">
        <v>348</v>
      </c>
      <c r="J19" t="s">
        <v>352</v>
      </c>
      <c r="K19" t="s">
        <v>18</v>
      </c>
      <c r="L19">
        <f t="shared" si="0"/>
        <v>4</v>
      </c>
      <c r="M19">
        <f t="shared" si="1"/>
        <v>0.129085294006204</v>
      </c>
    </row>
    <row r="20" spans="1:13">
      <c r="A20" t="s">
        <v>304</v>
      </c>
      <c r="B20" t="s">
        <v>353</v>
      </c>
      <c r="C20" t="s">
        <v>345</v>
      </c>
      <c r="D20" t="s">
        <v>245</v>
      </c>
      <c r="E20" t="s">
        <v>346</v>
      </c>
      <c r="F20" t="s">
        <v>356</v>
      </c>
      <c r="G20">
        <v>0.83637112672259495</v>
      </c>
      <c r="H20">
        <v>388.084</v>
      </c>
      <c r="I20" t="s">
        <v>348</v>
      </c>
      <c r="J20" t="s">
        <v>356</v>
      </c>
      <c r="K20" t="s">
        <v>176</v>
      </c>
      <c r="L20">
        <f t="shared" si="0"/>
        <v>4</v>
      </c>
      <c r="M20">
        <f t="shared" si="1"/>
        <v>3.3454845068903798</v>
      </c>
    </row>
    <row r="21" spans="1:13">
      <c r="A21" t="s">
        <v>294</v>
      </c>
      <c r="B21" t="s">
        <v>353</v>
      </c>
      <c r="C21" t="s">
        <v>345</v>
      </c>
      <c r="D21" t="s">
        <v>245</v>
      </c>
      <c r="E21" t="s">
        <v>346</v>
      </c>
      <c r="F21" t="s">
        <v>356</v>
      </c>
      <c r="G21">
        <v>0.36285423547353801</v>
      </c>
      <c r="H21">
        <v>347.04899999999998</v>
      </c>
      <c r="I21" t="s">
        <v>348</v>
      </c>
      <c r="J21" t="s">
        <v>356</v>
      </c>
      <c r="K21" t="s">
        <v>176</v>
      </c>
      <c r="L21">
        <f t="shared" si="0"/>
        <v>4</v>
      </c>
      <c r="M21">
        <f t="shared" si="1"/>
        <v>1.451416941894152</v>
      </c>
    </row>
    <row r="22" spans="1:13">
      <c r="A22" t="s">
        <v>359</v>
      </c>
      <c r="B22" t="s">
        <v>353</v>
      </c>
      <c r="C22" t="s">
        <v>345</v>
      </c>
      <c r="D22" t="s">
        <v>245</v>
      </c>
      <c r="E22" t="s">
        <v>346</v>
      </c>
      <c r="F22" t="s">
        <v>352</v>
      </c>
      <c r="G22">
        <v>0.51060929087970397</v>
      </c>
      <c r="H22">
        <v>289.971</v>
      </c>
      <c r="I22" t="s">
        <v>348</v>
      </c>
      <c r="J22" t="s">
        <v>352</v>
      </c>
      <c r="K22" t="s">
        <v>18</v>
      </c>
      <c r="L22">
        <f t="shared" si="0"/>
        <v>4</v>
      </c>
      <c r="M22">
        <f t="shared" si="1"/>
        <v>2.0424371635188159</v>
      </c>
    </row>
    <row r="23" spans="1:13">
      <c r="A23" t="s">
        <v>277</v>
      </c>
      <c r="B23" t="s">
        <v>353</v>
      </c>
      <c r="C23" t="s">
        <v>345</v>
      </c>
      <c r="D23" t="s">
        <v>245</v>
      </c>
      <c r="E23" t="s">
        <v>346</v>
      </c>
      <c r="F23" t="s">
        <v>351</v>
      </c>
      <c r="G23">
        <v>0.112577373165673</v>
      </c>
      <c r="H23">
        <v>145.05600000000001</v>
      </c>
      <c r="I23" t="s">
        <v>348</v>
      </c>
      <c r="J23" t="s">
        <v>351</v>
      </c>
      <c r="K23" t="s">
        <v>12</v>
      </c>
      <c r="L23">
        <f t="shared" si="0"/>
        <v>4</v>
      </c>
      <c r="M23">
        <f t="shared" si="1"/>
        <v>0.45030949266269199</v>
      </c>
    </row>
    <row r="24" spans="1:13">
      <c r="A24" t="s">
        <v>330</v>
      </c>
      <c r="B24" t="s">
        <v>353</v>
      </c>
      <c r="C24" t="s">
        <v>345</v>
      </c>
      <c r="D24" t="s">
        <v>245</v>
      </c>
      <c r="E24" t="s">
        <v>346</v>
      </c>
      <c r="F24" t="s">
        <v>351</v>
      </c>
      <c r="G24">
        <v>0.27247756009584001</v>
      </c>
      <c r="H24">
        <v>222.47</v>
      </c>
      <c r="I24" t="s">
        <v>348</v>
      </c>
      <c r="J24" t="s">
        <v>351</v>
      </c>
      <c r="K24" t="s">
        <v>12</v>
      </c>
      <c r="L24">
        <f t="shared" si="0"/>
        <v>4</v>
      </c>
      <c r="M24">
        <f t="shared" si="1"/>
        <v>1.08991024038336</v>
      </c>
    </row>
    <row r="25" spans="1:13">
      <c r="A25" t="s">
        <v>278</v>
      </c>
      <c r="B25" t="s">
        <v>353</v>
      </c>
      <c r="C25" t="s">
        <v>345</v>
      </c>
      <c r="D25" t="s">
        <v>245</v>
      </c>
      <c r="E25" t="s">
        <v>346</v>
      </c>
      <c r="F25" t="s">
        <v>352</v>
      </c>
      <c r="G25">
        <v>2.819778806987455</v>
      </c>
      <c r="H25">
        <v>673.29399999999998</v>
      </c>
      <c r="I25" t="s">
        <v>348</v>
      </c>
      <c r="J25" t="s">
        <v>352</v>
      </c>
      <c r="K25" t="s">
        <v>18</v>
      </c>
      <c r="L25">
        <f t="shared" si="0"/>
        <v>4</v>
      </c>
      <c r="M25">
        <f t="shared" si="1"/>
        <v>11.27911522794982</v>
      </c>
    </row>
    <row r="26" spans="1:13">
      <c r="A26" t="s">
        <v>306</v>
      </c>
      <c r="B26" t="s">
        <v>353</v>
      </c>
      <c r="C26" t="s">
        <v>345</v>
      </c>
      <c r="D26" t="s">
        <v>245</v>
      </c>
      <c r="E26" t="s">
        <v>346</v>
      </c>
      <c r="F26" t="s">
        <v>352</v>
      </c>
      <c r="G26">
        <v>0.54612715382827204</v>
      </c>
      <c r="H26">
        <v>296.89699999999999</v>
      </c>
      <c r="I26" t="s">
        <v>348</v>
      </c>
      <c r="J26" t="s">
        <v>352</v>
      </c>
      <c r="K26" t="s">
        <v>18</v>
      </c>
      <c r="L26">
        <f t="shared" si="0"/>
        <v>4</v>
      </c>
      <c r="M26">
        <f t="shared" si="1"/>
        <v>2.1845086153130882</v>
      </c>
    </row>
    <row r="27" spans="1:13">
      <c r="A27" t="s">
        <v>328</v>
      </c>
      <c r="B27" t="s">
        <v>353</v>
      </c>
      <c r="C27" t="s">
        <v>345</v>
      </c>
      <c r="D27" t="s">
        <v>245</v>
      </c>
      <c r="E27" t="s">
        <v>346</v>
      </c>
      <c r="F27" t="s">
        <v>352</v>
      </c>
      <c r="G27">
        <v>7.1610790321740003E-2</v>
      </c>
      <c r="H27">
        <v>120.626</v>
      </c>
      <c r="I27" t="s">
        <v>348</v>
      </c>
      <c r="J27" t="s">
        <v>352</v>
      </c>
      <c r="K27" t="s">
        <v>18</v>
      </c>
      <c r="L27">
        <f t="shared" si="0"/>
        <v>4</v>
      </c>
      <c r="M27">
        <f t="shared" si="1"/>
        <v>0.28644316128696001</v>
      </c>
    </row>
    <row r="28" spans="1:13">
      <c r="A28" t="s">
        <v>360</v>
      </c>
      <c r="B28" t="s">
        <v>353</v>
      </c>
      <c r="C28" t="s">
        <v>345</v>
      </c>
      <c r="D28" t="s">
        <v>245</v>
      </c>
      <c r="E28" t="s">
        <v>346</v>
      </c>
      <c r="F28" t="s">
        <v>352</v>
      </c>
      <c r="G28">
        <v>0.81617886055289401</v>
      </c>
      <c r="H28">
        <v>361.18799999999999</v>
      </c>
      <c r="I28" t="s">
        <v>348</v>
      </c>
      <c r="J28" t="s">
        <v>352</v>
      </c>
      <c r="K28" t="s">
        <v>18</v>
      </c>
      <c r="L28">
        <f t="shared" si="0"/>
        <v>4</v>
      </c>
      <c r="M28">
        <f t="shared" si="1"/>
        <v>3.2647154422115761</v>
      </c>
    </row>
    <row r="29" spans="1:13">
      <c r="A29" t="s">
        <v>267</v>
      </c>
      <c r="B29" t="s">
        <v>353</v>
      </c>
      <c r="C29" t="s">
        <v>355</v>
      </c>
      <c r="D29" t="s">
        <v>245</v>
      </c>
      <c r="E29" t="s">
        <v>346</v>
      </c>
      <c r="F29" t="s">
        <v>352</v>
      </c>
      <c r="G29">
        <v>0.71810325435647604</v>
      </c>
      <c r="H29">
        <v>400.61399999999998</v>
      </c>
      <c r="I29" t="s">
        <v>348</v>
      </c>
      <c r="J29" t="s">
        <v>352</v>
      </c>
      <c r="K29" t="s">
        <v>18</v>
      </c>
      <c r="L29">
        <f t="shared" si="0"/>
        <v>6</v>
      </c>
      <c r="M29">
        <f t="shared" si="1"/>
        <v>4.3086195261388562</v>
      </c>
    </row>
    <row r="30" spans="1:13">
      <c r="A30" t="s">
        <v>361</v>
      </c>
      <c r="B30" t="s">
        <v>353</v>
      </c>
      <c r="C30" t="s">
        <v>345</v>
      </c>
      <c r="D30" t="s">
        <v>245</v>
      </c>
      <c r="E30" t="s">
        <v>346</v>
      </c>
      <c r="F30" t="s">
        <v>351</v>
      </c>
      <c r="G30">
        <v>0.96351378940880095</v>
      </c>
      <c r="H30">
        <v>400.76100000000002</v>
      </c>
      <c r="I30" t="s">
        <v>348</v>
      </c>
      <c r="J30" t="s">
        <v>351</v>
      </c>
      <c r="K30" t="s">
        <v>12</v>
      </c>
      <c r="L30">
        <f t="shared" si="0"/>
        <v>4</v>
      </c>
      <c r="M30">
        <f t="shared" si="1"/>
        <v>3.8540551576352038</v>
      </c>
    </row>
    <row r="31" spans="1:13">
      <c r="A31" t="s">
        <v>288</v>
      </c>
      <c r="B31" t="s">
        <v>353</v>
      </c>
      <c r="C31" t="s">
        <v>355</v>
      </c>
      <c r="D31" t="s">
        <v>245</v>
      </c>
      <c r="E31" t="s">
        <v>346</v>
      </c>
      <c r="F31" t="s">
        <v>352</v>
      </c>
      <c r="G31">
        <v>0.78211000650140305</v>
      </c>
      <c r="H31">
        <v>353.98399999999998</v>
      </c>
      <c r="I31" t="s">
        <v>348</v>
      </c>
      <c r="J31" t="s">
        <v>352</v>
      </c>
      <c r="K31" t="s">
        <v>18</v>
      </c>
      <c r="L31">
        <f t="shared" si="0"/>
        <v>6</v>
      </c>
      <c r="M31">
        <f t="shared" si="1"/>
        <v>4.6926600390084179</v>
      </c>
    </row>
    <row r="32" spans="1:13">
      <c r="A32" t="s">
        <v>308</v>
      </c>
      <c r="B32" t="s">
        <v>353</v>
      </c>
      <c r="C32" t="s">
        <v>345</v>
      </c>
      <c r="D32" t="s">
        <v>245</v>
      </c>
      <c r="E32" t="s">
        <v>346</v>
      </c>
      <c r="F32" t="s">
        <v>347</v>
      </c>
      <c r="G32">
        <v>0.185033528292984</v>
      </c>
      <c r="H32">
        <v>177.37700000000001</v>
      </c>
      <c r="I32" t="s">
        <v>348</v>
      </c>
      <c r="J32" t="s">
        <v>347</v>
      </c>
      <c r="K32" t="s">
        <v>61</v>
      </c>
      <c r="L32">
        <f t="shared" si="0"/>
        <v>4</v>
      </c>
      <c r="M32">
        <f t="shared" si="1"/>
        <v>0.740134113171936</v>
      </c>
    </row>
    <row r="33" spans="1:13">
      <c r="A33" t="s">
        <v>322</v>
      </c>
      <c r="B33" t="s">
        <v>353</v>
      </c>
      <c r="C33" t="s">
        <v>345</v>
      </c>
      <c r="D33" t="s">
        <v>245</v>
      </c>
      <c r="E33" t="s">
        <v>346</v>
      </c>
      <c r="F33" t="s">
        <v>347</v>
      </c>
      <c r="G33">
        <v>0.33439285418277498</v>
      </c>
      <c r="H33">
        <v>232.11699999999999</v>
      </c>
      <c r="I33" t="s">
        <v>348</v>
      </c>
      <c r="J33" t="s">
        <v>347</v>
      </c>
      <c r="K33" t="s">
        <v>61</v>
      </c>
      <c r="L33">
        <f t="shared" si="0"/>
        <v>4</v>
      </c>
      <c r="M33">
        <f t="shared" si="1"/>
        <v>1.3375714167310999</v>
      </c>
    </row>
    <row r="34" spans="1:13">
      <c r="A34" t="s">
        <v>270</v>
      </c>
      <c r="B34" t="s">
        <v>353</v>
      </c>
      <c r="C34" t="s">
        <v>345</v>
      </c>
      <c r="D34" t="s">
        <v>245</v>
      </c>
      <c r="E34" t="s">
        <v>346</v>
      </c>
      <c r="F34" t="s">
        <v>347</v>
      </c>
      <c r="G34">
        <v>0.69459850405061596</v>
      </c>
      <c r="H34">
        <v>333.61599999999999</v>
      </c>
      <c r="I34" t="s">
        <v>348</v>
      </c>
      <c r="J34" t="s">
        <v>347</v>
      </c>
      <c r="K34" t="s">
        <v>61</v>
      </c>
      <c r="L34">
        <f t="shared" si="0"/>
        <v>4</v>
      </c>
      <c r="M34">
        <f t="shared" si="1"/>
        <v>2.7783940162024638</v>
      </c>
    </row>
    <row r="35" spans="1:13">
      <c r="A35" t="s">
        <v>272</v>
      </c>
      <c r="B35" t="s">
        <v>353</v>
      </c>
      <c r="C35" t="s">
        <v>345</v>
      </c>
      <c r="D35" t="s">
        <v>245</v>
      </c>
      <c r="E35" t="s">
        <v>346</v>
      </c>
      <c r="F35" t="s">
        <v>347</v>
      </c>
      <c r="G35">
        <v>6.2745696047356997E-2</v>
      </c>
      <c r="H35">
        <v>102.069</v>
      </c>
      <c r="I35" t="s">
        <v>348</v>
      </c>
      <c r="J35" t="s">
        <v>347</v>
      </c>
      <c r="K35" t="s">
        <v>61</v>
      </c>
      <c r="L35">
        <f t="shared" si="0"/>
        <v>4</v>
      </c>
      <c r="M35">
        <f t="shared" si="1"/>
        <v>0.25098278418942799</v>
      </c>
    </row>
    <row r="36" spans="1:13">
      <c r="A36" t="s">
        <v>260</v>
      </c>
      <c r="B36" t="s">
        <v>353</v>
      </c>
      <c r="C36" t="s">
        <v>345</v>
      </c>
      <c r="D36" t="s">
        <v>245</v>
      </c>
      <c r="E36" t="s">
        <v>346</v>
      </c>
      <c r="F36" t="s">
        <v>347</v>
      </c>
      <c r="G36">
        <v>1.1074292285177441</v>
      </c>
      <c r="H36">
        <v>445.4</v>
      </c>
      <c r="I36" t="s">
        <v>348</v>
      </c>
      <c r="J36" t="s">
        <v>347</v>
      </c>
      <c r="K36" t="s">
        <v>61</v>
      </c>
      <c r="L36">
        <f t="shared" si="0"/>
        <v>4</v>
      </c>
      <c r="M36">
        <f t="shared" si="1"/>
        <v>4.4297169140709762</v>
      </c>
    </row>
    <row r="37" spans="1:13">
      <c r="A37" t="s">
        <v>287</v>
      </c>
      <c r="B37" t="s">
        <v>344</v>
      </c>
      <c r="C37" t="s">
        <v>345</v>
      </c>
      <c r="D37" t="s">
        <v>268</v>
      </c>
      <c r="E37" t="s">
        <v>346</v>
      </c>
      <c r="F37" t="s">
        <v>362</v>
      </c>
      <c r="G37">
        <v>1.304268452151538</v>
      </c>
      <c r="H37">
        <v>475.99</v>
      </c>
      <c r="I37" t="s">
        <v>348</v>
      </c>
      <c r="J37" t="s">
        <v>362</v>
      </c>
      <c r="K37" t="s">
        <v>362</v>
      </c>
      <c r="L37">
        <f t="shared" si="0"/>
        <v>4</v>
      </c>
      <c r="M37">
        <f t="shared" si="1"/>
        <v>5.2170738086061519</v>
      </c>
    </row>
    <row r="38" spans="1:13">
      <c r="A38" t="s">
        <v>302</v>
      </c>
      <c r="B38" t="s">
        <v>344</v>
      </c>
      <c r="C38" t="s">
        <v>345</v>
      </c>
      <c r="D38" t="s">
        <v>268</v>
      </c>
      <c r="E38" t="s">
        <v>346</v>
      </c>
      <c r="F38" t="s">
        <v>362</v>
      </c>
      <c r="G38">
        <v>0.19673525850944501</v>
      </c>
      <c r="H38">
        <v>221.08799999999999</v>
      </c>
      <c r="I38" t="s">
        <v>348</v>
      </c>
      <c r="J38" t="s">
        <v>362</v>
      </c>
      <c r="K38" t="s">
        <v>362</v>
      </c>
      <c r="L38">
        <f t="shared" si="0"/>
        <v>4</v>
      </c>
      <c r="M38">
        <f t="shared" si="1"/>
        <v>0.78694103403778004</v>
      </c>
    </row>
    <row r="39" spans="1:13">
      <c r="A39" t="s">
        <v>302</v>
      </c>
      <c r="B39" t="s">
        <v>344</v>
      </c>
      <c r="C39" t="s">
        <v>345</v>
      </c>
      <c r="D39" t="s">
        <v>268</v>
      </c>
      <c r="E39" t="s">
        <v>346</v>
      </c>
      <c r="F39" t="s">
        <v>362</v>
      </c>
      <c r="G39">
        <v>0.110921092578132</v>
      </c>
      <c r="H39">
        <v>135.202</v>
      </c>
      <c r="I39" t="s">
        <v>348</v>
      </c>
      <c r="J39" t="s">
        <v>362</v>
      </c>
      <c r="K39" t="s">
        <v>362</v>
      </c>
      <c r="L39">
        <f t="shared" si="0"/>
        <v>4</v>
      </c>
      <c r="M39">
        <f t="shared" si="1"/>
        <v>0.443684370312528</v>
      </c>
    </row>
    <row r="40" spans="1:13">
      <c r="A40" t="s">
        <v>269</v>
      </c>
      <c r="B40" t="s">
        <v>344</v>
      </c>
      <c r="C40" t="s">
        <v>345</v>
      </c>
      <c r="D40" t="s">
        <v>268</v>
      </c>
      <c r="E40" t="s">
        <v>346</v>
      </c>
      <c r="F40" t="s">
        <v>362</v>
      </c>
      <c r="G40">
        <v>0.51604465823940904</v>
      </c>
      <c r="H40">
        <v>309.46699999999998</v>
      </c>
      <c r="I40" t="s">
        <v>348</v>
      </c>
      <c r="J40" t="s">
        <v>362</v>
      </c>
      <c r="K40" t="s">
        <v>362</v>
      </c>
      <c r="L40">
        <f t="shared" si="0"/>
        <v>4</v>
      </c>
      <c r="M40">
        <f t="shared" si="1"/>
        <v>2.0641786329576362</v>
      </c>
    </row>
    <row r="41" spans="1:13">
      <c r="A41" t="s">
        <v>361</v>
      </c>
      <c r="B41" t="s">
        <v>353</v>
      </c>
      <c r="C41" t="s">
        <v>345</v>
      </c>
      <c r="D41" t="s">
        <v>245</v>
      </c>
      <c r="E41" t="s">
        <v>346</v>
      </c>
      <c r="F41" t="s">
        <v>352</v>
      </c>
      <c r="G41">
        <v>3.3186137389786312</v>
      </c>
      <c r="H41">
        <v>724.98099999999999</v>
      </c>
      <c r="I41" t="s">
        <v>348</v>
      </c>
      <c r="J41" t="s">
        <v>352</v>
      </c>
      <c r="K41" t="s">
        <v>18</v>
      </c>
      <c r="L41">
        <f t="shared" si="0"/>
        <v>4</v>
      </c>
      <c r="M41">
        <f t="shared" si="1"/>
        <v>13.274454955914525</v>
      </c>
    </row>
    <row r="42" spans="1:13">
      <c r="A42" t="s">
        <v>258</v>
      </c>
      <c r="B42" t="s">
        <v>353</v>
      </c>
      <c r="C42" t="s">
        <v>345</v>
      </c>
      <c r="D42" t="s">
        <v>245</v>
      </c>
      <c r="E42" t="s">
        <v>346</v>
      </c>
      <c r="F42" t="s">
        <v>347</v>
      </c>
      <c r="G42">
        <v>1.495868332068254</v>
      </c>
      <c r="H42">
        <v>539.61900000000003</v>
      </c>
      <c r="I42" t="s">
        <v>348</v>
      </c>
      <c r="J42" t="s">
        <v>347</v>
      </c>
      <c r="K42" t="s">
        <v>61</v>
      </c>
      <c r="L42">
        <f t="shared" si="0"/>
        <v>4</v>
      </c>
      <c r="M42">
        <f t="shared" si="1"/>
        <v>5.9834733282730159</v>
      </c>
    </row>
    <row r="43" spans="1:13">
      <c r="A43" t="s">
        <v>248</v>
      </c>
      <c r="B43" t="s">
        <v>353</v>
      </c>
      <c r="C43" t="s">
        <v>345</v>
      </c>
      <c r="D43" t="s">
        <v>245</v>
      </c>
      <c r="E43" t="s">
        <v>346</v>
      </c>
      <c r="F43" t="s">
        <v>356</v>
      </c>
      <c r="G43">
        <v>0.13763625780202199</v>
      </c>
      <c r="H43">
        <v>280.17700000000002</v>
      </c>
      <c r="I43" t="s">
        <v>348</v>
      </c>
      <c r="J43" t="s">
        <v>356</v>
      </c>
      <c r="K43" t="s">
        <v>176</v>
      </c>
      <c r="L43">
        <f t="shared" si="0"/>
        <v>4</v>
      </c>
      <c r="M43">
        <f t="shared" si="1"/>
        <v>0.55054503120808795</v>
      </c>
    </row>
    <row r="44" spans="1:13">
      <c r="A44" t="s">
        <v>123</v>
      </c>
      <c r="B44" t="s">
        <v>353</v>
      </c>
      <c r="C44" t="s">
        <v>345</v>
      </c>
      <c r="D44" t="s">
        <v>245</v>
      </c>
      <c r="E44" t="s">
        <v>357</v>
      </c>
      <c r="F44" t="s">
        <v>358</v>
      </c>
      <c r="G44">
        <v>9.4495359286279994E-3</v>
      </c>
      <c r="H44">
        <v>57.719000000000001</v>
      </c>
      <c r="I44" t="s">
        <v>348</v>
      </c>
      <c r="J44" t="s">
        <v>358</v>
      </c>
      <c r="K44" t="s">
        <v>119</v>
      </c>
      <c r="L44">
        <f t="shared" si="0"/>
        <v>4</v>
      </c>
      <c r="M44">
        <f t="shared" si="1"/>
        <v>3.7798143714511998E-2</v>
      </c>
    </row>
    <row r="45" spans="1:13">
      <c r="A45" t="s">
        <v>274</v>
      </c>
      <c r="B45" t="s">
        <v>353</v>
      </c>
      <c r="C45" t="s">
        <v>345</v>
      </c>
      <c r="D45" t="s">
        <v>245</v>
      </c>
      <c r="E45" t="s">
        <v>346</v>
      </c>
      <c r="G45">
        <v>1.1122795219277379</v>
      </c>
      <c r="H45">
        <v>675.62300000000005</v>
      </c>
      <c r="I45" t="s">
        <v>348</v>
      </c>
      <c r="J45" t="s">
        <v>358</v>
      </c>
      <c r="K45" t="s">
        <v>119</v>
      </c>
      <c r="L45">
        <f t="shared" si="0"/>
        <v>4</v>
      </c>
      <c r="M45">
        <f t="shared" si="1"/>
        <v>4.4491180877109517</v>
      </c>
    </row>
    <row r="46" spans="1:13">
      <c r="A46" t="s">
        <v>274</v>
      </c>
      <c r="B46" t="s">
        <v>353</v>
      </c>
      <c r="C46" t="s">
        <v>345</v>
      </c>
      <c r="D46" t="s">
        <v>245</v>
      </c>
      <c r="E46" t="s">
        <v>346</v>
      </c>
      <c r="G46">
        <v>0.42856269999239199</v>
      </c>
      <c r="H46">
        <v>277.726</v>
      </c>
      <c r="I46" t="s">
        <v>348</v>
      </c>
      <c r="J46" t="s">
        <v>358</v>
      </c>
      <c r="K46" t="s">
        <v>119</v>
      </c>
      <c r="L46">
        <f t="shared" si="0"/>
        <v>4</v>
      </c>
      <c r="M46">
        <f t="shared" si="1"/>
        <v>1.714250799969568</v>
      </c>
    </row>
    <row r="47" spans="1:13">
      <c r="A47" t="s">
        <v>274</v>
      </c>
      <c r="B47" t="s">
        <v>353</v>
      </c>
      <c r="C47" t="s">
        <v>345</v>
      </c>
      <c r="D47" t="s">
        <v>245</v>
      </c>
      <c r="E47" t="s">
        <v>346</v>
      </c>
      <c r="G47">
        <v>0.65463410401933697</v>
      </c>
      <c r="H47">
        <v>450.03300000000002</v>
      </c>
      <c r="I47" t="s">
        <v>348</v>
      </c>
      <c r="J47" t="s">
        <v>358</v>
      </c>
      <c r="K47" t="s">
        <v>119</v>
      </c>
      <c r="L47">
        <f t="shared" si="0"/>
        <v>4</v>
      </c>
      <c r="M47">
        <f t="shared" si="1"/>
        <v>2.6185364160773479</v>
      </c>
    </row>
    <row r="48" spans="1:13">
      <c r="A48" t="s">
        <v>274</v>
      </c>
      <c r="B48" t="s">
        <v>353</v>
      </c>
      <c r="C48" t="s">
        <v>345</v>
      </c>
      <c r="D48" t="s">
        <v>245</v>
      </c>
      <c r="E48" t="s">
        <v>346</v>
      </c>
      <c r="G48">
        <v>1.0461516686045531</v>
      </c>
      <c r="H48">
        <v>501.60599999999999</v>
      </c>
      <c r="I48" t="s">
        <v>348</v>
      </c>
      <c r="J48" t="s">
        <v>358</v>
      </c>
      <c r="K48" t="s">
        <v>119</v>
      </c>
      <c r="L48">
        <f t="shared" si="0"/>
        <v>4</v>
      </c>
      <c r="M48">
        <f t="shared" si="1"/>
        <v>4.1846066744182124</v>
      </c>
    </row>
    <row r="49" spans="1:13">
      <c r="A49" t="s">
        <v>129</v>
      </c>
      <c r="B49" t="s">
        <v>353</v>
      </c>
      <c r="C49" t="s">
        <v>345</v>
      </c>
      <c r="D49" t="s">
        <v>245</v>
      </c>
      <c r="E49" t="s">
        <v>357</v>
      </c>
      <c r="F49" t="s">
        <v>347</v>
      </c>
      <c r="G49">
        <v>0.14892699948327301</v>
      </c>
      <c r="H49">
        <v>409.00099999999998</v>
      </c>
      <c r="I49" t="s">
        <v>348</v>
      </c>
      <c r="J49" t="s">
        <v>347</v>
      </c>
      <c r="K49" t="s">
        <v>61</v>
      </c>
      <c r="L49">
        <f t="shared" si="0"/>
        <v>4</v>
      </c>
      <c r="M49">
        <f t="shared" si="1"/>
        <v>0.59570799793309204</v>
      </c>
    </row>
    <row r="50" spans="1:13">
      <c r="A50" t="s">
        <v>129</v>
      </c>
      <c r="B50" t="s">
        <v>353</v>
      </c>
      <c r="C50" t="s">
        <v>345</v>
      </c>
      <c r="D50" t="s">
        <v>245</v>
      </c>
      <c r="E50" t="s">
        <v>357</v>
      </c>
      <c r="F50" t="s">
        <v>347</v>
      </c>
      <c r="G50">
        <v>1.3351157128172939</v>
      </c>
      <c r="H50">
        <v>1206.605</v>
      </c>
      <c r="I50" t="s">
        <v>348</v>
      </c>
      <c r="J50" t="s">
        <v>347</v>
      </c>
      <c r="K50" t="s">
        <v>61</v>
      </c>
      <c r="L50">
        <f t="shared" si="0"/>
        <v>4</v>
      </c>
      <c r="M50">
        <f t="shared" si="1"/>
        <v>5.3404628512691756</v>
      </c>
    </row>
    <row r="51" spans="1:13">
      <c r="A51" t="s">
        <v>247</v>
      </c>
      <c r="B51" t="s">
        <v>344</v>
      </c>
      <c r="C51" t="s">
        <v>345</v>
      </c>
      <c r="D51" t="s">
        <v>245</v>
      </c>
      <c r="E51" t="s">
        <v>346</v>
      </c>
      <c r="F51" t="s">
        <v>351</v>
      </c>
      <c r="G51">
        <v>3.1957963170467751</v>
      </c>
      <c r="H51">
        <v>728.75900000000001</v>
      </c>
      <c r="I51" t="s">
        <v>348</v>
      </c>
      <c r="J51" t="s">
        <v>351</v>
      </c>
      <c r="K51" t="s">
        <v>12</v>
      </c>
      <c r="L51">
        <f t="shared" si="0"/>
        <v>4</v>
      </c>
      <c r="M51">
        <f t="shared" si="1"/>
        <v>12.783185268187101</v>
      </c>
    </row>
    <row r="52" spans="1:13">
      <c r="L52" t="s">
        <v>238</v>
      </c>
      <c r="M52">
        <f>SUM(M2:M51)</f>
        <v>219.43038913605065</v>
      </c>
    </row>
    <row r="53" spans="1:13">
      <c r="M53" s="60">
        <f>M52/12</f>
        <v>18.285865761337554</v>
      </c>
    </row>
  </sheetData>
  <pageMargins left="0.511811024" right="0.511811024" top="0.78740157499999996" bottom="0.78740157499999996" header="0.31496062000000002" footer="0.3149606200000000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Y484"/>
  <sheetViews>
    <sheetView workbookViewId="0"/>
  </sheetViews>
  <sheetFormatPr defaultRowHeight="15"/>
  <cols>
    <col min="1" max="1" width="27.7109375" customWidth="1"/>
    <col min="2" max="2" width="19.42578125" bestFit="1" customWidth="1"/>
    <col min="3" max="3" width="12" bestFit="1" customWidth="1"/>
    <col min="4" max="4" width="15.42578125" bestFit="1" customWidth="1"/>
    <col min="5" max="12" width="13.42578125" customWidth="1"/>
    <col min="14" max="14" width="12" bestFit="1" customWidth="1"/>
  </cols>
  <sheetData>
    <row r="1" spans="1:24">
      <c r="A1" t="s">
        <v>2</v>
      </c>
      <c r="B1" t="s">
        <v>335</v>
      </c>
      <c r="C1" t="s">
        <v>363</v>
      </c>
      <c r="D1" t="s">
        <v>336</v>
      </c>
      <c r="E1" t="s">
        <v>341</v>
      </c>
      <c r="F1" t="s">
        <v>337</v>
      </c>
      <c r="G1" t="s">
        <v>338</v>
      </c>
      <c r="H1" t="s">
        <v>339</v>
      </c>
      <c r="I1" t="s">
        <v>342</v>
      </c>
      <c r="J1" t="s">
        <v>343</v>
      </c>
      <c r="K1" t="s">
        <v>5</v>
      </c>
      <c r="L1" t="s">
        <v>364</v>
      </c>
      <c r="N1" t="s">
        <v>382</v>
      </c>
      <c r="O1" t="s">
        <v>383</v>
      </c>
    </row>
    <row r="2" spans="1:24">
      <c r="A2" t="s">
        <v>81</v>
      </c>
      <c r="B2" t="s">
        <v>344</v>
      </c>
      <c r="C2">
        <v>5.0385608122960002E-2</v>
      </c>
      <c r="D2" t="s">
        <v>345</v>
      </c>
      <c r="E2">
        <v>212.89322346274872</v>
      </c>
      <c r="F2" t="s">
        <v>245</v>
      </c>
      <c r="G2" t="s">
        <v>357</v>
      </c>
      <c r="H2" t="s">
        <v>351</v>
      </c>
      <c r="I2" t="s">
        <v>348</v>
      </c>
      <c r="J2" t="s">
        <v>351</v>
      </c>
      <c r="K2" t="s">
        <v>12</v>
      </c>
      <c r="L2" t="s">
        <v>365</v>
      </c>
      <c r="M2">
        <f>LEFT(D2,2)*1</f>
        <v>4</v>
      </c>
      <c r="N2">
        <f>M2*C2</f>
        <v>0.20154243249184001</v>
      </c>
      <c r="O2">
        <f>M2*E2*0.8/10000</f>
        <v>6.812583150807959E-2</v>
      </c>
      <c r="S2" s="1" t="s">
        <v>5</v>
      </c>
      <c r="T2" s="1" t="s">
        <v>226</v>
      </c>
      <c r="U2" s="1" t="s">
        <v>568</v>
      </c>
      <c r="V2" s="1" t="s">
        <v>228</v>
      </c>
      <c r="W2" s="1" t="s">
        <v>229</v>
      </c>
      <c r="X2" s="1" t="s">
        <v>230</v>
      </c>
    </row>
    <row r="3" spans="1:24">
      <c r="A3" t="s">
        <v>81</v>
      </c>
      <c r="B3" t="s">
        <v>344</v>
      </c>
      <c r="C3">
        <v>5.5721070505711998E-2</v>
      </c>
      <c r="D3" t="s">
        <v>345</v>
      </c>
      <c r="E3">
        <v>255.15920505111097</v>
      </c>
      <c r="F3" t="s">
        <v>245</v>
      </c>
      <c r="G3" t="s">
        <v>357</v>
      </c>
      <c r="H3" t="s">
        <v>351</v>
      </c>
      <c r="I3" t="s">
        <v>348</v>
      </c>
      <c r="J3" t="s">
        <v>351</v>
      </c>
      <c r="K3" t="s">
        <v>12</v>
      </c>
      <c r="L3" t="s">
        <v>365</v>
      </c>
      <c r="M3">
        <f t="shared" ref="M3:M66" si="0">LEFT(D3,2)*1</f>
        <v>4</v>
      </c>
      <c r="N3">
        <f t="shared" ref="N3:N66" si="1">M3*C3</f>
        <v>0.22288428202284799</v>
      </c>
      <c r="O3">
        <f t="shared" ref="O3:O66" si="2">M3*E3*0.8/10000</f>
        <v>8.1650945616355511E-2</v>
      </c>
      <c r="Q3">
        <f>SUMIF($K$2:$K$482,"Setor Centro",$N$2:$N$482)</f>
        <v>70.299298728207518</v>
      </c>
      <c r="R3">
        <f>SUMIF($K$2:$K$482,"Setor Centro",$O$2:$O$482)</f>
        <v>11.60320883444993</v>
      </c>
      <c r="S3" s="2">
        <v>1</v>
      </c>
      <c r="T3" s="2"/>
      <c r="U3" s="3"/>
      <c r="V3" s="2"/>
      <c r="W3" s="3"/>
      <c r="X3" s="3"/>
    </row>
    <row r="4" spans="1:24">
      <c r="A4" t="s">
        <v>81</v>
      </c>
      <c r="B4" t="s">
        <v>344</v>
      </c>
      <c r="C4">
        <v>8.7165283253672995E-2</v>
      </c>
      <c r="D4" t="s">
        <v>345</v>
      </c>
      <c r="E4">
        <v>385.36135833329672</v>
      </c>
      <c r="F4" t="s">
        <v>245</v>
      </c>
      <c r="G4" t="s">
        <v>357</v>
      </c>
      <c r="H4" t="s">
        <v>351</v>
      </c>
      <c r="I4" t="s">
        <v>348</v>
      </c>
      <c r="J4" t="s">
        <v>351</v>
      </c>
      <c r="K4" t="s">
        <v>12</v>
      </c>
      <c r="L4" t="s">
        <v>365</v>
      </c>
      <c r="M4">
        <f t="shared" si="0"/>
        <v>4</v>
      </c>
      <c r="N4">
        <f t="shared" si="1"/>
        <v>0.34866113301469198</v>
      </c>
      <c r="O4">
        <f t="shared" si="2"/>
        <v>0.12331563466665496</v>
      </c>
      <c r="Q4">
        <f>SUMIF($K$2:$K$482,"Setor Ipê",$N$2:$N$482)</f>
        <v>67.323097005260237</v>
      </c>
      <c r="R4">
        <f>SUMIF($K$2:$K$482,"Setor Ipê",$O$2:$O$482)</f>
        <v>9.9920313158996237</v>
      </c>
      <c r="S4" s="4">
        <v>2</v>
      </c>
      <c r="T4" s="4"/>
      <c r="U4" s="5"/>
      <c r="V4" s="4"/>
      <c r="W4" s="5"/>
      <c r="X4" s="5"/>
    </row>
    <row r="5" spans="1:24">
      <c r="A5" t="s">
        <v>81</v>
      </c>
      <c r="B5" t="s">
        <v>344</v>
      </c>
      <c r="C5">
        <v>3.2855213686914998E-2</v>
      </c>
      <c r="D5" t="s">
        <v>345</v>
      </c>
      <c r="E5">
        <v>151.9301347063199</v>
      </c>
      <c r="F5" t="s">
        <v>245</v>
      </c>
      <c r="G5" t="s">
        <v>357</v>
      </c>
      <c r="H5" t="s">
        <v>351</v>
      </c>
      <c r="I5" t="s">
        <v>348</v>
      </c>
      <c r="J5" t="s">
        <v>351</v>
      </c>
      <c r="K5" t="s">
        <v>12</v>
      </c>
      <c r="L5" t="s">
        <v>365</v>
      </c>
      <c r="M5">
        <f t="shared" si="0"/>
        <v>4</v>
      </c>
      <c r="N5">
        <f t="shared" si="1"/>
        <v>0.13142085474765999</v>
      </c>
      <c r="O5">
        <f t="shared" si="2"/>
        <v>4.8617643106022373E-2</v>
      </c>
      <c r="Q5">
        <f>SUMIF($K$2:$K$482,"Setor Aeroporto",$N$2:$N$482)</f>
        <v>203.35490498159896</v>
      </c>
      <c r="R5">
        <f>SUMIF($K$2:$K$482,"Setor Aeroporto",$O$2:$O$482)</f>
        <v>6.6728223337454855</v>
      </c>
      <c r="S5" s="2">
        <v>3</v>
      </c>
      <c r="T5" s="2"/>
      <c r="U5" s="3"/>
      <c r="V5" s="2"/>
      <c r="W5" s="3"/>
      <c r="X5" s="3"/>
    </row>
    <row r="6" spans="1:24">
      <c r="A6" t="s">
        <v>81</v>
      </c>
      <c r="B6" t="s">
        <v>344</v>
      </c>
      <c r="C6">
        <v>1.0770493317698001E-2</v>
      </c>
      <c r="D6" t="s">
        <v>345</v>
      </c>
      <c r="E6">
        <v>77.990682212323449</v>
      </c>
      <c r="F6" t="s">
        <v>245</v>
      </c>
      <c r="G6" t="s">
        <v>357</v>
      </c>
      <c r="H6" t="s">
        <v>351</v>
      </c>
      <c r="I6" t="s">
        <v>348</v>
      </c>
      <c r="J6" t="s">
        <v>351</v>
      </c>
      <c r="K6" t="s">
        <v>12</v>
      </c>
      <c r="L6" t="s">
        <v>365</v>
      </c>
      <c r="M6">
        <f t="shared" si="0"/>
        <v>4</v>
      </c>
      <c r="N6">
        <f t="shared" si="1"/>
        <v>4.3081973270792003E-2</v>
      </c>
      <c r="O6">
        <f t="shared" si="2"/>
        <v>2.4957018307943505E-2</v>
      </c>
      <c r="Q6">
        <f>SUMIF($K$2:$K$482,"Setor Vilela",$N$2:$N$482)</f>
        <v>13.495778020036468</v>
      </c>
      <c r="R6">
        <f>SUMIF($K$2:$K$482,"Setor Vilela",$O$2:$O$482)</f>
        <v>2.3629698280007343</v>
      </c>
      <c r="S6" s="4">
        <v>4</v>
      </c>
      <c r="T6" s="4"/>
      <c r="U6" s="5"/>
      <c r="V6" s="4"/>
      <c r="W6" s="5"/>
      <c r="X6" s="5"/>
    </row>
    <row r="7" spans="1:24">
      <c r="A7" t="s">
        <v>81</v>
      </c>
      <c r="B7" t="s">
        <v>344</v>
      </c>
      <c r="C7">
        <v>7.3857016477620996E-2</v>
      </c>
      <c r="D7" t="s">
        <v>345</v>
      </c>
      <c r="E7">
        <v>313.86058066618062</v>
      </c>
      <c r="F7" t="s">
        <v>245</v>
      </c>
      <c r="G7" t="s">
        <v>357</v>
      </c>
      <c r="H7" t="s">
        <v>351</v>
      </c>
      <c r="I7" t="s">
        <v>348</v>
      </c>
      <c r="J7" t="s">
        <v>351</v>
      </c>
      <c r="K7" t="s">
        <v>12</v>
      </c>
      <c r="L7" t="s">
        <v>365</v>
      </c>
      <c r="M7">
        <f t="shared" si="0"/>
        <v>4</v>
      </c>
      <c r="N7">
        <f t="shared" si="1"/>
        <v>0.29542806591048398</v>
      </c>
      <c r="O7">
        <f t="shared" si="2"/>
        <v>0.1004353858131778</v>
      </c>
      <c r="Q7">
        <f>SUMIF($K$2:$K$482,"Setor Marambaia",$N$2:$N$482)</f>
        <v>17.448537549842371</v>
      </c>
      <c r="R7">
        <f>SUMIF($K$2:$K$482,"Setor Marambaia",$O$2:$O$482)</f>
        <v>2.6317641421113018</v>
      </c>
      <c r="S7" s="2">
        <v>5</v>
      </c>
      <c r="T7" s="2"/>
      <c r="U7" s="3"/>
      <c r="V7" s="2"/>
      <c r="W7" s="3"/>
      <c r="X7" s="3"/>
    </row>
    <row r="8" spans="1:24">
      <c r="A8" t="s">
        <v>81</v>
      </c>
      <c r="B8" t="s">
        <v>344</v>
      </c>
      <c r="C8">
        <v>9.9647177392250003E-3</v>
      </c>
      <c r="D8" t="s">
        <v>345</v>
      </c>
      <c r="E8">
        <v>35.386784686957029</v>
      </c>
      <c r="F8" t="s">
        <v>245</v>
      </c>
      <c r="G8" t="s">
        <v>357</v>
      </c>
      <c r="H8" t="s">
        <v>351</v>
      </c>
      <c r="I8" t="s">
        <v>348</v>
      </c>
      <c r="J8" t="s">
        <v>351</v>
      </c>
      <c r="K8" t="s">
        <v>12</v>
      </c>
      <c r="L8" t="s">
        <v>365</v>
      </c>
      <c r="M8">
        <f t="shared" si="0"/>
        <v>4</v>
      </c>
      <c r="N8">
        <f t="shared" si="1"/>
        <v>3.9858870956900001E-2</v>
      </c>
      <c r="O8">
        <f t="shared" si="2"/>
        <v>1.132377109982625E-2</v>
      </c>
      <c r="Q8">
        <f>SUMIF($K$2:$K$482,"DISTRITO SANGA PUITA",$N$2:$N$482)</f>
        <v>9.95968639008594</v>
      </c>
      <c r="R8">
        <f>SUMIF($K$2:$K$482,"DISTRITO SANGA PUITA",$O$2:$O$482)</f>
        <v>0.67413817774555329</v>
      </c>
      <c r="S8" s="4">
        <v>6</v>
      </c>
      <c r="T8" s="4"/>
      <c r="U8" s="5"/>
      <c r="V8" s="4"/>
      <c r="W8" s="5"/>
      <c r="X8" s="5"/>
    </row>
    <row r="9" spans="1:24">
      <c r="A9" t="s">
        <v>81</v>
      </c>
      <c r="B9" t="s">
        <v>344</v>
      </c>
      <c r="C9">
        <v>2.5112651107053002E-2</v>
      </c>
      <c r="D9" t="s">
        <v>345</v>
      </c>
      <c r="E9">
        <v>119.32456122639037</v>
      </c>
      <c r="F9" t="s">
        <v>245</v>
      </c>
      <c r="G9" t="s">
        <v>357</v>
      </c>
      <c r="H9" t="s">
        <v>351</v>
      </c>
      <c r="I9" t="s">
        <v>348</v>
      </c>
      <c r="J9" t="s">
        <v>351</v>
      </c>
      <c r="K9" t="s">
        <v>12</v>
      </c>
      <c r="L9" t="s">
        <v>365</v>
      </c>
      <c r="M9">
        <f t="shared" si="0"/>
        <v>4</v>
      </c>
      <c r="N9">
        <f t="shared" si="1"/>
        <v>0.10045060442821201</v>
      </c>
      <c r="O9">
        <f t="shared" si="2"/>
        <v>3.8183859592444927E-2</v>
      </c>
      <c r="S9" s="2">
        <v>7</v>
      </c>
      <c r="T9" s="2"/>
      <c r="U9" s="3"/>
      <c r="V9" s="2"/>
      <c r="W9" s="3"/>
      <c r="X9" s="3"/>
    </row>
    <row r="10" spans="1:24">
      <c r="A10" t="s">
        <v>81</v>
      </c>
      <c r="B10" t="s">
        <v>344</v>
      </c>
      <c r="C10">
        <v>6.2652557146159998E-2</v>
      </c>
      <c r="D10" t="s">
        <v>345</v>
      </c>
      <c r="E10">
        <v>247.79908457237283</v>
      </c>
      <c r="F10" t="s">
        <v>245</v>
      </c>
      <c r="G10" t="s">
        <v>357</v>
      </c>
      <c r="H10" t="s">
        <v>351</v>
      </c>
      <c r="I10" t="s">
        <v>348</v>
      </c>
      <c r="J10" t="s">
        <v>351</v>
      </c>
      <c r="K10" t="s">
        <v>12</v>
      </c>
      <c r="L10" t="s">
        <v>365</v>
      </c>
      <c r="M10">
        <f t="shared" si="0"/>
        <v>4</v>
      </c>
      <c r="N10">
        <f t="shared" si="1"/>
        <v>0.25061022858463999</v>
      </c>
      <c r="O10">
        <f t="shared" si="2"/>
        <v>7.9295707063159304E-2</v>
      </c>
      <c r="S10" s="4">
        <v>8</v>
      </c>
      <c r="T10" s="4"/>
      <c r="U10" s="5"/>
      <c r="V10" s="4"/>
      <c r="W10" s="5"/>
      <c r="X10" s="5"/>
    </row>
    <row r="11" spans="1:24">
      <c r="A11" t="s">
        <v>81</v>
      </c>
      <c r="B11" t="s">
        <v>344</v>
      </c>
      <c r="C11">
        <v>7.9244551119102002E-2</v>
      </c>
      <c r="D11" t="s">
        <v>345</v>
      </c>
      <c r="E11">
        <v>329.02610245683167</v>
      </c>
      <c r="F11" t="s">
        <v>245</v>
      </c>
      <c r="G11" t="s">
        <v>357</v>
      </c>
      <c r="H11" t="s">
        <v>351</v>
      </c>
      <c r="I11" t="s">
        <v>348</v>
      </c>
      <c r="J11" t="s">
        <v>351</v>
      </c>
      <c r="K11" t="s">
        <v>12</v>
      </c>
      <c r="L11" t="s">
        <v>365</v>
      </c>
      <c r="M11">
        <f t="shared" si="0"/>
        <v>4</v>
      </c>
      <c r="N11">
        <f t="shared" si="1"/>
        <v>0.31697820447640801</v>
      </c>
      <c r="O11">
        <f t="shared" si="2"/>
        <v>0.10528835278618615</v>
      </c>
      <c r="S11" s="2">
        <v>9</v>
      </c>
      <c r="T11" s="2"/>
      <c r="U11" s="3"/>
      <c r="V11" s="2"/>
      <c r="W11" s="3"/>
      <c r="X11" s="3"/>
    </row>
    <row r="12" spans="1:24">
      <c r="A12" t="s">
        <v>81</v>
      </c>
      <c r="B12" t="s">
        <v>344</v>
      </c>
      <c r="C12">
        <v>9.8559367080868002E-2</v>
      </c>
      <c r="D12" t="s">
        <v>345</v>
      </c>
      <c r="E12">
        <v>389.35928708910643</v>
      </c>
      <c r="F12" t="s">
        <v>245</v>
      </c>
      <c r="G12" t="s">
        <v>357</v>
      </c>
      <c r="H12" t="s">
        <v>351</v>
      </c>
      <c r="I12" t="s">
        <v>348</v>
      </c>
      <c r="J12" t="s">
        <v>351</v>
      </c>
      <c r="K12" t="s">
        <v>12</v>
      </c>
      <c r="L12" t="s">
        <v>365</v>
      </c>
      <c r="M12">
        <f t="shared" si="0"/>
        <v>4</v>
      </c>
      <c r="N12">
        <f t="shared" si="1"/>
        <v>0.39423746832347201</v>
      </c>
      <c r="O12">
        <f t="shared" si="2"/>
        <v>0.12459497186851407</v>
      </c>
      <c r="S12" s="4">
        <v>10</v>
      </c>
      <c r="T12" s="4"/>
      <c r="U12" s="5"/>
      <c r="V12" s="4"/>
      <c r="W12" s="5"/>
      <c r="X12" s="5"/>
    </row>
    <row r="13" spans="1:24">
      <c r="A13" t="s">
        <v>81</v>
      </c>
      <c r="B13" t="s">
        <v>344</v>
      </c>
      <c r="C13">
        <v>4.1217077045914999E-2</v>
      </c>
      <c r="D13" t="s">
        <v>345</v>
      </c>
      <c r="E13">
        <v>180.37885775204575</v>
      </c>
      <c r="F13" t="s">
        <v>245</v>
      </c>
      <c r="G13" t="s">
        <v>357</v>
      </c>
      <c r="H13" t="s">
        <v>351</v>
      </c>
      <c r="I13" t="s">
        <v>348</v>
      </c>
      <c r="J13" t="s">
        <v>351</v>
      </c>
      <c r="K13" t="s">
        <v>12</v>
      </c>
      <c r="L13" t="s">
        <v>365</v>
      </c>
      <c r="M13">
        <f t="shared" si="0"/>
        <v>4</v>
      </c>
      <c r="N13">
        <f t="shared" si="1"/>
        <v>0.16486830818366</v>
      </c>
      <c r="O13">
        <f t="shared" si="2"/>
        <v>5.7721234480654644E-2</v>
      </c>
      <c r="S13" s="2">
        <v>11</v>
      </c>
      <c r="T13" s="2"/>
      <c r="U13" s="3"/>
      <c r="V13" s="2"/>
      <c r="W13" s="3"/>
      <c r="X13" s="3"/>
    </row>
    <row r="14" spans="1:24">
      <c r="A14" t="s">
        <v>16</v>
      </c>
      <c r="B14" t="s">
        <v>344</v>
      </c>
      <c r="C14">
        <v>9.9287105100132E-2</v>
      </c>
      <c r="D14" t="s">
        <v>345</v>
      </c>
      <c r="E14">
        <v>376.73128840388068</v>
      </c>
      <c r="F14" t="s">
        <v>245</v>
      </c>
      <c r="G14" t="s">
        <v>357</v>
      </c>
      <c r="H14" t="s">
        <v>351</v>
      </c>
      <c r="I14" t="s">
        <v>348</v>
      </c>
      <c r="J14" t="s">
        <v>351</v>
      </c>
      <c r="K14" t="s">
        <v>12</v>
      </c>
      <c r="L14" t="s">
        <v>365</v>
      </c>
      <c r="M14">
        <f t="shared" si="0"/>
        <v>4</v>
      </c>
      <c r="N14">
        <f t="shared" si="1"/>
        <v>0.397148420400528</v>
      </c>
      <c r="O14">
        <f t="shared" si="2"/>
        <v>0.12055401228924181</v>
      </c>
      <c r="S14" s="4">
        <v>12</v>
      </c>
      <c r="T14" s="4"/>
      <c r="U14" s="5"/>
      <c r="V14" s="4"/>
      <c r="W14" s="5"/>
      <c r="X14" s="5"/>
    </row>
    <row r="15" spans="1:24">
      <c r="A15" t="s">
        <v>16</v>
      </c>
      <c r="B15" t="s">
        <v>344</v>
      </c>
      <c r="C15">
        <v>8.5463653907989993E-3</v>
      </c>
      <c r="D15" t="s">
        <v>345</v>
      </c>
      <c r="E15">
        <v>33.411761075645316</v>
      </c>
      <c r="F15" t="s">
        <v>245</v>
      </c>
      <c r="G15" t="s">
        <v>357</v>
      </c>
      <c r="H15" t="s">
        <v>351</v>
      </c>
      <c r="I15" t="s">
        <v>348</v>
      </c>
      <c r="J15" t="s">
        <v>351</v>
      </c>
      <c r="K15" t="s">
        <v>12</v>
      </c>
      <c r="L15" t="s">
        <v>365</v>
      </c>
      <c r="M15">
        <f t="shared" si="0"/>
        <v>4</v>
      </c>
      <c r="N15">
        <f t="shared" si="1"/>
        <v>3.4185461563195997E-2</v>
      </c>
      <c r="O15">
        <f t="shared" si="2"/>
        <v>1.0691763544206503E-2</v>
      </c>
      <c r="S15" s="2">
        <v>13</v>
      </c>
      <c r="T15" s="2"/>
      <c r="U15" s="3"/>
      <c r="V15" s="2"/>
      <c r="W15" s="3"/>
      <c r="X15" s="3"/>
    </row>
    <row r="16" spans="1:24">
      <c r="A16" t="s">
        <v>16</v>
      </c>
      <c r="B16" t="s">
        <v>344</v>
      </c>
      <c r="C16">
        <v>5.1093288912249998E-2</v>
      </c>
      <c r="D16" t="s">
        <v>345</v>
      </c>
      <c r="E16">
        <v>201.38160748831297</v>
      </c>
      <c r="F16" t="s">
        <v>245</v>
      </c>
      <c r="G16" t="s">
        <v>357</v>
      </c>
      <c r="H16" t="s">
        <v>351</v>
      </c>
      <c r="I16" t="s">
        <v>348</v>
      </c>
      <c r="J16" t="s">
        <v>351</v>
      </c>
      <c r="K16" t="s">
        <v>12</v>
      </c>
      <c r="L16" t="s">
        <v>365</v>
      </c>
      <c r="M16">
        <f t="shared" si="0"/>
        <v>4</v>
      </c>
      <c r="N16">
        <f t="shared" si="1"/>
        <v>0.20437315564899999</v>
      </c>
      <c r="O16">
        <f t="shared" si="2"/>
        <v>6.4442114396260144E-2</v>
      </c>
      <c r="S16" s="4">
        <v>14</v>
      </c>
      <c r="T16" s="4"/>
      <c r="U16" s="5"/>
      <c r="V16" s="4"/>
      <c r="W16" s="5"/>
      <c r="X16" s="5"/>
    </row>
    <row r="17" spans="1:25">
      <c r="A17" t="s">
        <v>16</v>
      </c>
      <c r="B17" t="s">
        <v>344</v>
      </c>
      <c r="C17">
        <v>4.4044642261404997E-2</v>
      </c>
      <c r="D17" t="s">
        <v>345</v>
      </c>
      <c r="E17">
        <v>170.05667653676818</v>
      </c>
      <c r="F17" t="s">
        <v>245</v>
      </c>
      <c r="G17" t="s">
        <v>357</v>
      </c>
      <c r="H17" t="s">
        <v>351</v>
      </c>
      <c r="I17" t="s">
        <v>348</v>
      </c>
      <c r="J17" t="s">
        <v>351</v>
      </c>
      <c r="K17" t="s">
        <v>12</v>
      </c>
      <c r="L17" t="s">
        <v>365</v>
      </c>
      <c r="M17">
        <f t="shared" si="0"/>
        <v>4</v>
      </c>
      <c r="N17">
        <f t="shared" si="1"/>
        <v>0.17617856904561999</v>
      </c>
      <c r="O17">
        <f t="shared" si="2"/>
        <v>5.4418136491765821E-2</v>
      </c>
      <c r="S17" s="6">
        <v>14</v>
      </c>
      <c r="T17" s="6"/>
      <c r="U17" s="7"/>
      <c r="V17" s="6"/>
      <c r="W17" s="7"/>
      <c r="X17" s="7"/>
    </row>
    <row r="18" spans="1:25">
      <c r="A18" t="s">
        <v>16</v>
      </c>
      <c r="B18" t="s">
        <v>344</v>
      </c>
      <c r="C18">
        <v>4.9426062873165998E-2</v>
      </c>
      <c r="D18" t="s">
        <v>345</v>
      </c>
      <c r="E18">
        <v>190.51924632368187</v>
      </c>
      <c r="F18" t="s">
        <v>245</v>
      </c>
      <c r="G18" t="s">
        <v>357</v>
      </c>
      <c r="H18" t="s">
        <v>351</v>
      </c>
      <c r="I18" t="s">
        <v>348</v>
      </c>
      <c r="J18" t="s">
        <v>351</v>
      </c>
      <c r="K18" t="s">
        <v>12</v>
      </c>
      <c r="L18" t="s">
        <v>365</v>
      </c>
      <c r="M18">
        <f t="shared" si="0"/>
        <v>4</v>
      </c>
      <c r="N18">
        <f t="shared" si="1"/>
        <v>0.19770425149266399</v>
      </c>
      <c r="O18">
        <f t="shared" si="2"/>
        <v>6.0966158823578198E-2</v>
      </c>
    </row>
    <row r="19" spans="1:25">
      <c r="A19" t="s">
        <v>16</v>
      </c>
      <c r="B19" t="s">
        <v>344</v>
      </c>
      <c r="C19">
        <v>4.2212039340446997E-2</v>
      </c>
      <c r="D19" t="s">
        <v>345</v>
      </c>
      <c r="E19">
        <v>173.91833748634764</v>
      </c>
      <c r="F19" t="s">
        <v>245</v>
      </c>
      <c r="G19" t="s">
        <v>357</v>
      </c>
      <c r="H19" t="s">
        <v>351</v>
      </c>
      <c r="I19" t="s">
        <v>348</v>
      </c>
      <c r="J19" t="s">
        <v>351</v>
      </c>
      <c r="K19" t="s">
        <v>12</v>
      </c>
      <c r="L19" t="s">
        <v>365</v>
      </c>
      <c r="M19">
        <f t="shared" si="0"/>
        <v>4</v>
      </c>
      <c r="N19">
        <f t="shared" si="1"/>
        <v>0.16884815736178799</v>
      </c>
      <c r="O19">
        <f t="shared" si="2"/>
        <v>5.565386799563124E-2</v>
      </c>
      <c r="S19" s="8" t="s">
        <v>231</v>
      </c>
      <c r="T19" s="9" t="s">
        <v>232</v>
      </c>
      <c r="U19" s="9" t="s">
        <v>233</v>
      </c>
      <c r="V19" s="9" t="s">
        <v>234</v>
      </c>
      <c r="W19" s="9" t="s">
        <v>235</v>
      </c>
      <c r="X19" s="9" t="s">
        <v>236</v>
      </c>
      <c r="Y19" s="9" t="s">
        <v>0</v>
      </c>
    </row>
    <row r="20" spans="1:25">
      <c r="A20" t="s">
        <v>16</v>
      </c>
      <c r="B20" t="s">
        <v>344</v>
      </c>
      <c r="C20">
        <v>6.3879767353629997E-3</v>
      </c>
      <c r="D20" t="s">
        <v>345</v>
      </c>
      <c r="E20">
        <v>29.341860029155697</v>
      </c>
      <c r="F20" t="s">
        <v>245</v>
      </c>
      <c r="G20" t="s">
        <v>357</v>
      </c>
      <c r="H20" t="s">
        <v>351</v>
      </c>
      <c r="I20" t="s">
        <v>348</v>
      </c>
      <c r="J20" t="s">
        <v>351</v>
      </c>
      <c r="K20" t="s">
        <v>12</v>
      </c>
      <c r="L20" t="s">
        <v>365</v>
      </c>
      <c r="M20">
        <f t="shared" si="0"/>
        <v>4</v>
      </c>
      <c r="N20">
        <f t="shared" si="1"/>
        <v>2.5551906941451999E-2</v>
      </c>
      <c r="O20">
        <f t="shared" si="2"/>
        <v>9.3893952093298243E-3</v>
      </c>
      <c r="S20" s="2">
        <v>1</v>
      </c>
      <c r="T20" s="10"/>
      <c r="U20" s="10"/>
      <c r="V20" s="10"/>
      <c r="W20" s="10"/>
      <c r="X20" s="10"/>
      <c r="Y20" s="11"/>
    </row>
    <row r="21" spans="1:25">
      <c r="A21" t="s">
        <v>16</v>
      </c>
      <c r="B21" t="s">
        <v>344</v>
      </c>
      <c r="C21">
        <v>9.0013588583632995E-2</v>
      </c>
      <c r="D21" t="s">
        <v>345</v>
      </c>
      <c r="E21">
        <v>386.0224602982579</v>
      </c>
      <c r="F21" t="s">
        <v>245</v>
      </c>
      <c r="G21" t="s">
        <v>357</v>
      </c>
      <c r="H21" t="s">
        <v>351</v>
      </c>
      <c r="I21" t="s">
        <v>348</v>
      </c>
      <c r="J21" t="s">
        <v>351</v>
      </c>
      <c r="K21" t="s">
        <v>12</v>
      </c>
      <c r="L21" t="s">
        <v>365</v>
      </c>
      <c r="M21">
        <f t="shared" si="0"/>
        <v>4</v>
      </c>
      <c r="N21">
        <f t="shared" si="1"/>
        <v>0.36005435433453198</v>
      </c>
      <c r="O21">
        <f t="shared" si="2"/>
        <v>0.12352718729544254</v>
      </c>
      <c r="S21" s="4">
        <v>2</v>
      </c>
      <c r="T21" s="12"/>
      <c r="U21" s="12"/>
      <c r="V21" s="12"/>
      <c r="W21" s="12"/>
      <c r="X21" s="12"/>
      <c r="Y21" s="12"/>
    </row>
    <row r="22" spans="1:25">
      <c r="A22" t="s">
        <v>16</v>
      </c>
      <c r="B22" t="s">
        <v>344</v>
      </c>
      <c r="C22">
        <v>3.7844787730264999E-2</v>
      </c>
      <c r="D22" t="s">
        <v>345</v>
      </c>
      <c r="E22">
        <v>175.26090024592492</v>
      </c>
      <c r="F22" t="s">
        <v>245</v>
      </c>
      <c r="G22" t="s">
        <v>357</v>
      </c>
      <c r="H22" t="s">
        <v>351</v>
      </c>
      <c r="I22" t="s">
        <v>348</v>
      </c>
      <c r="J22" t="s">
        <v>351</v>
      </c>
      <c r="K22" t="s">
        <v>12</v>
      </c>
      <c r="L22" t="s">
        <v>365</v>
      </c>
      <c r="M22">
        <f t="shared" si="0"/>
        <v>4</v>
      </c>
      <c r="N22">
        <f t="shared" si="1"/>
        <v>0.15137915092106</v>
      </c>
      <c r="O22">
        <f t="shared" si="2"/>
        <v>5.6083488078695974E-2</v>
      </c>
      <c r="S22" s="2">
        <v>3</v>
      </c>
      <c r="T22" s="10"/>
      <c r="U22" s="10"/>
      <c r="V22" s="10"/>
      <c r="W22" s="10"/>
      <c r="X22" s="10"/>
      <c r="Y22" s="10"/>
    </row>
    <row r="23" spans="1:25">
      <c r="A23" t="s">
        <v>16</v>
      </c>
      <c r="B23" t="s">
        <v>344</v>
      </c>
      <c r="C23">
        <v>4.6216701008307E-2</v>
      </c>
      <c r="D23" t="s">
        <v>345</v>
      </c>
      <c r="E23">
        <v>185.87471402904157</v>
      </c>
      <c r="F23" t="s">
        <v>245</v>
      </c>
      <c r="G23" t="s">
        <v>357</v>
      </c>
      <c r="H23" t="s">
        <v>351</v>
      </c>
      <c r="I23" t="s">
        <v>348</v>
      </c>
      <c r="J23" t="s">
        <v>351</v>
      </c>
      <c r="K23" t="s">
        <v>12</v>
      </c>
      <c r="L23" t="s">
        <v>365</v>
      </c>
      <c r="M23">
        <f t="shared" si="0"/>
        <v>4</v>
      </c>
      <c r="N23">
        <f t="shared" si="1"/>
        <v>0.184866804033228</v>
      </c>
      <c r="O23">
        <f t="shared" si="2"/>
        <v>5.9479908489293305E-2</v>
      </c>
      <c r="S23" s="4">
        <v>4</v>
      </c>
      <c r="T23" s="12"/>
      <c r="U23" s="12"/>
      <c r="V23" s="12"/>
      <c r="W23" s="12"/>
      <c r="X23" s="12"/>
      <c r="Y23" s="12"/>
    </row>
    <row r="24" spans="1:25">
      <c r="A24" t="s">
        <v>16</v>
      </c>
      <c r="B24" t="s">
        <v>344</v>
      </c>
      <c r="C24">
        <v>3.4466386807536997E-2</v>
      </c>
      <c r="D24" t="s">
        <v>345</v>
      </c>
      <c r="E24">
        <v>127.30019401330512</v>
      </c>
      <c r="F24" t="s">
        <v>245</v>
      </c>
      <c r="G24" t="s">
        <v>357</v>
      </c>
      <c r="H24" t="s">
        <v>352</v>
      </c>
      <c r="I24" t="s">
        <v>348</v>
      </c>
      <c r="J24" t="s">
        <v>352</v>
      </c>
      <c r="K24" t="s">
        <v>18</v>
      </c>
      <c r="L24" t="s">
        <v>365</v>
      </c>
      <c r="M24">
        <f t="shared" si="0"/>
        <v>4</v>
      </c>
      <c r="N24">
        <f t="shared" si="1"/>
        <v>0.13786554723014799</v>
      </c>
      <c r="O24">
        <f t="shared" si="2"/>
        <v>4.0736062084257639E-2</v>
      </c>
      <c r="S24" s="2">
        <v>5</v>
      </c>
      <c r="T24" s="10"/>
      <c r="U24" s="10"/>
      <c r="V24" s="10"/>
      <c r="W24" s="10"/>
      <c r="X24" s="10"/>
      <c r="Y24" s="10"/>
    </row>
    <row r="25" spans="1:25">
      <c r="A25" t="s">
        <v>16</v>
      </c>
      <c r="B25" t="s">
        <v>344</v>
      </c>
      <c r="C25">
        <v>3.4574483384725997E-2</v>
      </c>
      <c r="D25" t="s">
        <v>345</v>
      </c>
      <c r="E25">
        <v>172.12034192815895</v>
      </c>
      <c r="F25" t="s">
        <v>245</v>
      </c>
      <c r="G25" t="s">
        <v>357</v>
      </c>
      <c r="H25" t="s">
        <v>352</v>
      </c>
      <c r="I25" t="s">
        <v>348</v>
      </c>
      <c r="J25" t="s">
        <v>352</v>
      </c>
      <c r="K25" t="s">
        <v>18</v>
      </c>
      <c r="L25" t="s">
        <v>365</v>
      </c>
      <c r="M25">
        <f t="shared" si="0"/>
        <v>4</v>
      </c>
      <c r="N25">
        <f t="shared" si="1"/>
        <v>0.13829793353890399</v>
      </c>
      <c r="O25">
        <f t="shared" si="2"/>
        <v>5.5078509417010868E-2</v>
      </c>
      <c r="S25" s="4">
        <v>6</v>
      </c>
      <c r="T25" s="12"/>
      <c r="U25" s="12"/>
      <c r="V25" s="12"/>
      <c r="W25" s="12"/>
      <c r="X25" s="12"/>
      <c r="Y25" s="12"/>
    </row>
    <row r="26" spans="1:25">
      <c r="A26" t="s">
        <v>16</v>
      </c>
      <c r="B26" t="s">
        <v>344</v>
      </c>
      <c r="C26">
        <v>3.3461428399702002E-2</v>
      </c>
      <c r="D26" t="s">
        <v>345</v>
      </c>
      <c r="E26">
        <v>178.63845526678156</v>
      </c>
      <c r="F26" t="s">
        <v>245</v>
      </c>
      <c r="G26" t="s">
        <v>357</v>
      </c>
      <c r="H26" t="s">
        <v>352</v>
      </c>
      <c r="I26" t="s">
        <v>348</v>
      </c>
      <c r="J26" t="s">
        <v>352</v>
      </c>
      <c r="K26" t="s">
        <v>18</v>
      </c>
      <c r="L26" t="s">
        <v>365</v>
      </c>
      <c r="M26">
        <f t="shared" si="0"/>
        <v>4</v>
      </c>
      <c r="N26">
        <f t="shared" si="1"/>
        <v>0.13384571359880801</v>
      </c>
      <c r="O26">
        <f t="shared" si="2"/>
        <v>5.7164305685370106E-2</v>
      </c>
      <c r="S26" s="2">
        <v>7</v>
      </c>
      <c r="T26" s="10"/>
      <c r="U26" s="10"/>
      <c r="V26" s="10"/>
      <c r="W26" s="10"/>
      <c r="X26" s="10"/>
      <c r="Y26" s="10"/>
    </row>
    <row r="27" spans="1:25">
      <c r="A27" t="s">
        <v>16</v>
      </c>
      <c r="B27" t="s">
        <v>344</v>
      </c>
      <c r="C27">
        <v>3.0772239225351002E-2</v>
      </c>
      <c r="D27" t="s">
        <v>345</v>
      </c>
      <c r="E27">
        <v>168.46272022207444</v>
      </c>
      <c r="F27" t="s">
        <v>245</v>
      </c>
      <c r="G27" t="s">
        <v>357</v>
      </c>
      <c r="H27" t="s">
        <v>352</v>
      </c>
      <c r="I27" t="s">
        <v>348</v>
      </c>
      <c r="J27" t="s">
        <v>352</v>
      </c>
      <c r="K27" t="s">
        <v>18</v>
      </c>
      <c r="L27" t="s">
        <v>365</v>
      </c>
      <c r="M27">
        <f t="shared" si="0"/>
        <v>4</v>
      </c>
      <c r="N27">
        <f t="shared" si="1"/>
        <v>0.12308895690140401</v>
      </c>
      <c r="O27">
        <f t="shared" si="2"/>
        <v>5.3908070471063822E-2</v>
      </c>
      <c r="S27" s="4">
        <v>8</v>
      </c>
      <c r="T27" s="12"/>
      <c r="U27" s="12"/>
      <c r="V27" s="12"/>
      <c r="W27" s="12"/>
      <c r="X27" s="12"/>
      <c r="Y27" s="12"/>
    </row>
    <row r="28" spans="1:25">
      <c r="A28" t="s">
        <v>16</v>
      </c>
      <c r="B28" t="s">
        <v>344</v>
      </c>
      <c r="C28">
        <v>3.6110372463036999E-2</v>
      </c>
      <c r="D28" t="s">
        <v>345</v>
      </c>
      <c r="E28">
        <v>164.62711742866747</v>
      </c>
      <c r="F28" t="s">
        <v>245</v>
      </c>
      <c r="G28" t="s">
        <v>357</v>
      </c>
      <c r="H28" t="s">
        <v>352</v>
      </c>
      <c r="I28" t="s">
        <v>348</v>
      </c>
      <c r="J28" t="s">
        <v>352</v>
      </c>
      <c r="K28" t="s">
        <v>18</v>
      </c>
      <c r="L28" t="s">
        <v>365</v>
      </c>
      <c r="M28">
        <f t="shared" si="0"/>
        <v>4</v>
      </c>
      <c r="N28">
        <f t="shared" si="1"/>
        <v>0.144441489852148</v>
      </c>
      <c r="O28">
        <f t="shared" si="2"/>
        <v>5.2680677577173596E-2</v>
      </c>
      <c r="S28" s="2">
        <v>9</v>
      </c>
      <c r="T28" s="10"/>
      <c r="U28" s="10"/>
      <c r="V28" s="10"/>
      <c r="W28" s="10"/>
      <c r="X28" s="10"/>
      <c r="Y28" s="10"/>
    </row>
    <row r="29" spans="1:25">
      <c r="A29" t="s">
        <v>16</v>
      </c>
      <c r="B29" t="s">
        <v>344</v>
      </c>
      <c r="C29">
        <v>3.5812411605744998E-2</v>
      </c>
      <c r="D29" t="s">
        <v>345</v>
      </c>
      <c r="E29">
        <v>154.80929165043182</v>
      </c>
      <c r="F29" t="s">
        <v>245</v>
      </c>
      <c r="G29" t="s">
        <v>357</v>
      </c>
      <c r="H29" t="s">
        <v>352</v>
      </c>
      <c r="I29" t="s">
        <v>348</v>
      </c>
      <c r="J29" t="s">
        <v>352</v>
      </c>
      <c r="K29" t="s">
        <v>18</v>
      </c>
      <c r="L29" t="s">
        <v>365</v>
      </c>
      <c r="M29">
        <f t="shared" si="0"/>
        <v>4</v>
      </c>
      <c r="N29">
        <f t="shared" si="1"/>
        <v>0.14324964642297999</v>
      </c>
      <c r="O29">
        <f t="shared" si="2"/>
        <v>4.9538973328138183E-2</v>
      </c>
      <c r="S29" s="4">
        <v>10</v>
      </c>
      <c r="T29" s="12"/>
      <c r="U29" s="12"/>
      <c r="V29" s="12"/>
      <c r="W29" s="12"/>
      <c r="X29" s="12"/>
      <c r="Y29" s="12"/>
    </row>
    <row r="30" spans="1:25">
      <c r="A30" t="s">
        <v>16</v>
      </c>
      <c r="B30" t="s">
        <v>344</v>
      </c>
      <c r="C30">
        <v>2.8039243251299001E-2</v>
      </c>
      <c r="D30" t="s">
        <v>345</v>
      </c>
      <c r="E30">
        <v>156.33594221744741</v>
      </c>
      <c r="F30" t="s">
        <v>245</v>
      </c>
      <c r="G30" t="s">
        <v>357</v>
      </c>
      <c r="H30" t="s">
        <v>351</v>
      </c>
      <c r="I30" t="s">
        <v>348</v>
      </c>
      <c r="J30" t="s">
        <v>351</v>
      </c>
      <c r="K30" t="s">
        <v>12</v>
      </c>
      <c r="L30" t="s">
        <v>365</v>
      </c>
      <c r="M30">
        <f t="shared" si="0"/>
        <v>4</v>
      </c>
      <c r="N30">
        <f t="shared" si="1"/>
        <v>0.112156973005196</v>
      </c>
      <c r="O30">
        <f t="shared" si="2"/>
        <v>5.0027501509583176E-2</v>
      </c>
      <c r="S30" s="2">
        <v>11</v>
      </c>
      <c r="T30" s="10"/>
      <c r="U30" s="10"/>
      <c r="V30" s="10"/>
      <c r="W30" s="10"/>
      <c r="X30" s="10"/>
      <c r="Y30" s="10"/>
    </row>
    <row r="31" spans="1:25">
      <c r="A31" t="s">
        <v>16</v>
      </c>
      <c r="B31" t="s">
        <v>344</v>
      </c>
      <c r="C31">
        <v>3.3962999319148E-2</v>
      </c>
      <c r="D31" t="s">
        <v>345</v>
      </c>
      <c r="E31">
        <v>181.67430305745881</v>
      </c>
      <c r="F31" t="s">
        <v>245</v>
      </c>
      <c r="G31" t="s">
        <v>357</v>
      </c>
      <c r="H31" t="s">
        <v>351</v>
      </c>
      <c r="I31" t="s">
        <v>348</v>
      </c>
      <c r="J31" t="s">
        <v>351</v>
      </c>
      <c r="K31" t="s">
        <v>12</v>
      </c>
      <c r="L31" t="s">
        <v>365</v>
      </c>
      <c r="M31">
        <f t="shared" si="0"/>
        <v>4</v>
      </c>
      <c r="N31">
        <f t="shared" si="1"/>
        <v>0.135851997276592</v>
      </c>
      <c r="O31">
        <f t="shared" si="2"/>
        <v>5.8135776978386823E-2</v>
      </c>
      <c r="S31" s="4">
        <v>12</v>
      </c>
      <c r="T31" s="12"/>
      <c r="U31" s="12"/>
      <c r="V31" s="12"/>
      <c r="W31" s="12"/>
      <c r="X31" s="12"/>
      <c r="Y31" s="12"/>
    </row>
    <row r="32" spans="1:25">
      <c r="A32" t="s">
        <v>16</v>
      </c>
      <c r="B32" t="s">
        <v>344</v>
      </c>
      <c r="C32">
        <v>3.1898836402747002E-2</v>
      </c>
      <c r="D32" t="s">
        <v>345</v>
      </c>
      <c r="E32">
        <v>157.44890183038677</v>
      </c>
      <c r="F32" t="s">
        <v>245</v>
      </c>
      <c r="G32" t="s">
        <v>357</v>
      </c>
      <c r="H32" t="s">
        <v>351</v>
      </c>
      <c r="I32" t="s">
        <v>348</v>
      </c>
      <c r="J32" t="s">
        <v>351</v>
      </c>
      <c r="K32" t="s">
        <v>12</v>
      </c>
      <c r="L32" t="s">
        <v>365</v>
      </c>
      <c r="M32">
        <f t="shared" si="0"/>
        <v>4</v>
      </c>
      <c r="N32">
        <f t="shared" si="1"/>
        <v>0.12759534561098801</v>
      </c>
      <c r="O32">
        <f t="shared" si="2"/>
        <v>5.0383648585723764E-2</v>
      </c>
      <c r="S32" s="2">
        <v>13</v>
      </c>
      <c r="T32" s="10"/>
      <c r="U32" s="10"/>
      <c r="V32" s="10"/>
      <c r="W32" s="10"/>
      <c r="X32" s="10"/>
      <c r="Y32" s="10"/>
    </row>
    <row r="33" spans="1:25">
      <c r="A33" t="s">
        <v>16</v>
      </c>
      <c r="B33" t="s">
        <v>344</v>
      </c>
      <c r="C33">
        <v>3.2039072859214E-2</v>
      </c>
      <c r="D33" t="s">
        <v>345</v>
      </c>
      <c r="E33">
        <v>174.58855556118442</v>
      </c>
      <c r="F33" t="s">
        <v>245</v>
      </c>
      <c r="G33" t="s">
        <v>357</v>
      </c>
      <c r="H33" t="s">
        <v>351</v>
      </c>
      <c r="I33" t="s">
        <v>348</v>
      </c>
      <c r="J33" t="s">
        <v>351</v>
      </c>
      <c r="K33" t="s">
        <v>12</v>
      </c>
      <c r="L33" t="s">
        <v>365</v>
      </c>
      <c r="M33">
        <f t="shared" si="0"/>
        <v>4</v>
      </c>
      <c r="N33">
        <f t="shared" si="1"/>
        <v>0.128156291436856</v>
      </c>
      <c r="O33">
        <f t="shared" si="2"/>
        <v>5.5868337779579016E-2</v>
      </c>
      <c r="S33" s="4">
        <v>14</v>
      </c>
      <c r="T33" s="12"/>
      <c r="U33" s="12"/>
      <c r="V33" s="12"/>
      <c r="W33" s="12"/>
      <c r="X33" s="12"/>
      <c r="Y33" s="12"/>
    </row>
    <row r="34" spans="1:25">
      <c r="A34" t="s">
        <v>16</v>
      </c>
      <c r="B34" t="s">
        <v>344</v>
      </c>
      <c r="C34">
        <v>2.7868072025885E-2</v>
      </c>
      <c r="D34" t="s">
        <v>345</v>
      </c>
      <c r="E34">
        <v>175.14437482109651</v>
      </c>
      <c r="F34" t="s">
        <v>245</v>
      </c>
      <c r="G34" t="s">
        <v>357</v>
      </c>
      <c r="H34" t="s">
        <v>351</v>
      </c>
      <c r="I34" t="s">
        <v>348</v>
      </c>
      <c r="J34" t="s">
        <v>351</v>
      </c>
      <c r="K34" t="s">
        <v>12</v>
      </c>
      <c r="L34" t="s">
        <v>365</v>
      </c>
      <c r="M34">
        <f t="shared" si="0"/>
        <v>4</v>
      </c>
      <c r="N34">
        <f t="shared" si="1"/>
        <v>0.11147228810354</v>
      </c>
      <c r="O34">
        <f t="shared" si="2"/>
        <v>5.6046199942750889E-2</v>
      </c>
    </row>
    <row r="35" spans="1:25">
      <c r="A35" t="s">
        <v>198</v>
      </c>
      <c r="B35" t="s">
        <v>344</v>
      </c>
      <c r="C35">
        <v>9.2407892302704006E-2</v>
      </c>
      <c r="D35" t="s">
        <v>345</v>
      </c>
      <c r="E35">
        <v>523.93051403941763</v>
      </c>
      <c r="F35" t="s">
        <v>245</v>
      </c>
      <c r="G35" t="s">
        <v>357</v>
      </c>
      <c r="H35" t="s">
        <v>347</v>
      </c>
      <c r="I35" t="s">
        <v>348</v>
      </c>
      <c r="J35" t="s">
        <v>347</v>
      </c>
      <c r="K35" t="s">
        <v>61</v>
      </c>
      <c r="L35" t="s">
        <v>365</v>
      </c>
      <c r="M35">
        <f t="shared" si="0"/>
        <v>4</v>
      </c>
      <c r="N35">
        <f t="shared" si="1"/>
        <v>0.36963156921081602</v>
      </c>
      <c r="O35">
        <f t="shared" si="2"/>
        <v>0.16765776449261366</v>
      </c>
      <c r="S35" s="8" t="s">
        <v>231</v>
      </c>
      <c r="T35" s="9" t="s">
        <v>232</v>
      </c>
      <c r="U35" s="9" t="s">
        <v>233</v>
      </c>
      <c r="V35" s="9" t="s">
        <v>234</v>
      </c>
      <c r="W35" s="9" t="s">
        <v>235</v>
      </c>
      <c r="X35" s="9" t="s">
        <v>236</v>
      </c>
      <c r="Y35" s="9" t="s">
        <v>0</v>
      </c>
    </row>
    <row r="36" spans="1:25">
      <c r="A36" t="s">
        <v>366</v>
      </c>
      <c r="B36" t="s">
        <v>344</v>
      </c>
      <c r="C36">
        <v>0.17211686291297601</v>
      </c>
      <c r="D36" t="s">
        <v>345</v>
      </c>
      <c r="E36">
        <v>199.34490526059278</v>
      </c>
      <c r="F36" t="s">
        <v>245</v>
      </c>
      <c r="G36" t="s">
        <v>346</v>
      </c>
      <c r="H36" t="s">
        <v>351</v>
      </c>
      <c r="I36" t="s">
        <v>348</v>
      </c>
      <c r="J36" t="s">
        <v>351</v>
      </c>
      <c r="K36" t="s">
        <v>12</v>
      </c>
      <c r="L36" t="s">
        <v>365</v>
      </c>
      <c r="M36">
        <f t="shared" si="0"/>
        <v>4</v>
      </c>
      <c r="N36">
        <f t="shared" si="1"/>
        <v>0.68846745165190404</v>
      </c>
      <c r="O36">
        <f t="shared" si="2"/>
        <v>6.3790369683389692E-2</v>
      </c>
      <c r="S36" s="13">
        <v>1</v>
      </c>
      <c r="T36" s="14"/>
      <c r="U36" s="14"/>
      <c r="V36" s="14"/>
      <c r="W36" s="14"/>
      <c r="X36" s="14"/>
      <c r="Y36" s="14"/>
    </row>
    <row r="37" spans="1:25">
      <c r="A37" t="s">
        <v>366</v>
      </c>
      <c r="B37" t="s">
        <v>344</v>
      </c>
      <c r="C37">
        <v>0.16912783112847399</v>
      </c>
      <c r="D37" t="s">
        <v>345</v>
      </c>
      <c r="E37">
        <v>197.97365495560646</v>
      </c>
      <c r="F37" t="s">
        <v>245</v>
      </c>
      <c r="G37" t="s">
        <v>346</v>
      </c>
      <c r="H37" t="s">
        <v>351</v>
      </c>
      <c r="I37" t="s">
        <v>348</v>
      </c>
      <c r="J37" t="s">
        <v>351</v>
      </c>
      <c r="K37" t="s">
        <v>12</v>
      </c>
      <c r="L37" t="s">
        <v>365</v>
      </c>
      <c r="M37">
        <f t="shared" si="0"/>
        <v>4</v>
      </c>
      <c r="N37">
        <f t="shared" si="1"/>
        <v>0.67651132451389595</v>
      </c>
      <c r="O37">
        <f t="shared" si="2"/>
        <v>6.3351569585794076E-2</v>
      </c>
      <c r="S37" s="15">
        <v>2</v>
      </c>
      <c r="T37" s="16"/>
      <c r="U37" s="16"/>
      <c r="V37" s="16"/>
      <c r="W37" s="16"/>
      <c r="X37" s="16"/>
      <c r="Y37" s="16"/>
    </row>
    <row r="38" spans="1:25">
      <c r="A38" t="s">
        <v>366</v>
      </c>
      <c r="B38" t="s">
        <v>344</v>
      </c>
      <c r="C38">
        <v>0.15165685618529001</v>
      </c>
      <c r="D38" t="s">
        <v>345</v>
      </c>
      <c r="E38">
        <v>190.20112182188876</v>
      </c>
      <c r="F38" t="s">
        <v>245</v>
      </c>
      <c r="G38" t="s">
        <v>346</v>
      </c>
      <c r="H38" t="s">
        <v>351</v>
      </c>
      <c r="I38" t="s">
        <v>348</v>
      </c>
      <c r="J38" t="s">
        <v>351</v>
      </c>
      <c r="K38" t="s">
        <v>12</v>
      </c>
      <c r="L38" t="s">
        <v>365</v>
      </c>
      <c r="M38">
        <f t="shared" si="0"/>
        <v>4</v>
      </c>
      <c r="N38">
        <f t="shared" si="1"/>
        <v>0.60662742474116005</v>
      </c>
      <c r="O38">
        <f t="shared" si="2"/>
        <v>6.0864358983004407E-2</v>
      </c>
      <c r="S38" s="13">
        <v>3</v>
      </c>
      <c r="T38" s="14"/>
      <c r="U38" s="14"/>
      <c r="V38" s="14"/>
      <c r="W38" s="14"/>
      <c r="X38" s="14"/>
      <c r="Y38" s="14"/>
    </row>
    <row r="39" spans="1:25">
      <c r="A39" t="s">
        <v>204</v>
      </c>
      <c r="B39" t="s">
        <v>344</v>
      </c>
      <c r="C39">
        <v>4.3095822357263003E-2</v>
      </c>
      <c r="D39" t="s">
        <v>345</v>
      </c>
      <c r="E39">
        <v>160.42072356520839</v>
      </c>
      <c r="F39" t="s">
        <v>245</v>
      </c>
      <c r="G39" t="s">
        <v>357</v>
      </c>
      <c r="H39" t="s">
        <v>347</v>
      </c>
      <c r="I39" t="s">
        <v>348</v>
      </c>
      <c r="J39" t="s">
        <v>347</v>
      </c>
      <c r="K39" t="s">
        <v>61</v>
      </c>
      <c r="L39" t="s">
        <v>365</v>
      </c>
      <c r="M39">
        <f t="shared" si="0"/>
        <v>4</v>
      </c>
      <c r="N39">
        <f t="shared" si="1"/>
        <v>0.17238328942905201</v>
      </c>
      <c r="O39">
        <f t="shared" si="2"/>
        <v>5.133463154086669E-2</v>
      </c>
      <c r="S39" s="15">
        <v>4</v>
      </c>
      <c r="T39" s="16"/>
      <c r="U39" s="16"/>
      <c r="V39" s="16"/>
      <c r="W39" s="16"/>
      <c r="X39" s="16"/>
      <c r="Y39" s="16"/>
    </row>
    <row r="40" spans="1:25">
      <c r="A40" t="s">
        <v>204</v>
      </c>
      <c r="B40" t="s">
        <v>344</v>
      </c>
      <c r="C40">
        <v>6.4479629247263998E-2</v>
      </c>
      <c r="D40" t="s">
        <v>345</v>
      </c>
      <c r="E40">
        <v>184.22038256744784</v>
      </c>
      <c r="F40" t="s">
        <v>245</v>
      </c>
      <c r="G40" t="s">
        <v>357</v>
      </c>
      <c r="H40" t="s">
        <v>347</v>
      </c>
      <c r="I40" t="s">
        <v>348</v>
      </c>
      <c r="J40" t="s">
        <v>347</v>
      </c>
      <c r="K40" t="s">
        <v>61</v>
      </c>
      <c r="L40" t="s">
        <v>365</v>
      </c>
      <c r="M40">
        <f t="shared" si="0"/>
        <v>4</v>
      </c>
      <c r="N40">
        <f t="shared" si="1"/>
        <v>0.25791851698905599</v>
      </c>
      <c r="O40">
        <f t="shared" si="2"/>
        <v>5.8950522421583308E-2</v>
      </c>
      <c r="S40" s="13">
        <v>5</v>
      </c>
      <c r="T40" s="14"/>
      <c r="U40" s="14"/>
      <c r="V40" s="14"/>
      <c r="W40" s="14"/>
      <c r="X40" s="14"/>
      <c r="Y40" s="14"/>
    </row>
    <row r="41" spans="1:25">
      <c r="A41" t="s">
        <v>204</v>
      </c>
      <c r="B41" t="s">
        <v>344</v>
      </c>
      <c r="C41">
        <v>0.32788435475167599</v>
      </c>
      <c r="D41" t="s">
        <v>345</v>
      </c>
      <c r="E41">
        <v>577.94785472018839</v>
      </c>
      <c r="F41" t="s">
        <v>245</v>
      </c>
      <c r="G41" t="s">
        <v>357</v>
      </c>
      <c r="H41" t="s">
        <v>347</v>
      </c>
      <c r="I41" t="s">
        <v>348</v>
      </c>
      <c r="J41" t="s">
        <v>347</v>
      </c>
      <c r="K41" t="s">
        <v>61</v>
      </c>
      <c r="L41" t="s">
        <v>365</v>
      </c>
      <c r="M41">
        <f t="shared" si="0"/>
        <v>4</v>
      </c>
      <c r="N41">
        <f t="shared" si="1"/>
        <v>1.311537419006704</v>
      </c>
      <c r="O41">
        <f t="shared" si="2"/>
        <v>0.18494331351046031</v>
      </c>
      <c r="S41" s="15">
        <v>6</v>
      </c>
      <c r="T41" s="16"/>
      <c r="U41" s="16"/>
      <c r="V41" s="16"/>
      <c r="W41" s="16"/>
      <c r="X41" s="16"/>
      <c r="Y41" s="16"/>
    </row>
    <row r="42" spans="1:25">
      <c r="A42" t="s">
        <v>204</v>
      </c>
      <c r="B42" t="s">
        <v>344</v>
      </c>
      <c r="C42">
        <v>2.6635124767296001E-2</v>
      </c>
      <c r="D42" t="s">
        <v>345</v>
      </c>
      <c r="E42">
        <v>96.734170839729074</v>
      </c>
      <c r="F42" t="s">
        <v>245</v>
      </c>
      <c r="G42" t="s">
        <v>357</v>
      </c>
      <c r="H42" t="s">
        <v>347</v>
      </c>
      <c r="I42" t="s">
        <v>348</v>
      </c>
      <c r="J42" t="s">
        <v>347</v>
      </c>
      <c r="K42" t="s">
        <v>61</v>
      </c>
      <c r="L42" t="s">
        <v>365</v>
      </c>
      <c r="M42">
        <f t="shared" si="0"/>
        <v>4</v>
      </c>
      <c r="N42">
        <f t="shared" si="1"/>
        <v>0.106540499069184</v>
      </c>
      <c r="O42">
        <f t="shared" si="2"/>
        <v>3.0954934668713303E-2</v>
      </c>
      <c r="S42" s="13">
        <v>7</v>
      </c>
      <c r="T42" s="14"/>
      <c r="U42" s="14"/>
      <c r="V42" s="14"/>
      <c r="W42" s="14"/>
      <c r="X42" s="14"/>
      <c r="Y42" s="14"/>
    </row>
    <row r="43" spans="1:25">
      <c r="A43" t="s">
        <v>204</v>
      </c>
      <c r="B43" t="s">
        <v>344</v>
      </c>
      <c r="C43">
        <v>1.5277940137301001E-2</v>
      </c>
      <c r="D43" t="s">
        <v>345</v>
      </c>
      <c r="E43">
        <v>73.336436720585539</v>
      </c>
      <c r="F43" t="s">
        <v>245</v>
      </c>
      <c r="G43" t="s">
        <v>357</v>
      </c>
      <c r="H43" t="s">
        <v>347</v>
      </c>
      <c r="I43" t="s">
        <v>348</v>
      </c>
      <c r="J43" t="s">
        <v>347</v>
      </c>
      <c r="K43" t="s">
        <v>61</v>
      </c>
      <c r="L43" t="s">
        <v>365</v>
      </c>
      <c r="M43">
        <f t="shared" si="0"/>
        <v>4</v>
      </c>
      <c r="N43">
        <f t="shared" si="1"/>
        <v>6.1111760549204003E-2</v>
      </c>
      <c r="O43">
        <f t="shared" si="2"/>
        <v>2.3467659750587372E-2</v>
      </c>
      <c r="S43" s="15">
        <v>8</v>
      </c>
      <c r="T43" s="16"/>
      <c r="U43" s="16"/>
      <c r="V43" s="16"/>
      <c r="W43" s="16"/>
      <c r="X43" s="16"/>
      <c r="Y43" s="16"/>
    </row>
    <row r="44" spans="1:25">
      <c r="A44" t="s">
        <v>204</v>
      </c>
      <c r="B44" t="s">
        <v>344</v>
      </c>
      <c r="C44">
        <v>3.1465532360789999E-2</v>
      </c>
      <c r="D44" t="s">
        <v>345</v>
      </c>
      <c r="E44">
        <v>111.24879459800778</v>
      </c>
      <c r="F44" t="s">
        <v>245</v>
      </c>
      <c r="G44" t="s">
        <v>357</v>
      </c>
      <c r="H44" t="s">
        <v>347</v>
      </c>
      <c r="I44" t="s">
        <v>348</v>
      </c>
      <c r="J44" t="s">
        <v>347</v>
      </c>
      <c r="K44" t="s">
        <v>61</v>
      </c>
      <c r="L44" t="s">
        <v>365</v>
      </c>
      <c r="M44">
        <f t="shared" si="0"/>
        <v>4</v>
      </c>
      <c r="N44">
        <f t="shared" si="1"/>
        <v>0.12586212944316</v>
      </c>
      <c r="O44">
        <f t="shared" si="2"/>
        <v>3.559961427136249E-2</v>
      </c>
      <c r="S44" s="13">
        <v>9</v>
      </c>
      <c r="T44" s="14"/>
      <c r="U44" s="14"/>
      <c r="V44" s="14"/>
      <c r="W44" s="14"/>
      <c r="X44" s="14"/>
      <c r="Y44" s="14"/>
    </row>
    <row r="45" spans="1:25">
      <c r="A45" t="s">
        <v>204</v>
      </c>
      <c r="B45" t="s">
        <v>344</v>
      </c>
      <c r="C45">
        <v>3.4498327950544999E-2</v>
      </c>
      <c r="D45" t="s">
        <v>345</v>
      </c>
      <c r="E45">
        <v>178.9071638424451</v>
      </c>
      <c r="F45" t="s">
        <v>245</v>
      </c>
      <c r="G45" t="s">
        <v>357</v>
      </c>
      <c r="H45" t="s">
        <v>347</v>
      </c>
      <c r="I45" t="s">
        <v>348</v>
      </c>
      <c r="J45" t="s">
        <v>347</v>
      </c>
      <c r="K45" t="s">
        <v>61</v>
      </c>
      <c r="L45" t="s">
        <v>365</v>
      </c>
      <c r="M45">
        <f t="shared" si="0"/>
        <v>4</v>
      </c>
      <c r="N45">
        <f t="shared" si="1"/>
        <v>0.13799331180218</v>
      </c>
      <c r="O45">
        <f t="shared" si="2"/>
        <v>5.7250292429582433E-2</v>
      </c>
      <c r="S45" s="15">
        <v>10</v>
      </c>
      <c r="T45" s="16"/>
      <c r="U45" s="16"/>
      <c r="V45" s="16"/>
      <c r="W45" s="16"/>
      <c r="X45" s="16"/>
      <c r="Y45" s="16"/>
    </row>
    <row r="46" spans="1:25">
      <c r="A46" t="s">
        <v>204</v>
      </c>
      <c r="B46" t="s">
        <v>344</v>
      </c>
      <c r="C46">
        <v>2.9475142325541999E-2</v>
      </c>
      <c r="D46" t="s">
        <v>345</v>
      </c>
      <c r="E46">
        <v>150.04923704393855</v>
      </c>
      <c r="F46" t="s">
        <v>245</v>
      </c>
      <c r="G46" t="s">
        <v>357</v>
      </c>
      <c r="H46" t="s">
        <v>347</v>
      </c>
      <c r="I46" t="s">
        <v>348</v>
      </c>
      <c r="J46" t="s">
        <v>347</v>
      </c>
      <c r="K46" t="s">
        <v>61</v>
      </c>
      <c r="L46" t="s">
        <v>365</v>
      </c>
      <c r="M46">
        <f t="shared" si="0"/>
        <v>4</v>
      </c>
      <c r="N46">
        <f t="shared" si="1"/>
        <v>0.117900569302168</v>
      </c>
      <c r="O46">
        <f t="shared" si="2"/>
        <v>4.8015755854060337E-2</v>
      </c>
      <c r="S46" s="13">
        <v>11</v>
      </c>
      <c r="T46" s="14"/>
      <c r="U46" s="14"/>
      <c r="V46" s="14"/>
      <c r="W46" s="14"/>
      <c r="X46" s="14"/>
      <c r="Y46" s="14"/>
    </row>
    <row r="47" spans="1:25">
      <c r="A47" t="s">
        <v>204</v>
      </c>
      <c r="B47" t="s">
        <v>344</v>
      </c>
      <c r="C47">
        <v>0.119573669703831</v>
      </c>
      <c r="D47" t="s">
        <v>345</v>
      </c>
      <c r="E47">
        <v>383.85157254505935</v>
      </c>
      <c r="F47" t="s">
        <v>245</v>
      </c>
      <c r="G47" t="s">
        <v>357</v>
      </c>
      <c r="H47" t="s">
        <v>347</v>
      </c>
      <c r="I47" t="s">
        <v>348</v>
      </c>
      <c r="J47" t="s">
        <v>347</v>
      </c>
      <c r="K47" t="s">
        <v>61</v>
      </c>
      <c r="L47" t="s">
        <v>365</v>
      </c>
      <c r="M47">
        <f t="shared" si="0"/>
        <v>4</v>
      </c>
      <c r="N47">
        <f t="shared" si="1"/>
        <v>0.478294678815324</v>
      </c>
      <c r="O47">
        <f t="shared" si="2"/>
        <v>0.12283250321441901</v>
      </c>
      <c r="S47" s="15">
        <v>12</v>
      </c>
      <c r="T47" s="16"/>
      <c r="U47" s="16"/>
      <c r="V47" s="16"/>
      <c r="W47" s="16"/>
      <c r="X47" s="16"/>
      <c r="Y47" s="16"/>
    </row>
    <row r="48" spans="1:25">
      <c r="A48" t="s">
        <v>204</v>
      </c>
      <c r="B48" t="s">
        <v>344</v>
      </c>
      <c r="C48">
        <v>1.8112377305993001E-2</v>
      </c>
      <c r="D48" t="s">
        <v>345</v>
      </c>
      <c r="E48">
        <v>67.282941013051982</v>
      </c>
      <c r="F48" t="s">
        <v>245</v>
      </c>
      <c r="G48" t="s">
        <v>357</v>
      </c>
      <c r="H48" t="s">
        <v>347</v>
      </c>
      <c r="I48" t="s">
        <v>348</v>
      </c>
      <c r="J48" t="s">
        <v>347</v>
      </c>
      <c r="K48" t="s">
        <v>61</v>
      </c>
      <c r="L48" t="s">
        <v>365</v>
      </c>
      <c r="M48">
        <f t="shared" si="0"/>
        <v>4</v>
      </c>
      <c r="N48">
        <f t="shared" si="1"/>
        <v>7.2449509223972003E-2</v>
      </c>
      <c r="O48">
        <f t="shared" si="2"/>
        <v>2.1530541124176638E-2</v>
      </c>
      <c r="S48" s="13">
        <v>13</v>
      </c>
      <c r="T48" s="14"/>
      <c r="U48" s="14"/>
      <c r="V48" s="14"/>
      <c r="W48" s="14"/>
      <c r="X48" s="14"/>
      <c r="Y48" s="14"/>
    </row>
    <row r="49" spans="1:25">
      <c r="A49" t="s">
        <v>204</v>
      </c>
      <c r="B49" t="s">
        <v>344</v>
      </c>
      <c r="C49">
        <v>1.1826014774373001E-2</v>
      </c>
      <c r="D49" t="s">
        <v>345</v>
      </c>
      <c r="E49">
        <v>56.175178069882399</v>
      </c>
      <c r="F49" t="s">
        <v>245</v>
      </c>
      <c r="G49" t="s">
        <v>357</v>
      </c>
      <c r="H49" t="s">
        <v>347</v>
      </c>
      <c r="I49" t="s">
        <v>348</v>
      </c>
      <c r="J49" t="s">
        <v>347</v>
      </c>
      <c r="K49" t="s">
        <v>61</v>
      </c>
      <c r="L49" t="s">
        <v>365</v>
      </c>
      <c r="M49">
        <f t="shared" si="0"/>
        <v>4</v>
      </c>
      <c r="N49">
        <f t="shared" si="1"/>
        <v>4.7304059097492003E-2</v>
      </c>
      <c r="O49">
        <f t="shared" si="2"/>
        <v>1.7976056982362369E-2</v>
      </c>
      <c r="S49" s="15">
        <v>14</v>
      </c>
      <c r="T49" s="16"/>
      <c r="U49" s="16"/>
      <c r="V49" s="16"/>
      <c r="W49" s="16"/>
      <c r="X49" s="16"/>
      <c r="Y49" s="16"/>
    </row>
    <row r="50" spans="1:25">
      <c r="A50" t="s">
        <v>204</v>
      </c>
      <c r="B50" t="s">
        <v>344</v>
      </c>
      <c r="C50">
        <v>5.7015178953330001E-3</v>
      </c>
      <c r="D50" t="s">
        <v>345</v>
      </c>
      <c r="E50">
        <v>38.156287389783529</v>
      </c>
      <c r="F50" t="s">
        <v>245</v>
      </c>
      <c r="G50" t="s">
        <v>357</v>
      </c>
      <c r="H50" t="s">
        <v>347</v>
      </c>
      <c r="I50" t="s">
        <v>348</v>
      </c>
      <c r="J50" t="s">
        <v>347</v>
      </c>
      <c r="K50" t="s">
        <v>61</v>
      </c>
      <c r="L50" t="s">
        <v>365</v>
      </c>
      <c r="M50">
        <f t="shared" si="0"/>
        <v>4</v>
      </c>
      <c r="N50">
        <f t="shared" si="1"/>
        <v>2.2806071581332001E-2</v>
      </c>
      <c r="O50">
        <f t="shared" si="2"/>
        <v>1.2210011964730729E-2</v>
      </c>
      <c r="S50" s="17" t="s">
        <v>238</v>
      </c>
      <c r="T50" s="18">
        <f t="shared" ref="T50:Y50" si="3">SUM(T36:T49)</f>
        <v>0</v>
      </c>
      <c r="U50" s="18">
        <f t="shared" si="3"/>
        <v>0</v>
      </c>
      <c r="V50" s="18">
        <f t="shared" si="3"/>
        <v>0</v>
      </c>
      <c r="W50" s="18">
        <f t="shared" si="3"/>
        <v>0</v>
      </c>
      <c r="X50" s="18">
        <f t="shared" si="3"/>
        <v>0</v>
      </c>
      <c r="Y50" s="18">
        <f t="shared" si="3"/>
        <v>0</v>
      </c>
    </row>
    <row r="51" spans="1:25">
      <c r="A51" t="s">
        <v>204</v>
      </c>
      <c r="B51" t="s">
        <v>344</v>
      </c>
      <c r="C51">
        <v>3.0619946456313E-2</v>
      </c>
      <c r="D51" t="s">
        <v>345</v>
      </c>
      <c r="E51">
        <v>114.59114689845671</v>
      </c>
      <c r="F51" t="s">
        <v>245</v>
      </c>
      <c r="G51" t="s">
        <v>357</v>
      </c>
      <c r="H51" t="s">
        <v>347</v>
      </c>
      <c r="I51" t="s">
        <v>348</v>
      </c>
      <c r="J51" t="s">
        <v>347</v>
      </c>
      <c r="K51" t="s">
        <v>61</v>
      </c>
      <c r="L51" t="s">
        <v>365</v>
      </c>
      <c r="M51">
        <f t="shared" si="0"/>
        <v>4</v>
      </c>
      <c r="N51">
        <f t="shared" si="1"/>
        <v>0.122479785825252</v>
      </c>
      <c r="O51">
        <f t="shared" si="2"/>
        <v>3.6669167007506151E-2</v>
      </c>
    </row>
    <row r="52" spans="1:25">
      <c r="A52" t="s">
        <v>204</v>
      </c>
      <c r="B52" t="s">
        <v>344</v>
      </c>
      <c r="C52">
        <v>5.4646004236889999E-2</v>
      </c>
      <c r="D52" t="s">
        <v>345</v>
      </c>
      <c r="E52">
        <v>191.67965809805395</v>
      </c>
      <c r="F52" t="s">
        <v>245</v>
      </c>
      <c r="G52" t="s">
        <v>357</v>
      </c>
      <c r="H52" t="s">
        <v>347</v>
      </c>
      <c r="I52" t="s">
        <v>348</v>
      </c>
      <c r="J52" t="s">
        <v>347</v>
      </c>
      <c r="K52" t="s">
        <v>61</v>
      </c>
      <c r="L52" t="s">
        <v>365</v>
      </c>
      <c r="M52">
        <f t="shared" si="0"/>
        <v>4</v>
      </c>
      <c r="N52">
        <f t="shared" si="1"/>
        <v>0.21858401694755999</v>
      </c>
      <c r="O52">
        <f t="shared" si="2"/>
        <v>6.1337490591377261E-2</v>
      </c>
    </row>
    <row r="53" spans="1:25">
      <c r="A53" t="s">
        <v>71</v>
      </c>
      <c r="B53" t="s">
        <v>344</v>
      </c>
      <c r="C53">
        <v>2.7589793627836999E-2</v>
      </c>
      <c r="D53" t="s">
        <v>345</v>
      </c>
      <c r="E53">
        <v>119.51716648854969</v>
      </c>
      <c r="F53" t="s">
        <v>245</v>
      </c>
      <c r="G53" t="s">
        <v>357</v>
      </c>
      <c r="H53" t="s">
        <v>351</v>
      </c>
      <c r="I53" t="s">
        <v>348</v>
      </c>
      <c r="J53" t="s">
        <v>351</v>
      </c>
      <c r="K53" t="s">
        <v>12</v>
      </c>
      <c r="L53" t="s">
        <v>365</v>
      </c>
      <c r="M53">
        <f t="shared" si="0"/>
        <v>4</v>
      </c>
      <c r="N53">
        <f t="shared" si="1"/>
        <v>0.110359174511348</v>
      </c>
      <c r="O53">
        <f t="shared" si="2"/>
        <v>3.8245493276335904E-2</v>
      </c>
    </row>
    <row r="54" spans="1:25">
      <c r="A54" t="s">
        <v>71</v>
      </c>
      <c r="B54" t="s">
        <v>344</v>
      </c>
      <c r="C54">
        <v>2.7361321529140001E-3</v>
      </c>
      <c r="D54" t="s">
        <v>345</v>
      </c>
      <c r="E54">
        <v>20.515614785529909</v>
      </c>
      <c r="F54" t="s">
        <v>245</v>
      </c>
      <c r="G54" t="s">
        <v>357</v>
      </c>
      <c r="H54" t="s">
        <v>351</v>
      </c>
      <c r="I54" t="s">
        <v>348</v>
      </c>
      <c r="J54" t="s">
        <v>351</v>
      </c>
      <c r="K54" t="s">
        <v>12</v>
      </c>
      <c r="L54" t="s">
        <v>365</v>
      </c>
      <c r="M54">
        <f t="shared" si="0"/>
        <v>4</v>
      </c>
      <c r="N54">
        <f t="shared" si="1"/>
        <v>1.0944528611656E-2</v>
      </c>
      <c r="O54">
        <f t="shared" si="2"/>
        <v>6.5649967313695708E-3</v>
      </c>
    </row>
    <row r="55" spans="1:25">
      <c r="A55" t="s">
        <v>71</v>
      </c>
      <c r="B55" t="s">
        <v>344</v>
      </c>
      <c r="C55">
        <v>9.8768457621349996E-3</v>
      </c>
      <c r="D55" t="s">
        <v>345</v>
      </c>
      <c r="E55">
        <v>56.707619442855858</v>
      </c>
      <c r="F55" t="s">
        <v>245</v>
      </c>
      <c r="G55" t="s">
        <v>357</v>
      </c>
      <c r="H55" t="s">
        <v>351</v>
      </c>
      <c r="I55" t="s">
        <v>348</v>
      </c>
      <c r="J55" t="s">
        <v>351</v>
      </c>
      <c r="K55" t="s">
        <v>12</v>
      </c>
      <c r="L55" t="s">
        <v>365</v>
      </c>
      <c r="M55">
        <f t="shared" si="0"/>
        <v>4</v>
      </c>
      <c r="N55">
        <f t="shared" si="1"/>
        <v>3.9507383048539998E-2</v>
      </c>
      <c r="O55">
        <f t="shared" si="2"/>
        <v>1.8146438221713877E-2</v>
      </c>
    </row>
    <row r="56" spans="1:25">
      <c r="A56" t="s">
        <v>71</v>
      </c>
      <c r="B56" t="s">
        <v>344</v>
      </c>
      <c r="C56">
        <v>1.1362030159505E-2</v>
      </c>
      <c r="D56" t="s">
        <v>345</v>
      </c>
      <c r="E56">
        <v>60.135120968729645</v>
      </c>
      <c r="F56" t="s">
        <v>245</v>
      </c>
      <c r="G56" t="s">
        <v>357</v>
      </c>
      <c r="H56" t="s">
        <v>351</v>
      </c>
      <c r="I56" t="s">
        <v>348</v>
      </c>
      <c r="J56" t="s">
        <v>351</v>
      </c>
      <c r="K56" t="s">
        <v>12</v>
      </c>
      <c r="L56" t="s">
        <v>365</v>
      </c>
      <c r="M56">
        <f t="shared" si="0"/>
        <v>4</v>
      </c>
      <c r="N56">
        <f t="shared" si="1"/>
        <v>4.544812063802E-2</v>
      </c>
      <c r="O56">
        <f t="shared" si="2"/>
        <v>1.9243238709993487E-2</v>
      </c>
    </row>
    <row r="57" spans="1:25">
      <c r="A57" t="s">
        <v>71</v>
      </c>
      <c r="B57" t="s">
        <v>344</v>
      </c>
      <c r="C57">
        <v>4.2847162322975002E-2</v>
      </c>
      <c r="D57" t="s">
        <v>345</v>
      </c>
      <c r="E57">
        <v>212.98432011651659</v>
      </c>
      <c r="F57" t="s">
        <v>245</v>
      </c>
      <c r="G57" t="s">
        <v>357</v>
      </c>
      <c r="H57" t="s">
        <v>351</v>
      </c>
      <c r="I57" t="s">
        <v>348</v>
      </c>
      <c r="J57" t="s">
        <v>351</v>
      </c>
      <c r="K57" t="s">
        <v>12</v>
      </c>
      <c r="L57" t="s">
        <v>365</v>
      </c>
      <c r="M57">
        <f t="shared" si="0"/>
        <v>4</v>
      </c>
      <c r="N57">
        <f t="shared" si="1"/>
        <v>0.17138864929190001</v>
      </c>
      <c r="O57">
        <f t="shared" si="2"/>
        <v>6.8154982437285308E-2</v>
      </c>
    </row>
    <row r="58" spans="1:25">
      <c r="A58" t="s">
        <v>71</v>
      </c>
      <c r="B58" t="s">
        <v>344</v>
      </c>
      <c r="C58">
        <v>4.5189125567301001E-2</v>
      </c>
      <c r="D58" t="s">
        <v>345</v>
      </c>
      <c r="E58">
        <v>182.29199614610218</v>
      </c>
      <c r="F58" t="s">
        <v>245</v>
      </c>
      <c r="G58" t="s">
        <v>357</v>
      </c>
      <c r="H58" t="s">
        <v>351</v>
      </c>
      <c r="I58" t="s">
        <v>348</v>
      </c>
      <c r="J58" t="s">
        <v>351</v>
      </c>
      <c r="K58" t="s">
        <v>12</v>
      </c>
      <c r="L58" t="s">
        <v>365</v>
      </c>
      <c r="M58">
        <f t="shared" si="0"/>
        <v>4</v>
      </c>
      <c r="N58">
        <f t="shared" si="1"/>
        <v>0.18075650226920401</v>
      </c>
      <c r="O58">
        <f t="shared" si="2"/>
        <v>5.8333438766752704E-2</v>
      </c>
    </row>
    <row r="59" spans="1:25">
      <c r="A59" t="s">
        <v>71</v>
      </c>
      <c r="B59" t="s">
        <v>344</v>
      </c>
      <c r="C59">
        <v>3.7271800904095001E-2</v>
      </c>
      <c r="D59" t="s">
        <v>345</v>
      </c>
      <c r="E59">
        <v>171.82821715222704</v>
      </c>
      <c r="F59" t="s">
        <v>245</v>
      </c>
      <c r="G59" t="s">
        <v>357</v>
      </c>
      <c r="H59" t="s">
        <v>351</v>
      </c>
      <c r="I59" t="s">
        <v>348</v>
      </c>
      <c r="J59" t="s">
        <v>351</v>
      </c>
      <c r="K59" t="s">
        <v>12</v>
      </c>
      <c r="L59" t="s">
        <v>365</v>
      </c>
      <c r="M59">
        <f t="shared" si="0"/>
        <v>4</v>
      </c>
      <c r="N59">
        <f t="shared" si="1"/>
        <v>0.14908720361638</v>
      </c>
      <c r="O59">
        <f t="shared" si="2"/>
        <v>5.4985029488712658E-2</v>
      </c>
    </row>
    <row r="60" spans="1:25">
      <c r="A60" t="s">
        <v>71</v>
      </c>
      <c r="B60" t="s">
        <v>344</v>
      </c>
      <c r="C60">
        <v>8.5103159409397999E-2</v>
      </c>
      <c r="D60" t="s">
        <v>345</v>
      </c>
      <c r="E60">
        <v>383.23097690262892</v>
      </c>
      <c r="F60" t="s">
        <v>245</v>
      </c>
      <c r="G60" t="s">
        <v>357</v>
      </c>
      <c r="H60" t="s">
        <v>351</v>
      </c>
      <c r="I60" t="s">
        <v>348</v>
      </c>
      <c r="J60" t="s">
        <v>351</v>
      </c>
      <c r="K60" t="s">
        <v>12</v>
      </c>
      <c r="L60" t="s">
        <v>365</v>
      </c>
      <c r="M60">
        <f t="shared" si="0"/>
        <v>4</v>
      </c>
      <c r="N60">
        <f t="shared" si="1"/>
        <v>0.340412637637592</v>
      </c>
      <c r="O60">
        <f t="shared" si="2"/>
        <v>0.12263391260884125</v>
      </c>
    </row>
    <row r="61" spans="1:25">
      <c r="A61" t="s">
        <v>71</v>
      </c>
      <c r="B61" t="s">
        <v>344</v>
      </c>
      <c r="C61">
        <v>3.1312240033493997E-2</v>
      </c>
      <c r="D61" t="s">
        <v>345</v>
      </c>
      <c r="E61">
        <v>147.40337629179834</v>
      </c>
      <c r="F61" t="s">
        <v>245</v>
      </c>
      <c r="G61" t="s">
        <v>357</v>
      </c>
      <c r="H61" t="s">
        <v>351</v>
      </c>
      <c r="I61" t="s">
        <v>348</v>
      </c>
      <c r="J61" t="s">
        <v>351</v>
      </c>
      <c r="K61" t="s">
        <v>12</v>
      </c>
      <c r="L61" t="s">
        <v>365</v>
      </c>
      <c r="M61">
        <f t="shared" si="0"/>
        <v>4</v>
      </c>
      <c r="N61">
        <f t="shared" si="1"/>
        <v>0.12524896013397599</v>
      </c>
      <c r="O61">
        <f t="shared" si="2"/>
        <v>4.7169080413375468E-2</v>
      </c>
    </row>
    <row r="62" spans="1:25">
      <c r="A62" t="s">
        <v>71</v>
      </c>
      <c r="B62" t="s">
        <v>344</v>
      </c>
      <c r="C62">
        <v>4.9022316981370002E-2</v>
      </c>
      <c r="D62" t="s">
        <v>345</v>
      </c>
      <c r="E62">
        <v>221.79501513053</v>
      </c>
      <c r="F62" t="s">
        <v>245</v>
      </c>
      <c r="G62" t="s">
        <v>357</v>
      </c>
      <c r="H62" t="s">
        <v>351</v>
      </c>
      <c r="I62" t="s">
        <v>348</v>
      </c>
      <c r="J62" t="s">
        <v>351</v>
      </c>
      <c r="K62" t="s">
        <v>12</v>
      </c>
      <c r="L62" t="s">
        <v>365</v>
      </c>
      <c r="M62">
        <f t="shared" si="0"/>
        <v>4</v>
      </c>
      <c r="N62">
        <f t="shared" si="1"/>
        <v>0.19608926792548001</v>
      </c>
      <c r="O62">
        <f t="shared" si="2"/>
        <v>7.0974404841769603E-2</v>
      </c>
    </row>
    <row r="63" spans="1:25">
      <c r="A63" t="s">
        <v>71</v>
      </c>
      <c r="B63" t="s">
        <v>344</v>
      </c>
      <c r="C63">
        <v>2.7733871501632999E-2</v>
      </c>
      <c r="D63" t="s">
        <v>345</v>
      </c>
      <c r="E63">
        <v>121.89830604384221</v>
      </c>
      <c r="F63" t="s">
        <v>245</v>
      </c>
      <c r="G63" t="s">
        <v>357</v>
      </c>
      <c r="H63" t="s">
        <v>351</v>
      </c>
      <c r="I63" t="s">
        <v>348</v>
      </c>
      <c r="J63" t="s">
        <v>351</v>
      </c>
      <c r="K63" t="s">
        <v>12</v>
      </c>
      <c r="L63" t="s">
        <v>365</v>
      </c>
      <c r="M63">
        <f t="shared" si="0"/>
        <v>4</v>
      </c>
      <c r="N63">
        <f t="shared" si="1"/>
        <v>0.110935486006532</v>
      </c>
      <c r="O63">
        <f t="shared" si="2"/>
        <v>3.9007457934029509E-2</v>
      </c>
    </row>
    <row r="64" spans="1:25">
      <c r="A64" t="s">
        <v>367</v>
      </c>
      <c r="B64" t="s">
        <v>344</v>
      </c>
      <c r="C64">
        <v>4.5350639971338001E-2</v>
      </c>
      <c r="D64" t="s">
        <v>345</v>
      </c>
      <c r="E64">
        <v>195.97913348407513</v>
      </c>
      <c r="F64" t="s">
        <v>245</v>
      </c>
      <c r="G64" t="s">
        <v>357</v>
      </c>
      <c r="H64" t="s">
        <v>352</v>
      </c>
      <c r="I64" t="s">
        <v>348</v>
      </c>
      <c r="J64" t="s">
        <v>352</v>
      </c>
      <c r="K64" t="s">
        <v>18</v>
      </c>
      <c r="L64" t="s">
        <v>365</v>
      </c>
      <c r="M64">
        <f t="shared" si="0"/>
        <v>4</v>
      </c>
      <c r="N64">
        <f t="shared" si="1"/>
        <v>0.181402559885352</v>
      </c>
      <c r="O64">
        <f t="shared" si="2"/>
        <v>6.2713322714904055E-2</v>
      </c>
    </row>
    <row r="65" spans="1:15">
      <c r="A65" t="s">
        <v>367</v>
      </c>
      <c r="B65" t="s">
        <v>344</v>
      </c>
      <c r="C65">
        <v>6.3793126773807995E-2</v>
      </c>
      <c r="D65" t="s">
        <v>345</v>
      </c>
      <c r="E65">
        <v>193.26577870077332</v>
      </c>
      <c r="F65" t="s">
        <v>245</v>
      </c>
      <c r="G65" t="s">
        <v>357</v>
      </c>
      <c r="H65" t="s">
        <v>352</v>
      </c>
      <c r="I65" t="s">
        <v>348</v>
      </c>
      <c r="J65" t="s">
        <v>352</v>
      </c>
      <c r="K65" t="s">
        <v>18</v>
      </c>
      <c r="L65" t="s">
        <v>365</v>
      </c>
      <c r="M65">
        <f t="shared" si="0"/>
        <v>4</v>
      </c>
      <c r="N65">
        <f t="shared" si="1"/>
        <v>0.25517250709523198</v>
      </c>
      <c r="O65">
        <f t="shared" si="2"/>
        <v>6.1845049184247464E-2</v>
      </c>
    </row>
    <row r="66" spans="1:15">
      <c r="A66" t="s">
        <v>367</v>
      </c>
      <c r="B66" t="s">
        <v>344</v>
      </c>
      <c r="C66">
        <v>4.3069767758921997E-2</v>
      </c>
      <c r="D66" t="s">
        <v>345</v>
      </c>
      <c r="E66">
        <v>187.37355809254652</v>
      </c>
      <c r="F66" t="s">
        <v>245</v>
      </c>
      <c r="G66" t="s">
        <v>357</v>
      </c>
      <c r="H66" t="s">
        <v>352</v>
      </c>
      <c r="I66" t="s">
        <v>348</v>
      </c>
      <c r="J66" t="s">
        <v>352</v>
      </c>
      <c r="K66" t="s">
        <v>18</v>
      </c>
      <c r="L66" t="s">
        <v>365</v>
      </c>
      <c r="M66">
        <f t="shared" si="0"/>
        <v>4</v>
      </c>
      <c r="N66">
        <f t="shared" si="1"/>
        <v>0.17227907103568799</v>
      </c>
      <c r="O66">
        <f t="shared" si="2"/>
        <v>5.9959538589614884E-2</v>
      </c>
    </row>
    <row r="67" spans="1:15">
      <c r="A67" t="s">
        <v>73</v>
      </c>
      <c r="B67" t="s">
        <v>344</v>
      </c>
      <c r="C67">
        <v>6.6509085966049999E-2</v>
      </c>
      <c r="D67" t="s">
        <v>345</v>
      </c>
      <c r="E67">
        <v>188.68981119169524</v>
      </c>
      <c r="F67" t="s">
        <v>245</v>
      </c>
      <c r="G67" t="s">
        <v>357</v>
      </c>
      <c r="H67" t="s">
        <v>352</v>
      </c>
      <c r="I67" t="s">
        <v>348</v>
      </c>
      <c r="J67" t="s">
        <v>352</v>
      </c>
      <c r="K67" t="s">
        <v>18</v>
      </c>
      <c r="L67" t="s">
        <v>365</v>
      </c>
      <c r="M67">
        <f t="shared" ref="M67:M130" si="4">LEFT(D67,2)*1</f>
        <v>4</v>
      </c>
      <c r="N67">
        <f t="shared" ref="N67:N130" si="5">M67*C67</f>
        <v>0.2660363438642</v>
      </c>
      <c r="O67">
        <f t="shared" ref="O67:O130" si="6">M67*E67*0.8/10000</f>
        <v>6.0380739581342484E-2</v>
      </c>
    </row>
    <row r="68" spans="1:15">
      <c r="A68" t="s">
        <v>73</v>
      </c>
      <c r="B68" t="s">
        <v>344</v>
      </c>
      <c r="C68">
        <v>6.2820343112780994E-2</v>
      </c>
      <c r="D68" t="s">
        <v>345</v>
      </c>
      <c r="E68">
        <v>168.64135032076274</v>
      </c>
      <c r="F68" t="s">
        <v>245</v>
      </c>
      <c r="G68" t="s">
        <v>357</v>
      </c>
      <c r="H68" t="s">
        <v>352</v>
      </c>
      <c r="I68" t="s">
        <v>348</v>
      </c>
      <c r="J68" t="s">
        <v>352</v>
      </c>
      <c r="K68" t="s">
        <v>18</v>
      </c>
      <c r="L68" t="s">
        <v>365</v>
      </c>
      <c r="M68">
        <f t="shared" si="4"/>
        <v>4</v>
      </c>
      <c r="N68">
        <f t="shared" si="5"/>
        <v>0.25128137245112397</v>
      </c>
      <c r="O68">
        <f t="shared" si="6"/>
        <v>5.3965232102644076E-2</v>
      </c>
    </row>
    <row r="69" spans="1:15">
      <c r="A69" t="s">
        <v>73</v>
      </c>
      <c r="B69" t="s">
        <v>344</v>
      </c>
      <c r="C69">
        <v>1.3213843477518999E-2</v>
      </c>
      <c r="D69" t="s">
        <v>345</v>
      </c>
      <c r="E69">
        <v>60.673969964490048</v>
      </c>
      <c r="F69" t="s">
        <v>245</v>
      </c>
      <c r="G69" t="s">
        <v>357</v>
      </c>
      <c r="H69" t="s">
        <v>352</v>
      </c>
      <c r="I69" t="s">
        <v>348</v>
      </c>
      <c r="J69" t="s">
        <v>352</v>
      </c>
      <c r="K69" t="s">
        <v>18</v>
      </c>
      <c r="L69" t="s">
        <v>365</v>
      </c>
      <c r="M69">
        <f t="shared" si="4"/>
        <v>4</v>
      </c>
      <c r="N69">
        <f t="shared" si="5"/>
        <v>5.2855373910075998E-2</v>
      </c>
      <c r="O69">
        <f t="shared" si="6"/>
        <v>1.9415670388636817E-2</v>
      </c>
    </row>
    <row r="70" spans="1:15">
      <c r="A70" t="s">
        <v>73</v>
      </c>
      <c r="B70" t="s">
        <v>344</v>
      </c>
      <c r="C70">
        <v>0.110952089534088</v>
      </c>
      <c r="D70" t="s">
        <v>345</v>
      </c>
      <c r="E70">
        <v>347.5994029919579</v>
      </c>
      <c r="F70" t="s">
        <v>245</v>
      </c>
      <c r="G70" t="s">
        <v>357</v>
      </c>
      <c r="H70" t="s">
        <v>352</v>
      </c>
      <c r="I70" t="s">
        <v>348</v>
      </c>
      <c r="J70" t="s">
        <v>352</v>
      </c>
      <c r="K70" t="s">
        <v>18</v>
      </c>
      <c r="L70" t="s">
        <v>365</v>
      </c>
      <c r="M70">
        <f t="shared" si="4"/>
        <v>4</v>
      </c>
      <c r="N70">
        <f t="shared" si="5"/>
        <v>0.443808358136352</v>
      </c>
      <c r="O70">
        <f t="shared" si="6"/>
        <v>0.11123180895742653</v>
      </c>
    </row>
    <row r="71" spans="1:15">
      <c r="A71" t="s">
        <v>73</v>
      </c>
      <c r="B71" t="s">
        <v>344</v>
      </c>
      <c r="C71">
        <v>1.436739458187E-2</v>
      </c>
      <c r="D71" t="s">
        <v>345</v>
      </c>
      <c r="E71">
        <v>97.46229416440562</v>
      </c>
      <c r="F71" t="s">
        <v>245</v>
      </c>
      <c r="G71" t="s">
        <v>357</v>
      </c>
      <c r="H71" t="s">
        <v>352</v>
      </c>
      <c r="I71" t="s">
        <v>348</v>
      </c>
      <c r="J71" t="s">
        <v>352</v>
      </c>
      <c r="K71" t="s">
        <v>18</v>
      </c>
      <c r="L71" t="s">
        <v>365</v>
      </c>
      <c r="M71">
        <f t="shared" si="4"/>
        <v>4</v>
      </c>
      <c r="N71">
        <f t="shared" si="5"/>
        <v>5.7469578327480002E-2</v>
      </c>
      <c r="O71">
        <f t="shared" si="6"/>
        <v>3.1187934132609802E-2</v>
      </c>
    </row>
    <row r="72" spans="1:15">
      <c r="A72" t="s">
        <v>73</v>
      </c>
      <c r="B72" t="s">
        <v>344</v>
      </c>
      <c r="C72">
        <v>1.7629663748724E-2</v>
      </c>
      <c r="D72" t="s">
        <v>345</v>
      </c>
      <c r="E72">
        <v>92.38849648248825</v>
      </c>
      <c r="F72" t="s">
        <v>245</v>
      </c>
      <c r="G72" t="s">
        <v>357</v>
      </c>
      <c r="H72" t="s">
        <v>352</v>
      </c>
      <c r="I72" t="s">
        <v>348</v>
      </c>
      <c r="J72" t="s">
        <v>352</v>
      </c>
      <c r="K72" t="s">
        <v>18</v>
      </c>
      <c r="L72" t="s">
        <v>365</v>
      </c>
      <c r="M72">
        <f t="shared" si="4"/>
        <v>4</v>
      </c>
      <c r="N72">
        <f t="shared" si="5"/>
        <v>7.0518654994895999E-2</v>
      </c>
      <c r="O72">
        <f t="shared" si="6"/>
        <v>2.9564318874396242E-2</v>
      </c>
    </row>
    <row r="73" spans="1:15">
      <c r="A73" t="s">
        <v>73</v>
      </c>
      <c r="B73" t="s">
        <v>344</v>
      </c>
      <c r="C73">
        <v>5.4952203318660003E-3</v>
      </c>
      <c r="D73" t="s">
        <v>345</v>
      </c>
      <c r="E73">
        <v>38.126086434256777</v>
      </c>
      <c r="F73" t="s">
        <v>245</v>
      </c>
      <c r="G73" t="s">
        <v>346</v>
      </c>
      <c r="H73" t="s">
        <v>352</v>
      </c>
      <c r="I73" t="s">
        <v>348</v>
      </c>
      <c r="J73" t="s">
        <v>352</v>
      </c>
      <c r="K73" t="s">
        <v>18</v>
      </c>
      <c r="L73" t="s">
        <v>365</v>
      </c>
      <c r="M73">
        <f t="shared" si="4"/>
        <v>4</v>
      </c>
      <c r="N73">
        <f t="shared" si="5"/>
        <v>2.1980881327464001E-2</v>
      </c>
      <c r="O73">
        <f t="shared" si="6"/>
        <v>1.220034765896217E-2</v>
      </c>
    </row>
    <row r="74" spans="1:15">
      <c r="A74" t="s">
        <v>368</v>
      </c>
      <c r="B74" t="s">
        <v>344</v>
      </c>
      <c r="C74">
        <v>2.6759595581547888</v>
      </c>
      <c r="D74" t="s">
        <v>345</v>
      </c>
      <c r="E74">
        <v>658.71084940723438</v>
      </c>
      <c r="F74" t="s">
        <v>245</v>
      </c>
      <c r="G74" t="s">
        <v>357</v>
      </c>
      <c r="H74" t="s">
        <v>352</v>
      </c>
      <c r="I74" t="s">
        <v>348</v>
      </c>
      <c r="J74" t="s">
        <v>352</v>
      </c>
      <c r="K74" t="s">
        <v>18</v>
      </c>
      <c r="L74" t="s">
        <v>365</v>
      </c>
      <c r="M74">
        <f t="shared" si="4"/>
        <v>4</v>
      </c>
      <c r="N74">
        <f t="shared" si="5"/>
        <v>10.703838232619155</v>
      </c>
      <c r="O74">
        <f t="shared" si="6"/>
        <v>0.21078747181031499</v>
      </c>
    </row>
    <row r="75" spans="1:15">
      <c r="A75" t="s">
        <v>31</v>
      </c>
      <c r="B75" t="s">
        <v>344</v>
      </c>
      <c r="C75">
        <v>6.9240493669321002E-2</v>
      </c>
      <c r="D75" t="s">
        <v>345</v>
      </c>
      <c r="E75">
        <v>317.10895811967396</v>
      </c>
      <c r="F75" t="s">
        <v>245</v>
      </c>
      <c r="G75" t="s">
        <v>357</v>
      </c>
      <c r="H75" t="s">
        <v>351</v>
      </c>
      <c r="I75" t="s">
        <v>348</v>
      </c>
      <c r="J75" t="s">
        <v>351</v>
      </c>
      <c r="K75" t="s">
        <v>12</v>
      </c>
      <c r="L75" t="s">
        <v>365</v>
      </c>
      <c r="M75">
        <f t="shared" si="4"/>
        <v>4</v>
      </c>
      <c r="N75">
        <f t="shared" si="5"/>
        <v>0.27696197467728401</v>
      </c>
      <c r="O75">
        <f t="shared" si="6"/>
        <v>0.10147486659829567</v>
      </c>
    </row>
    <row r="76" spans="1:15">
      <c r="A76" t="s">
        <v>31</v>
      </c>
      <c r="B76" t="s">
        <v>344</v>
      </c>
      <c r="C76">
        <v>2.8346968694185001E-2</v>
      </c>
      <c r="D76" t="s">
        <v>345</v>
      </c>
      <c r="E76">
        <v>145.54302432270754</v>
      </c>
      <c r="F76" t="s">
        <v>245</v>
      </c>
      <c r="G76" t="s">
        <v>357</v>
      </c>
      <c r="H76" t="s">
        <v>352</v>
      </c>
      <c r="I76" t="s">
        <v>348</v>
      </c>
      <c r="J76" t="s">
        <v>352</v>
      </c>
      <c r="K76" t="s">
        <v>18</v>
      </c>
      <c r="L76" t="s">
        <v>365</v>
      </c>
      <c r="M76">
        <f t="shared" si="4"/>
        <v>4</v>
      </c>
      <c r="N76">
        <f t="shared" si="5"/>
        <v>0.11338787477674001</v>
      </c>
      <c r="O76">
        <f t="shared" si="6"/>
        <v>4.6573767783266412E-2</v>
      </c>
    </row>
    <row r="77" spans="1:15">
      <c r="A77" t="s">
        <v>31</v>
      </c>
      <c r="B77" t="s">
        <v>344</v>
      </c>
      <c r="C77">
        <v>1.6305989176345001E-2</v>
      </c>
      <c r="D77" t="s">
        <v>345</v>
      </c>
      <c r="E77">
        <v>45.267054872277257</v>
      </c>
      <c r="F77" t="s">
        <v>245</v>
      </c>
      <c r="G77" t="s">
        <v>357</v>
      </c>
      <c r="H77" t="s">
        <v>351</v>
      </c>
      <c r="I77" t="s">
        <v>348</v>
      </c>
      <c r="J77" t="s">
        <v>351</v>
      </c>
      <c r="K77" t="s">
        <v>12</v>
      </c>
      <c r="L77" t="s">
        <v>365</v>
      </c>
      <c r="M77">
        <f t="shared" si="4"/>
        <v>4</v>
      </c>
      <c r="N77">
        <f t="shared" si="5"/>
        <v>6.5223956705380004E-2</v>
      </c>
      <c r="O77">
        <f t="shared" si="6"/>
        <v>1.4485457559128721E-2</v>
      </c>
    </row>
    <row r="78" spans="1:15">
      <c r="A78" t="s">
        <v>31</v>
      </c>
      <c r="B78" t="s">
        <v>344</v>
      </c>
      <c r="C78">
        <v>9.1102918289733006E-2</v>
      </c>
      <c r="D78" t="s">
        <v>345</v>
      </c>
      <c r="E78">
        <v>372.34004265275314</v>
      </c>
      <c r="F78" t="s">
        <v>245</v>
      </c>
      <c r="G78" t="s">
        <v>357</v>
      </c>
      <c r="H78" t="s">
        <v>351</v>
      </c>
      <c r="I78" t="s">
        <v>348</v>
      </c>
      <c r="J78" t="s">
        <v>351</v>
      </c>
      <c r="K78" t="s">
        <v>12</v>
      </c>
      <c r="L78" t="s">
        <v>365</v>
      </c>
      <c r="M78">
        <f t="shared" si="4"/>
        <v>4</v>
      </c>
      <c r="N78">
        <f t="shared" si="5"/>
        <v>0.36441167315893203</v>
      </c>
      <c r="O78">
        <f t="shared" si="6"/>
        <v>0.11914881364888101</v>
      </c>
    </row>
    <row r="79" spans="1:15">
      <c r="A79" t="s">
        <v>31</v>
      </c>
      <c r="B79" t="s">
        <v>344</v>
      </c>
      <c r="C79">
        <v>4.7280166266130998E-2</v>
      </c>
      <c r="D79" t="s">
        <v>345</v>
      </c>
      <c r="E79">
        <v>180.08755674489956</v>
      </c>
      <c r="F79" t="s">
        <v>245</v>
      </c>
      <c r="G79" t="s">
        <v>357</v>
      </c>
      <c r="H79" t="s">
        <v>352</v>
      </c>
      <c r="I79" t="s">
        <v>348</v>
      </c>
      <c r="J79" t="s">
        <v>352</v>
      </c>
      <c r="K79" t="s">
        <v>18</v>
      </c>
      <c r="L79" t="s">
        <v>365</v>
      </c>
      <c r="M79">
        <f t="shared" si="4"/>
        <v>4</v>
      </c>
      <c r="N79">
        <f t="shared" si="5"/>
        <v>0.18912066506452399</v>
      </c>
      <c r="O79">
        <f t="shared" si="6"/>
        <v>5.7628018158367864E-2</v>
      </c>
    </row>
    <row r="80" spans="1:15">
      <c r="A80" t="s">
        <v>31</v>
      </c>
      <c r="B80" t="s">
        <v>344</v>
      </c>
      <c r="C80">
        <v>3.4827722114856997E-2</v>
      </c>
      <c r="D80" t="s">
        <v>345</v>
      </c>
      <c r="E80">
        <v>159.72146501688374</v>
      </c>
      <c r="F80" t="s">
        <v>245</v>
      </c>
      <c r="G80" t="s">
        <v>357</v>
      </c>
      <c r="H80" t="s">
        <v>351</v>
      </c>
      <c r="I80" t="s">
        <v>348</v>
      </c>
      <c r="J80" t="s">
        <v>351</v>
      </c>
      <c r="K80" t="s">
        <v>12</v>
      </c>
      <c r="L80" t="s">
        <v>365</v>
      </c>
      <c r="M80">
        <f t="shared" si="4"/>
        <v>4</v>
      </c>
      <c r="N80">
        <f t="shared" si="5"/>
        <v>0.13931088845942799</v>
      </c>
      <c r="O80">
        <f t="shared" si="6"/>
        <v>5.1110868805402797E-2</v>
      </c>
    </row>
    <row r="81" spans="1:15">
      <c r="A81" t="s">
        <v>31</v>
      </c>
      <c r="B81" t="s">
        <v>344</v>
      </c>
      <c r="C81">
        <v>4.9012094546738001E-2</v>
      </c>
      <c r="D81" t="s">
        <v>345</v>
      </c>
      <c r="E81">
        <v>190.48660389012369</v>
      </c>
      <c r="F81" t="s">
        <v>245</v>
      </c>
      <c r="G81" t="s">
        <v>357</v>
      </c>
      <c r="H81" t="s">
        <v>351</v>
      </c>
      <c r="I81" t="s">
        <v>348</v>
      </c>
      <c r="J81" t="s">
        <v>351</v>
      </c>
      <c r="K81" t="s">
        <v>12</v>
      </c>
      <c r="L81" t="s">
        <v>365</v>
      </c>
      <c r="M81">
        <f t="shared" si="4"/>
        <v>4</v>
      </c>
      <c r="N81">
        <f t="shared" si="5"/>
        <v>0.196048378186952</v>
      </c>
      <c r="O81">
        <f t="shared" si="6"/>
        <v>6.0955713244839581E-2</v>
      </c>
    </row>
    <row r="82" spans="1:15">
      <c r="A82" t="s">
        <v>31</v>
      </c>
      <c r="B82" t="s">
        <v>344</v>
      </c>
      <c r="C82">
        <v>9.5834514162668E-2</v>
      </c>
      <c r="D82" t="s">
        <v>345</v>
      </c>
      <c r="E82">
        <v>315.62823848880163</v>
      </c>
      <c r="F82" t="s">
        <v>245</v>
      </c>
      <c r="G82" t="s">
        <v>357</v>
      </c>
      <c r="H82" t="s">
        <v>352</v>
      </c>
      <c r="I82" t="s">
        <v>348</v>
      </c>
      <c r="J82" t="s">
        <v>352</v>
      </c>
      <c r="K82" t="s">
        <v>18</v>
      </c>
      <c r="L82" t="s">
        <v>365</v>
      </c>
      <c r="M82">
        <f t="shared" si="4"/>
        <v>4</v>
      </c>
      <c r="N82">
        <f t="shared" si="5"/>
        <v>0.383338056650672</v>
      </c>
      <c r="O82">
        <f t="shared" si="6"/>
        <v>0.10100103631641652</v>
      </c>
    </row>
    <row r="83" spans="1:15">
      <c r="A83" t="s">
        <v>31</v>
      </c>
      <c r="B83" t="s">
        <v>344</v>
      </c>
      <c r="C83">
        <v>6.3201860151697001E-2</v>
      </c>
      <c r="D83" t="s">
        <v>345</v>
      </c>
      <c r="E83">
        <v>245.40378047057456</v>
      </c>
      <c r="F83" t="s">
        <v>245</v>
      </c>
      <c r="G83" t="s">
        <v>357</v>
      </c>
      <c r="H83" t="s">
        <v>351</v>
      </c>
      <c r="I83" t="s">
        <v>348</v>
      </c>
      <c r="J83" t="s">
        <v>351</v>
      </c>
      <c r="K83" t="s">
        <v>18</v>
      </c>
      <c r="L83" t="s">
        <v>365</v>
      </c>
      <c r="M83">
        <f t="shared" si="4"/>
        <v>4</v>
      </c>
      <c r="N83">
        <f t="shared" si="5"/>
        <v>0.252807440606788</v>
      </c>
      <c r="O83">
        <f t="shared" si="6"/>
        <v>7.8529209750583862E-2</v>
      </c>
    </row>
    <row r="84" spans="1:15">
      <c r="A84" t="s">
        <v>31</v>
      </c>
      <c r="B84" t="s">
        <v>344</v>
      </c>
      <c r="C84">
        <v>6.0382550313624002E-2</v>
      </c>
      <c r="D84" t="s">
        <v>345</v>
      </c>
      <c r="E84">
        <v>281.80424294329919</v>
      </c>
      <c r="F84" t="s">
        <v>245</v>
      </c>
      <c r="G84" t="s">
        <v>357</v>
      </c>
      <c r="H84" t="s">
        <v>351</v>
      </c>
      <c r="I84" t="s">
        <v>348</v>
      </c>
      <c r="J84" t="s">
        <v>351</v>
      </c>
      <c r="K84" t="s">
        <v>18</v>
      </c>
      <c r="L84" t="s">
        <v>365</v>
      </c>
      <c r="M84">
        <f t="shared" si="4"/>
        <v>4</v>
      </c>
      <c r="N84">
        <f t="shared" si="5"/>
        <v>0.24153020125449601</v>
      </c>
      <c r="O84">
        <f t="shared" si="6"/>
        <v>9.0177357741855743E-2</v>
      </c>
    </row>
    <row r="85" spans="1:15">
      <c r="A85" t="s">
        <v>31</v>
      </c>
      <c r="B85" t="s">
        <v>344</v>
      </c>
      <c r="C85">
        <v>6.1383564229353003E-2</v>
      </c>
      <c r="D85" t="s">
        <v>345</v>
      </c>
      <c r="E85">
        <v>262.08860177241957</v>
      </c>
      <c r="F85" t="s">
        <v>245</v>
      </c>
      <c r="G85" t="s">
        <v>357</v>
      </c>
      <c r="H85" t="s">
        <v>351</v>
      </c>
      <c r="I85" t="s">
        <v>348</v>
      </c>
      <c r="J85" t="s">
        <v>351</v>
      </c>
      <c r="K85" t="s">
        <v>18</v>
      </c>
      <c r="L85" t="s">
        <v>365</v>
      </c>
      <c r="M85">
        <f t="shared" si="4"/>
        <v>4</v>
      </c>
      <c r="N85">
        <f t="shared" si="5"/>
        <v>0.24553425691741201</v>
      </c>
      <c r="O85">
        <f t="shared" si="6"/>
        <v>8.3868352567174273E-2</v>
      </c>
    </row>
    <row r="86" spans="1:15">
      <c r="A86" t="s">
        <v>31</v>
      </c>
      <c r="B86" t="s">
        <v>344</v>
      </c>
      <c r="C86">
        <v>3.6445786200049998E-2</v>
      </c>
      <c r="D86" t="s">
        <v>345</v>
      </c>
      <c r="E86">
        <v>170.49180963523216</v>
      </c>
      <c r="F86" t="s">
        <v>245</v>
      </c>
      <c r="G86" t="s">
        <v>357</v>
      </c>
      <c r="H86" t="s">
        <v>351</v>
      </c>
      <c r="I86" t="s">
        <v>348</v>
      </c>
      <c r="J86" t="s">
        <v>351</v>
      </c>
      <c r="K86" t="s">
        <v>18</v>
      </c>
      <c r="L86" t="s">
        <v>365</v>
      </c>
      <c r="M86">
        <f t="shared" si="4"/>
        <v>4</v>
      </c>
      <c r="N86">
        <f t="shared" si="5"/>
        <v>0.14578314480019999</v>
      </c>
      <c r="O86">
        <f t="shared" si="6"/>
        <v>5.4557379083274293E-2</v>
      </c>
    </row>
    <row r="87" spans="1:15">
      <c r="A87" t="s">
        <v>31</v>
      </c>
      <c r="B87" t="s">
        <v>344</v>
      </c>
      <c r="C87">
        <v>2.6907349065030998E-2</v>
      </c>
      <c r="D87" t="s">
        <v>345</v>
      </c>
      <c r="E87">
        <v>127.64143065084509</v>
      </c>
      <c r="F87" t="s">
        <v>245</v>
      </c>
      <c r="G87" t="s">
        <v>357</v>
      </c>
      <c r="H87" t="s">
        <v>351</v>
      </c>
      <c r="I87" t="s">
        <v>348</v>
      </c>
      <c r="J87" t="s">
        <v>351</v>
      </c>
      <c r="K87" t="s">
        <v>18</v>
      </c>
      <c r="L87" t="s">
        <v>365</v>
      </c>
      <c r="M87">
        <f t="shared" si="4"/>
        <v>4</v>
      </c>
      <c r="N87">
        <f t="shared" si="5"/>
        <v>0.10762939626012399</v>
      </c>
      <c r="O87">
        <f t="shared" si="6"/>
        <v>4.0845257808270433E-2</v>
      </c>
    </row>
    <row r="88" spans="1:15">
      <c r="A88" t="s">
        <v>295</v>
      </c>
      <c r="B88" t="s">
        <v>139</v>
      </c>
      <c r="C88">
        <v>0.46761645237556998</v>
      </c>
      <c r="D88" t="s">
        <v>350</v>
      </c>
      <c r="E88">
        <v>802.00492538412163</v>
      </c>
      <c r="F88" t="s">
        <v>245</v>
      </c>
      <c r="G88" t="s">
        <v>346</v>
      </c>
      <c r="H88" t="s">
        <v>352</v>
      </c>
      <c r="I88" t="s">
        <v>348</v>
      </c>
      <c r="J88" t="s">
        <v>352</v>
      </c>
      <c r="K88" t="s">
        <v>18</v>
      </c>
      <c r="L88" t="s">
        <v>365</v>
      </c>
      <c r="M88">
        <f t="shared" si="4"/>
        <v>12</v>
      </c>
      <c r="N88">
        <f t="shared" si="5"/>
        <v>5.61139742850684</v>
      </c>
      <c r="O88">
        <f t="shared" si="6"/>
        <v>0.76992472836875681</v>
      </c>
    </row>
    <row r="89" spans="1:15">
      <c r="A89" t="s">
        <v>40</v>
      </c>
      <c r="B89" t="s">
        <v>344</v>
      </c>
      <c r="C89">
        <v>2.060136597313E-3</v>
      </c>
      <c r="D89" t="s">
        <v>345</v>
      </c>
      <c r="E89">
        <v>17.802129192913391</v>
      </c>
      <c r="F89" t="s">
        <v>245</v>
      </c>
      <c r="G89" t="s">
        <v>357</v>
      </c>
      <c r="H89" t="s">
        <v>351</v>
      </c>
      <c r="I89" t="s">
        <v>348</v>
      </c>
      <c r="J89" t="s">
        <v>351</v>
      </c>
      <c r="K89" t="s">
        <v>12</v>
      </c>
      <c r="L89" t="s">
        <v>365</v>
      </c>
      <c r="M89">
        <f t="shared" si="4"/>
        <v>4</v>
      </c>
      <c r="N89">
        <f t="shared" si="5"/>
        <v>8.2405463892520001E-3</v>
      </c>
      <c r="O89">
        <f t="shared" si="6"/>
        <v>5.6966813417322851E-3</v>
      </c>
    </row>
    <row r="90" spans="1:15">
      <c r="A90" t="s">
        <v>40</v>
      </c>
      <c r="B90" t="s">
        <v>344</v>
      </c>
      <c r="C90">
        <v>5.6951425378224001E-2</v>
      </c>
      <c r="D90" t="s">
        <v>345</v>
      </c>
      <c r="E90">
        <v>245.97365184555693</v>
      </c>
      <c r="F90" t="s">
        <v>245</v>
      </c>
      <c r="G90" t="s">
        <v>357</v>
      </c>
      <c r="H90" t="s">
        <v>351</v>
      </c>
      <c r="I90" t="s">
        <v>348</v>
      </c>
      <c r="J90" t="s">
        <v>351</v>
      </c>
      <c r="K90" t="s">
        <v>12</v>
      </c>
      <c r="L90" t="s">
        <v>365</v>
      </c>
      <c r="M90">
        <f t="shared" si="4"/>
        <v>4</v>
      </c>
      <c r="N90">
        <f t="shared" si="5"/>
        <v>0.227805701512896</v>
      </c>
      <c r="O90">
        <f t="shared" si="6"/>
        <v>7.8711568590578221E-2</v>
      </c>
    </row>
    <row r="91" spans="1:15">
      <c r="A91" t="s">
        <v>40</v>
      </c>
      <c r="B91" t="s">
        <v>344</v>
      </c>
      <c r="C91">
        <v>1.0070111210362999E-2</v>
      </c>
      <c r="D91" t="s">
        <v>345</v>
      </c>
      <c r="E91">
        <v>35.57343429287927</v>
      </c>
      <c r="F91" t="s">
        <v>245</v>
      </c>
      <c r="G91" t="s">
        <v>357</v>
      </c>
      <c r="H91" t="s">
        <v>351</v>
      </c>
      <c r="I91" t="s">
        <v>348</v>
      </c>
      <c r="J91" t="s">
        <v>351</v>
      </c>
      <c r="K91" t="s">
        <v>12</v>
      </c>
      <c r="L91" t="s">
        <v>365</v>
      </c>
      <c r="M91">
        <f t="shared" si="4"/>
        <v>4</v>
      </c>
      <c r="N91">
        <f t="shared" si="5"/>
        <v>4.0280444841451997E-2</v>
      </c>
      <c r="O91">
        <f t="shared" si="6"/>
        <v>1.1383498973721368E-2</v>
      </c>
    </row>
    <row r="92" spans="1:15">
      <c r="A92" t="s">
        <v>40</v>
      </c>
      <c r="B92" t="s">
        <v>344</v>
      </c>
      <c r="C92">
        <v>1.5623668462157E-2</v>
      </c>
      <c r="D92" t="s">
        <v>345</v>
      </c>
      <c r="E92">
        <v>69.385113639488353</v>
      </c>
      <c r="F92" t="s">
        <v>245</v>
      </c>
      <c r="G92" t="s">
        <v>357</v>
      </c>
      <c r="H92" t="s">
        <v>351</v>
      </c>
      <c r="I92" t="s">
        <v>348</v>
      </c>
      <c r="J92" t="s">
        <v>351</v>
      </c>
      <c r="K92" t="s">
        <v>12</v>
      </c>
      <c r="L92" t="s">
        <v>365</v>
      </c>
      <c r="M92">
        <f t="shared" si="4"/>
        <v>4</v>
      </c>
      <c r="N92">
        <f t="shared" si="5"/>
        <v>6.2494673848628002E-2</v>
      </c>
      <c r="O92">
        <f t="shared" si="6"/>
        <v>2.2203236364636274E-2</v>
      </c>
    </row>
    <row r="93" spans="1:15">
      <c r="A93" t="s">
        <v>40</v>
      </c>
      <c r="B93" t="s">
        <v>344</v>
      </c>
      <c r="C93">
        <v>1.6160892066656E-2</v>
      </c>
      <c r="D93" t="s">
        <v>345</v>
      </c>
      <c r="E93">
        <v>75.422431466623891</v>
      </c>
      <c r="F93" t="s">
        <v>245</v>
      </c>
      <c r="G93" t="s">
        <v>357</v>
      </c>
      <c r="H93" t="s">
        <v>351</v>
      </c>
      <c r="I93" t="s">
        <v>348</v>
      </c>
      <c r="J93" t="s">
        <v>351</v>
      </c>
      <c r="K93" t="s">
        <v>12</v>
      </c>
      <c r="L93" t="s">
        <v>365</v>
      </c>
      <c r="M93">
        <f t="shared" si="4"/>
        <v>4</v>
      </c>
      <c r="N93">
        <f t="shared" si="5"/>
        <v>6.4643568266623999E-2</v>
      </c>
      <c r="O93">
        <f t="shared" si="6"/>
        <v>2.4135178069319647E-2</v>
      </c>
    </row>
    <row r="94" spans="1:15">
      <c r="A94" t="s">
        <v>40</v>
      </c>
      <c r="B94" t="s">
        <v>344</v>
      </c>
      <c r="C94">
        <v>3.8441391745127999E-2</v>
      </c>
      <c r="D94" t="s">
        <v>345</v>
      </c>
      <c r="E94">
        <v>177.03861253529277</v>
      </c>
      <c r="F94" t="s">
        <v>245</v>
      </c>
      <c r="G94" t="s">
        <v>357</v>
      </c>
      <c r="H94" t="s">
        <v>351</v>
      </c>
      <c r="I94" t="s">
        <v>348</v>
      </c>
      <c r="J94" t="s">
        <v>351</v>
      </c>
      <c r="K94" t="s">
        <v>12</v>
      </c>
      <c r="L94" t="s">
        <v>365</v>
      </c>
      <c r="M94">
        <f t="shared" si="4"/>
        <v>4</v>
      </c>
      <c r="N94">
        <f t="shared" si="5"/>
        <v>0.153765566980512</v>
      </c>
      <c r="O94">
        <f t="shared" si="6"/>
        <v>5.6652356011293696E-2</v>
      </c>
    </row>
    <row r="95" spans="1:15">
      <c r="A95" t="s">
        <v>40</v>
      </c>
      <c r="B95" t="s">
        <v>344</v>
      </c>
      <c r="C95">
        <v>3.9411240719062997E-2</v>
      </c>
      <c r="D95" t="s">
        <v>345</v>
      </c>
      <c r="E95">
        <v>177.04160362365778</v>
      </c>
      <c r="F95" t="s">
        <v>245</v>
      </c>
      <c r="G95" t="s">
        <v>357</v>
      </c>
      <c r="H95" t="s">
        <v>351</v>
      </c>
      <c r="I95" t="s">
        <v>348</v>
      </c>
      <c r="J95" t="s">
        <v>351</v>
      </c>
      <c r="K95" t="s">
        <v>12</v>
      </c>
      <c r="L95" t="s">
        <v>365</v>
      </c>
      <c r="M95">
        <f t="shared" si="4"/>
        <v>4</v>
      </c>
      <c r="N95">
        <f t="shared" si="5"/>
        <v>0.15764496287625199</v>
      </c>
      <c r="O95">
        <f t="shared" si="6"/>
        <v>5.6653313159570493E-2</v>
      </c>
    </row>
    <row r="96" spans="1:15">
      <c r="A96" t="s">
        <v>40</v>
      </c>
      <c r="B96" t="s">
        <v>344</v>
      </c>
      <c r="C96">
        <v>3.5158650588477003E-2</v>
      </c>
      <c r="D96" t="s">
        <v>345</v>
      </c>
      <c r="E96">
        <v>174.62319364377916</v>
      </c>
      <c r="F96" t="s">
        <v>245</v>
      </c>
      <c r="G96" t="s">
        <v>357</v>
      </c>
      <c r="H96" t="s">
        <v>351</v>
      </c>
      <c r="I96" t="s">
        <v>348</v>
      </c>
      <c r="J96" t="s">
        <v>351</v>
      </c>
      <c r="K96" t="s">
        <v>12</v>
      </c>
      <c r="L96" t="s">
        <v>365</v>
      </c>
      <c r="M96">
        <f t="shared" si="4"/>
        <v>4</v>
      </c>
      <c r="N96">
        <f t="shared" si="5"/>
        <v>0.14063460235390801</v>
      </c>
      <c r="O96">
        <f t="shared" si="6"/>
        <v>5.5879421966009327E-2</v>
      </c>
    </row>
    <row r="97" spans="1:15">
      <c r="A97" t="s">
        <v>40</v>
      </c>
      <c r="B97" t="s">
        <v>344</v>
      </c>
      <c r="C97">
        <v>8.7179423800681999E-2</v>
      </c>
      <c r="D97" t="s">
        <v>345</v>
      </c>
      <c r="E97">
        <v>386.9967251230006</v>
      </c>
      <c r="F97" t="s">
        <v>245</v>
      </c>
      <c r="G97" t="s">
        <v>357</v>
      </c>
      <c r="H97" t="s">
        <v>351</v>
      </c>
      <c r="I97" t="s">
        <v>348</v>
      </c>
      <c r="J97" t="s">
        <v>351</v>
      </c>
      <c r="K97" t="s">
        <v>12</v>
      </c>
      <c r="L97" t="s">
        <v>365</v>
      </c>
      <c r="M97">
        <f t="shared" si="4"/>
        <v>4</v>
      </c>
      <c r="N97">
        <f t="shared" si="5"/>
        <v>0.348717695202728</v>
      </c>
      <c r="O97">
        <f t="shared" si="6"/>
        <v>0.1238389520393602</v>
      </c>
    </row>
    <row r="98" spans="1:15">
      <c r="A98" t="s">
        <v>40</v>
      </c>
      <c r="B98" t="s">
        <v>344</v>
      </c>
      <c r="C98">
        <v>4.4516287233847998E-2</v>
      </c>
      <c r="D98" t="s">
        <v>345</v>
      </c>
      <c r="E98">
        <v>177.57913675364469</v>
      </c>
      <c r="F98" t="s">
        <v>245</v>
      </c>
      <c r="G98" t="s">
        <v>357</v>
      </c>
      <c r="H98" t="s">
        <v>351</v>
      </c>
      <c r="I98" t="s">
        <v>348</v>
      </c>
      <c r="J98" t="s">
        <v>351</v>
      </c>
      <c r="K98" t="s">
        <v>12</v>
      </c>
      <c r="L98" t="s">
        <v>365</v>
      </c>
      <c r="M98">
        <f t="shared" si="4"/>
        <v>4</v>
      </c>
      <c r="N98">
        <f t="shared" si="5"/>
        <v>0.17806514893539199</v>
      </c>
      <c r="O98">
        <f t="shared" si="6"/>
        <v>5.6825323761166308E-2</v>
      </c>
    </row>
    <row r="99" spans="1:15">
      <c r="A99" t="s">
        <v>40</v>
      </c>
      <c r="B99" t="s">
        <v>344</v>
      </c>
      <c r="C99">
        <v>4.3274480308751001E-2</v>
      </c>
      <c r="D99" t="s">
        <v>345</v>
      </c>
      <c r="E99">
        <v>182.47013720292378</v>
      </c>
      <c r="F99" t="s">
        <v>245</v>
      </c>
      <c r="G99" t="s">
        <v>357</v>
      </c>
      <c r="H99" t="s">
        <v>351</v>
      </c>
      <c r="I99" t="s">
        <v>348</v>
      </c>
      <c r="J99" t="s">
        <v>351</v>
      </c>
      <c r="K99" t="s">
        <v>12</v>
      </c>
      <c r="L99" t="s">
        <v>365</v>
      </c>
      <c r="M99">
        <f t="shared" si="4"/>
        <v>4</v>
      </c>
      <c r="N99">
        <f t="shared" si="5"/>
        <v>0.173097921235004</v>
      </c>
      <c r="O99">
        <f t="shared" si="6"/>
        <v>5.8390443904935613E-2</v>
      </c>
    </row>
    <row r="100" spans="1:15">
      <c r="A100" t="s">
        <v>40</v>
      </c>
      <c r="B100" t="s">
        <v>344</v>
      </c>
      <c r="C100">
        <v>4.1311113894446E-2</v>
      </c>
      <c r="D100" t="s">
        <v>345</v>
      </c>
      <c r="E100">
        <v>174.19005371103</v>
      </c>
      <c r="F100" t="s">
        <v>245</v>
      </c>
      <c r="G100" t="s">
        <v>357</v>
      </c>
      <c r="H100" t="s">
        <v>351</v>
      </c>
      <c r="I100" t="s">
        <v>348</v>
      </c>
      <c r="J100" t="s">
        <v>351</v>
      </c>
      <c r="K100" t="s">
        <v>12</v>
      </c>
      <c r="L100" t="s">
        <v>365</v>
      </c>
      <c r="M100">
        <f t="shared" si="4"/>
        <v>4</v>
      </c>
      <c r="N100">
        <f t="shared" si="5"/>
        <v>0.165244455577784</v>
      </c>
      <c r="O100">
        <f t="shared" si="6"/>
        <v>5.5740817187529601E-2</v>
      </c>
    </row>
    <row r="101" spans="1:15">
      <c r="A101" t="s">
        <v>40</v>
      </c>
      <c r="B101" t="s">
        <v>344</v>
      </c>
      <c r="C101">
        <v>4.0618751823045002E-2</v>
      </c>
      <c r="D101" t="s">
        <v>345</v>
      </c>
      <c r="E101">
        <v>184.96011530942656</v>
      </c>
      <c r="F101" t="s">
        <v>245</v>
      </c>
      <c r="G101" t="s">
        <v>357</v>
      </c>
      <c r="H101" t="s">
        <v>351</v>
      </c>
      <c r="I101" t="s">
        <v>348</v>
      </c>
      <c r="J101" t="s">
        <v>351</v>
      </c>
      <c r="K101" t="s">
        <v>12</v>
      </c>
      <c r="L101" t="s">
        <v>365</v>
      </c>
      <c r="M101">
        <f t="shared" si="4"/>
        <v>4</v>
      </c>
      <c r="N101">
        <f t="shared" si="5"/>
        <v>0.16247500729218001</v>
      </c>
      <c r="O101">
        <f t="shared" si="6"/>
        <v>5.9187236899016497E-2</v>
      </c>
    </row>
    <row r="102" spans="1:15">
      <c r="A102" t="s">
        <v>40</v>
      </c>
      <c r="B102" t="s">
        <v>344</v>
      </c>
      <c r="C102">
        <v>6.7355307350457E-2</v>
      </c>
      <c r="D102" t="s">
        <v>345</v>
      </c>
      <c r="E102">
        <v>300.24083409937236</v>
      </c>
      <c r="F102" t="s">
        <v>245</v>
      </c>
      <c r="G102" t="s">
        <v>357</v>
      </c>
      <c r="H102" t="s">
        <v>351</v>
      </c>
      <c r="I102" t="s">
        <v>348</v>
      </c>
      <c r="J102" t="s">
        <v>351</v>
      </c>
      <c r="K102" t="s">
        <v>12</v>
      </c>
      <c r="L102" t="s">
        <v>365</v>
      </c>
      <c r="M102">
        <f t="shared" si="4"/>
        <v>4</v>
      </c>
      <c r="N102">
        <f t="shared" si="5"/>
        <v>0.269421229401828</v>
      </c>
      <c r="O102">
        <f t="shared" si="6"/>
        <v>9.6077066911799153E-2</v>
      </c>
    </row>
    <row r="103" spans="1:15">
      <c r="A103" t="s">
        <v>40</v>
      </c>
      <c r="B103" t="s">
        <v>344</v>
      </c>
      <c r="C103">
        <v>2.1291077968054E-2</v>
      </c>
      <c r="D103" t="s">
        <v>345</v>
      </c>
      <c r="E103">
        <v>102.96139710859453</v>
      </c>
      <c r="F103" t="s">
        <v>245</v>
      </c>
      <c r="G103" t="s">
        <v>357</v>
      </c>
      <c r="H103" t="s">
        <v>351</v>
      </c>
      <c r="I103" t="s">
        <v>348</v>
      </c>
      <c r="J103" t="s">
        <v>351</v>
      </c>
      <c r="K103" t="s">
        <v>12</v>
      </c>
      <c r="L103" t="s">
        <v>365</v>
      </c>
      <c r="M103">
        <f t="shared" si="4"/>
        <v>4</v>
      </c>
      <c r="N103">
        <f t="shared" si="5"/>
        <v>8.5164311872216E-2</v>
      </c>
      <c r="O103">
        <f t="shared" si="6"/>
        <v>3.2947647074750251E-2</v>
      </c>
    </row>
    <row r="104" spans="1:15">
      <c r="A104" t="s">
        <v>40</v>
      </c>
      <c r="B104" t="s">
        <v>344</v>
      </c>
      <c r="C104">
        <v>1.0357545817857E-2</v>
      </c>
      <c r="D104" t="s">
        <v>345</v>
      </c>
      <c r="E104">
        <v>55.632796062802441</v>
      </c>
      <c r="F104" t="s">
        <v>245</v>
      </c>
      <c r="G104" t="s">
        <v>357</v>
      </c>
      <c r="H104" t="s">
        <v>352</v>
      </c>
      <c r="I104" t="s">
        <v>348</v>
      </c>
      <c r="J104" t="s">
        <v>352</v>
      </c>
      <c r="K104" t="s">
        <v>18</v>
      </c>
      <c r="L104" t="s">
        <v>365</v>
      </c>
      <c r="M104">
        <f t="shared" si="4"/>
        <v>4</v>
      </c>
      <c r="N104">
        <f t="shared" si="5"/>
        <v>4.1430183271428001E-2</v>
      </c>
      <c r="O104">
        <f t="shared" si="6"/>
        <v>1.7802494740096781E-2</v>
      </c>
    </row>
    <row r="105" spans="1:15">
      <c r="A105" t="s">
        <v>40</v>
      </c>
      <c r="B105" t="s">
        <v>344</v>
      </c>
      <c r="C105">
        <v>2.6096164596848999E-2</v>
      </c>
      <c r="D105" t="s">
        <v>345</v>
      </c>
      <c r="E105">
        <v>117.64756154716649</v>
      </c>
      <c r="F105" t="s">
        <v>245</v>
      </c>
      <c r="G105" t="s">
        <v>357</v>
      </c>
      <c r="H105" t="s">
        <v>352</v>
      </c>
      <c r="I105" t="s">
        <v>348</v>
      </c>
      <c r="J105" t="s">
        <v>352</v>
      </c>
      <c r="K105" t="s">
        <v>18</v>
      </c>
      <c r="L105" t="s">
        <v>365</v>
      </c>
      <c r="M105">
        <f t="shared" si="4"/>
        <v>4</v>
      </c>
      <c r="N105">
        <f t="shared" si="5"/>
        <v>0.104384658387396</v>
      </c>
      <c r="O105">
        <f t="shared" si="6"/>
        <v>3.7647219695093284E-2</v>
      </c>
    </row>
    <row r="106" spans="1:15">
      <c r="A106" t="s">
        <v>40</v>
      </c>
      <c r="B106" t="s">
        <v>344</v>
      </c>
      <c r="C106">
        <v>3.8756988431298003E-2</v>
      </c>
      <c r="D106" t="s">
        <v>345</v>
      </c>
      <c r="E106">
        <v>176.20398314925055</v>
      </c>
      <c r="F106" t="s">
        <v>245</v>
      </c>
      <c r="G106" t="s">
        <v>357</v>
      </c>
      <c r="H106" t="s">
        <v>352</v>
      </c>
      <c r="I106" t="s">
        <v>348</v>
      </c>
      <c r="J106" t="s">
        <v>352</v>
      </c>
      <c r="K106" t="s">
        <v>18</v>
      </c>
      <c r="L106" t="s">
        <v>365</v>
      </c>
      <c r="M106">
        <f t="shared" si="4"/>
        <v>4</v>
      </c>
      <c r="N106">
        <f t="shared" si="5"/>
        <v>0.15502795372519201</v>
      </c>
      <c r="O106">
        <f t="shared" si="6"/>
        <v>5.6385274607760175E-2</v>
      </c>
    </row>
    <row r="107" spans="1:15">
      <c r="A107" t="s">
        <v>40</v>
      </c>
      <c r="B107" t="s">
        <v>344</v>
      </c>
      <c r="C107">
        <v>5.0147720675830003E-2</v>
      </c>
      <c r="D107" t="s">
        <v>345</v>
      </c>
      <c r="E107">
        <v>176.74382464190251</v>
      </c>
      <c r="F107" t="s">
        <v>245</v>
      </c>
      <c r="G107" t="s">
        <v>357</v>
      </c>
      <c r="H107" t="s">
        <v>352</v>
      </c>
      <c r="I107" t="s">
        <v>348</v>
      </c>
      <c r="J107" t="s">
        <v>352</v>
      </c>
      <c r="K107" t="s">
        <v>18</v>
      </c>
      <c r="L107" t="s">
        <v>365</v>
      </c>
      <c r="M107">
        <f t="shared" si="4"/>
        <v>4</v>
      </c>
      <c r="N107">
        <f t="shared" si="5"/>
        <v>0.20059088270332001</v>
      </c>
      <c r="O107">
        <f t="shared" si="6"/>
        <v>5.6558023885408808E-2</v>
      </c>
    </row>
    <row r="108" spans="1:15">
      <c r="A108" t="s">
        <v>40</v>
      </c>
      <c r="B108" t="s">
        <v>344</v>
      </c>
      <c r="C108">
        <v>3.8689384065895997E-2</v>
      </c>
      <c r="D108" t="s">
        <v>345</v>
      </c>
      <c r="E108">
        <v>136.46319798931094</v>
      </c>
      <c r="F108" t="s">
        <v>245</v>
      </c>
      <c r="G108" t="s">
        <v>357</v>
      </c>
      <c r="H108" t="s">
        <v>352</v>
      </c>
      <c r="I108" t="s">
        <v>348</v>
      </c>
      <c r="J108" t="s">
        <v>352</v>
      </c>
      <c r="K108" t="s">
        <v>18</v>
      </c>
      <c r="L108" t="s">
        <v>365</v>
      </c>
      <c r="M108">
        <f t="shared" si="4"/>
        <v>4</v>
      </c>
      <c r="N108">
        <f t="shared" si="5"/>
        <v>0.15475753626358399</v>
      </c>
      <c r="O108">
        <f t="shared" si="6"/>
        <v>4.3668223356579508E-2</v>
      </c>
    </row>
    <row r="109" spans="1:15">
      <c r="A109" t="s">
        <v>38</v>
      </c>
      <c r="B109" t="s">
        <v>344</v>
      </c>
      <c r="C109">
        <v>0.14827737890304701</v>
      </c>
      <c r="D109" t="s">
        <v>345</v>
      </c>
      <c r="E109">
        <v>408.83615082011391</v>
      </c>
      <c r="F109" t="s">
        <v>245</v>
      </c>
      <c r="G109" t="s">
        <v>357</v>
      </c>
      <c r="H109" t="s">
        <v>351</v>
      </c>
      <c r="I109" t="s">
        <v>348</v>
      </c>
      <c r="J109" t="s">
        <v>351</v>
      </c>
      <c r="K109" t="s">
        <v>12</v>
      </c>
      <c r="L109" t="s">
        <v>365</v>
      </c>
      <c r="M109">
        <f t="shared" si="4"/>
        <v>4</v>
      </c>
      <c r="N109">
        <f t="shared" si="5"/>
        <v>0.59310951561218805</v>
      </c>
      <c r="O109">
        <f t="shared" si="6"/>
        <v>0.13082756826243647</v>
      </c>
    </row>
    <row r="110" spans="1:15">
      <c r="A110" t="s">
        <v>38</v>
      </c>
      <c r="B110" t="s">
        <v>344</v>
      </c>
      <c r="C110">
        <v>2.5332466291320001E-2</v>
      </c>
      <c r="D110" t="s">
        <v>345</v>
      </c>
      <c r="E110">
        <v>74.535879661359203</v>
      </c>
      <c r="F110" t="s">
        <v>245</v>
      </c>
      <c r="G110" t="s">
        <v>357</v>
      </c>
      <c r="H110" t="s">
        <v>351</v>
      </c>
      <c r="I110" t="s">
        <v>348</v>
      </c>
      <c r="J110" t="s">
        <v>351</v>
      </c>
      <c r="K110" t="s">
        <v>12</v>
      </c>
      <c r="L110" t="s">
        <v>365</v>
      </c>
      <c r="M110">
        <f t="shared" si="4"/>
        <v>4</v>
      </c>
      <c r="N110">
        <f t="shared" si="5"/>
        <v>0.10132986516528</v>
      </c>
      <c r="O110">
        <f t="shared" si="6"/>
        <v>2.3851481491634945E-2</v>
      </c>
    </row>
    <row r="111" spans="1:15">
      <c r="A111" t="s">
        <v>38</v>
      </c>
      <c r="B111" t="s">
        <v>344</v>
      </c>
      <c r="C111">
        <v>1.1492906062978999E-2</v>
      </c>
      <c r="D111" t="s">
        <v>345</v>
      </c>
      <c r="E111">
        <v>43.372166388424375</v>
      </c>
      <c r="F111" t="s">
        <v>245</v>
      </c>
      <c r="G111" t="s">
        <v>357</v>
      </c>
      <c r="H111" t="s">
        <v>351</v>
      </c>
      <c r="I111" t="s">
        <v>348</v>
      </c>
      <c r="J111" t="s">
        <v>351</v>
      </c>
      <c r="K111" t="s">
        <v>12</v>
      </c>
      <c r="L111" t="s">
        <v>365</v>
      </c>
      <c r="M111">
        <f t="shared" si="4"/>
        <v>4</v>
      </c>
      <c r="N111">
        <f t="shared" si="5"/>
        <v>4.5971624251915998E-2</v>
      </c>
      <c r="O111">
        <f t="shared" si="6"/>
        <v>1.3879093244295799E-2</v>
      </c>
    </row>
    <row r="112" spans="1:15">
      <c r="A112" t="s">
        <v>38</v>
      </c>
      <c r="B112" t="s">
        <v>344</v>
      </c>
      <c r="C112">
        <v>2.3833820527951001E-2</v>
      </c>
      <c r="D112" t="s">
        <v>345</v>
      </c>
      <c r="E112">
        <v>74.54219969965915</v>
      </c>
      <c r="F112" t="s">
        <v>245</v>
      </c>
      <c r="G112" t="s">
        <v>357</v>
      </c>
      <c r="H112" t="s">
        <v>351</v>
      </c>
      <c r="I112" t="s">
        <v>348</v>
      </c>
      <c r="J112" t="s">
        <v>351</v>
      </c>
      <c r="K112" t="s">
        <v>12</v>
      </c>
      <c r="L112" t="s">
        <v>365</v>
      </c>
      <c r="M112">
        <f t="shared" si="4"/>
        <v>4</v>
      </c>
      <c r="N112">
        <f t="shared" si="5"/>
        <v>9.5335282111804004E-2</v>
      </c>
      <c r="O112">
        <f t="shared" si="6"/>
        <v>2.3853503903890929E-2</v>
      </c>
    </row>
    <row r="113" spans="1:15">
      <c r="A113" t="s">
        <v>38</v>
      </c>
      <c r="B113" t="s">
        <v>344</v>
      </c>
      <c r="C113">
        <v>2.4856643778309998E-3</v>
      </c>
      <c r="D113" t="s">
        <v>345</v>
      </c>
      <c r="E113">
        <v>17.673798054795775</v>
      </c>
      <c r="F113" t="s">
        <v>245</v>
      </c>
      <c r="G113" t="s">
        <v>357</v>
      </c>
      <c r="H113" t="s">
        <v>351</v>
      </c>
      <c r="I113" t="s">
        <v>348</v>
      </c>
      <c r="J113" t="s">
        <v>351</v>
      </c>
      <c r="K113" t="s">
        <v>12</v>
      </c>
      <c r="L113" t="s">
        <v>365</v>
      </c>
      <c r="M113">
        <f t="shared" si="4"/>
        <v>4</v>
      </c>
      <c r="N113">
        <f t="shared" si="5"/>
        <v>9.9426575113239993E-3</v>
      </c>
      <c r="O113">
        <f t="shared" si="6"/>
        <v>5.6556153775346478E-3</v>
      </c>
    </row>
    <row r="114" spans="1:15">
      <c r="A114" t="s">
        <v>38</v>
      </c>
      <c r="B114" t="s">
        <v>344</v>
      </c>
      <c r="C114">
        <v>3.6215074599141001E-2</v>
      </c>
      <c r="D114" t="s">
        <v>345</v>
      </c>
      <c r="E114">
        <v>86.517692926332813</v>
      </c>
      <c r="F114" t="s">
        <v>245</v>
      </c>
      <c r="G114" t="s">
        <v>357</v>
      </c>
      <c r="H114" t="s">
        <v>351</v>
      </c>
      <c r="I114" t="s">
        <v>348</v>
      </c>
      <c r="J114" t="s">
        <v>351</v>
      </c>
      <c r="K114" t="s">
        <v>12</v>
      </c>
      <c r="L114" t="s">
        <v>365</v>
      </c>
      <c r="M114">
        <f t="shared" si="4"/>
        <v>4</v>
      </c>
      <c r="N114">
        <f t="shared" si="5"/>
        <v>0.144860298396564</v>
      </c>
      <c r="O114">
        <f t="shared" si="6"/>
        <v>2.76856617364265E-2</v>
      </c>
    </row>
    <row r="115" spans="1:15">
      <c r="A115" t="s">
        <v>75</v>
      </c>
      <c r="B115" t="s">
        <v>344</v>
      </c>
      <c r="C115">
        <v>6.9177456446490003E-3</v>
      </c>
      <c r="D115" t="s">
        <v>345</v>
      </c>
      <c r="E115">
        <v>29.484309108710544</v>
      </c>
      <c r="F115" t="s">
        <v>245</v>
      </c>
      <c r="G115" t="s">
        <v>357</v>
      </c>
      <c r="H115" t="s">
        <v>351</v>
      </c>
      <c r="I115" t="s">
        <v>348</v>
      </c>
      <c r="J115" t="s">
        <v>351</v>
      </c>
      <c r="K115" t="s">
        <v>12</v>
      </c>
      <c r="L115" t="s">
        <v>365</v>
      </c>
      <c r="M115">
        <f t="shared" si="4"/>
        <v>4</v>
      </c>
      <c r="N115">
        <f t="shared" si="5"/>
        <v>2.7670982578596001E-2</v>
      </c>
      <c r="O115">
        <f t="shared" si="6"/>
        <v>9.4349789147873744E-3</v>
      </c>
    </row>
    <row r="116" spans="1:15">
      <c r="A116" t="s">
        <v>75</v>
      </c>
      <c r="B116" t="s">
        <v>344</v>
      </c>
      <c r="C116">
        <v>6.9039029347010006E-2</v>
      </c>
      <c r="D116" t="s">
        <v>345</v>
      </c>
      <c r="E116">
        <v>381.55304532567317</v>
      </c>
      <c r="F116" t="s">
        <v>245</v>
      </c>
      <c r="G116" t="s">
        <v>357</v>
      </c>
      <c r="H116" t="s">
        <v>351</v>
      </c>
      <c r="I116" t="s">
        <v>348</v>
      </c>
      <c r="J116" t="s">
        <v>351</v>
      </c>
      <c r="K116" t="s">
        <v>12</v>
      </c>
      <c r="L116" t="s">
        <v>365</v>
      </c>
      <c r="M116">
        <f t="shared" si="4"/>
        <v>4</v>
      </c>
      <c r="N116">
        <f t="shared" si="5"/>
        <v>0.27615611738804002</v>
      </c>
      <c r="O116">
        <f t="shared" si="6"/>
        <v>0.12209697450421543</v>
      </c>
    </row>
    <row r="117" spans="1:15">
      <c r="A117" t="s">
        <v>75</v>
      </c>
      <c r="B117" t="s">
        <v>344</v>
      </c>
      <c r="C117">
        <v>4.8316478790352002E-2</v>
      </c>
      <c r="D117" t="s">
        <v>345</v>
      </c>
      <c r="E117">
        <v>237.71607363043168</v>
      </c>
      <c r="F117" t="s">
        <v>245</v>
      </c>
      <c r="G117" t="s">
        <v>357</v>
      </c>
      <c r="H117" t="s">
        <v>351</v>
      </c>
      <c r="I117" t="s">
        <v>348</v>
      </c>
      <c r="J117" t="s">
        <v>351</v>
      </c>
      <c r="K117" t="s">
        <v>12</v>
      </c>
      <c r="L117" t="s">
        <v>365</v>
      </c>
      <c r="M117">
        <f t="shared" si="4"/>
        <v>4</v>
      </c>
      <c r="N117">
        <f t="shared" si="5"/>
        <v>0.19326591516140801</v>
      </c>
      <c r="O117">
        <f t="shared" si="6"/>
        <v>7.6069143561738148E-2</v>
      </c>
    </row>
    <row r="118" spans="1:15">
      <c r="A118" t="s">
        <v>75</v>
      </c>
      <c r="B118" t="s">
        <v>344</v>
      </c>
      <c r="C118">
        <v>2.2230822358003E-2</v>
      </c>
      <c r="D118" t="s">
        <v>345</v>
      </c>
      <c r="E118">
        <v>105.94187111581074</v>
      </c>
      <c r="F118" t="s">
        <v>245</v>
      </c>
      <c r="G118" t="s">
        <v>357</v>
      </c>
      <c r="H118" t="s">
        <v>351</v>
      </c>
      <c r="I118" t="s">
        <v>348</v>
      </c>
      <c r="J118" t="s">
        <v>351</v>
      </c>
      <c r="K118" t="s">
        <v>12</v>
      </c>
      <c r="L118" t="s">
        <v>365</v>
      </c>
      <c r="M118">
        <f t="shared" si="4"/>
        <v>4</v>
      </c>
      <c r="N118">
        <f t="shared" si="5"/>
        <v>8.8923289432011998E-2</v>
      </c>
      <c r="O118">
        <f t="shared" si="6"/>
        <v>3.3901398757059442E-2</v>
      </c>
    </row>
    <row r="119" spans="1:15">
      <c r="A119" t="s">
        <v>75</v>
      </c>
      <c r="B119" t="s">
        <v>344</v>
      </c>
      <c r="C119">
        <v>3.6849512303894001E-2</v>
      </c>
      <c r="D119" t="s">
        <v>345</v>
      </c>
      <c r="E119">
        <v>165.21968286694485</v>
      </c>
      <c r="F119" t="s">
        <v>245</v>
      </c>
      <c r="G119" t="s">
        <v>357</v>
      </c>
      <c r="H119" t="s">
        <v>351</v>
      </c>
      <c r="I119" t="s">
        <v>348</v>
      </c>
      <c r="J119" t="s">
        <v>351</v>
      </c>
      <c r="K119" t="s">
        <v>12</v>
      </c>
      <c r="L119" t="s">
        <v>365</v>
      </c>
      <c r="M119">
        <f t="shared" si="4"/>
        <v>4</v>
      </c>
      <c r="N119">
        <f t="shared" si="5"/>
        <v>0.147398049215576</v>
      </c>
      <c r="O119">
        <f t="shared" si="6"/>
        <v>5.2870298517422351E-2</v>
      </c>
    </row>
    <row r="120" spans="1:15">
      <c r="A120" t="s">
        <v>75</v>
      </c>
      <c r="B120" t="s">
        <v>344</v>
      </c>
      <c r="C120">
        <v>4.0213002925888003E-2</v>
      </c>
      <c r="D120" t="s">
        <v>345</v>
      </c>
      <c r="E120">
        <v>187.54862454987193</v>
      </c>
      <c r="F120" t="s">
        <v>245</v>
      </c>
      <c r="G120" t="s">
        <v>357</v>
      </c>
      <c r="H120" t="s">
        <v>351</v>
      </c>
      <c r="I120" t="s">
        <v>348</v>
      </c>
      <c r="J120" t="s">
        <v>351</v>
      </c>
      <c r="K120" t="s">
        <v>12</v>
      </c>
      <c r="L120" t="s">
        <v>365</v>
      </c>
      <c r="M120">
        <f t="shared" si="4"/>
        <v>4</v>
      </c>
      <c r="N120">
        <f t="shared" si="5"/>
        <v>0.16085201170355201</v>
      </c>
      <c r="O120">
        <f t="shared" si="6"/>
        <v>6.0015559855959022E-2</v>
      </c>
    </row>
    <row r="121" spans="1:15">
      <c r="A121" t="s">
        <v>75</v>
      </c>
      <c r="B121" t="s">
        <v>344</v>
      </c>
      <c r="C121">
        <v>3.5448874738199E-2</v>
      </c>
      <c r="D121" t="s">
        <v>345</v>
      </c>
      <c r="E121">
        <v>177.25069165670524</v>
      </c>
      <c r="F121" t="s">
        <v>245</v>
      </c>
      <c r="G121" t="s">
        <v>357</v>
      </c>
      <c r="H121" t="s">
        <v>351</v>
      </c>
      <c r="I121" t="s">
        <v>348</v>
      </c>
      <c r="J121" t="s">
        <v>351</v>
      </c>
      <c r="K121" t="s">
        <v>12</v>
      </c>
      <c r="L121" t="s">
        <v>365</v>
      </c>
      <c r="M121">
        <f t="shared" si="4"/>
        <v>4</v>
      </c>
      <c r="N121">
        <f t="shared" si="5"/>
        <v>0.141795498952796</v>
      </c>
      <c r="O121">
        <f t="shared" si="6"/>
        <v>5.6720221330145683E-2</v>
      </c>
    </row>
    <row r="122" spans="1:15">
      <c r="A122" t="s">
        <v>75</v>
      </c>
      <c r="B122" t="s">
        <v>344</v>
      </c>
      <c r="C122">
        <v>3.8439728244008001E-2</v>
      </c>
      <c r="D122" t="s">
        <v>345</v>
      </c>
      <c r="E122">
        <v>163.0319067106079</v>
      </c>
      <c r="F122" t="s">
        <v>245</v>
      </c>
      <c r="G122" t="s">
        <v>357</v>
      </c>
      <c r="H122" t="s">
        <v>351</v>
      </c>
      <c r="I122" t="s">
        <v>348</v>
      </c>
      <c r="J122" t="s">
        <v>351</v>
      </c>
      <c r="K122" t="s">
        <v>12</v>
      </c>
      <c r="L122" t="s">
        <v>365</v>
      </c>
      <c r="M122">
        <f t="shared" si="4"/>
        <v>4</v>
      </c>
      <c r="N122">
        <f t="shared" si="5"/>
        <v>0.153758912976032</v>
      </c>
      <c r="O122">
        <f t="shared" si="6"/>
        <v>5.2170210147394529E-2</v>
      </c>
    </row>
    <row r="123" spans="1:15">
      <c r="A123" t="s">
        <v>75</v>
      </c>
      <c r="B123" t="s">
        <v>344</v>
      </c>
      <c r="C123">
        <v>3.4727144721958002E-2</v>
      </c>
      <c r="D123" t="s">
        <v>345</v>
      </c>
      <c r="E123">
        <v>148.67240840835055</v>
      </c>
      <c r="F123" t="s">
        <v>245</v>
      </c>
      <c r="G123" t="s">
        <v>357</v>
      </c>
      <c r="H123" t="s">
        <v>351</v>
      </c>
      <c r="I123" t="s">
        <v>348</v>
      </c>
      <c r="J123" t="s">
        <v>351</v>
      </c>
      <c r="K123" t="s">
        <v>12</v>
      </c>
      <c r="L123" t="s">
        <v>365</v>
      </c>
      <c r="M123">
        <f t="shared" si="4"/>
        <v>4</v>
      </c>
      <c r="N123">
        <f t="shared" si="5"/>
        <v>0.13890857888783201</v>
      </c>
      <c r="O123">
        <f t="shared" si="6"/>
        <v>4.7575170690672179E-2</v>
      </c>
    </row>
    <row r="124" spans="1:15">
      <c r="A124" t="s">
        <v>75</v>
      </c>
      <c r="B124" t="s">
        <v>344</v>
      </c>
      <c r="C124">
        <v>5.1224147455814002E-2</v>
      </c>
      <c r="D124" t="s">
        <v>345</v>
      </c>
      <c r="E124">
        <v>180.90691714973033</v>
      </c>
      <c r="F124" t="s">
        <v>245</v>
      </c>
      <c r="G124" t="s">
        <v>357</v>
      </c>
      <c r="H124" t="s">
        <v>351</v>
      </c>
      <c r="I124" t="s">
        <v>348</v>
      </c>
      <c r="J124" t="s">
        <v>351</v>
      </c>
      <c r="K124" t="s">
        <v>12</v>
      </c>
      <c r="L124" t="s">
        <v>365</v>
      </c>
      <c r="M124">
        <f t="shared" si="4"/>
        <v>4</v>
      </c>
      <c r="N124">
        <f t="shared" si="5"/>
        <v>0.20489658982325601</v>
      </c>
      <c r="O124">
        <f t="shared" si="6"/>
        <v>5.7890213487913705E-2</v>
      </c>
    </row>
    <row r="125" spans="1:15">
      <c r="A125" t="s">
        <v>75</v>
      </c>
      <c r="B125" t="s">
        <v>344</v>
      </c>
      <c r="C125">
        <v>3.5256347553062999E-2</v>
      </c>
      <c r="D125" t="s">
        <v>345</v>
      </c>
      <c r="E125">
        <v>165.92706823094758</v>
      </c>
      <c r="F125" t="s">
        <v>245</v>
      </c>
      <c r="G125" t="s">
        <v>357</v>
      </c>
      <c r="H125" t="s">
        <v>352</v>
      </c>
      <c r="I125" t="s">
        <v>348</v>
      </c>
      <c r="J125" t="s">
        <v>352</v>
      </c>
      <c r="K125" t="s">
        <v>18</v>
      </c>
      <c r="L125" t="s">
        <v>365</v>
      </c>
      <c r="M125">
        <f t="shared" si="4"/>
        <v>4</v>
      </c>
      <c r="N125">
        <f t="shared" si="5"/>
        <v>0.14102539021225199</v>
      </c>
      <c r="O125">
        <f t="shared" si="6"/>
        <v>5.3096661833903228E-2</v>
      </c>
    </row>
    <row r="126" spans="1:15">
      <c r="A126" t="s">
        <v>75</v>
      </c>
      <c r="B126" t="s">
        <v>344</v>
      </c>
      <c r="C126">
        <v>5.9623722192609996E-3</v>
      </c>
      <c r="D126" t="s">
        <v>345</v>
      </c>
      <c r="E126">
        <v>34.990220240820108</v>
      </c>
      <c r="F126" t="s">
        <v>245</v>
      </c>
      <c r="G126" t="s">
        <v>357</v>
      </c>
      <c r="H126" t="s">
        <v>352</v>
      </c>
      <c r="I126" t="s">
        <v>348</v>
      </c>
      <c r="J126" t="s">
        <v>352</v>
      </c>
      <c r="K126" t="s">
        <v>18</v>
      </c>
      <c r="L126" t="s">
        <v>365</v>
      </c>
      <c r="M126">
        <f t="shared" si="4"/>
        <v>4</v>
      </c>
      <c r="N126">
        <f t="shared" si="5"/>
        <v>2.3849488877043998E-2</v>
      </c>
      <c r="O126">
        <f t="shared" si="6"/>
        <v>1.1196870477062436E-2</v>
      </c>
    </row>
    <row r="127" spans="1:15">
      <c r="A127" t="s">
        <v>75</v>
      </c>
      <c r="B127" t="s">
        <v>344</v>
      </c>
      <c r="C127">
        <v>3.5490338315625002E-2</v>
      </c>
      <c r="D127" t="s">
        <v>345</v>
      </c>
      <c r="E127">
        <v>169.61433289790298</v>
      </c>
      <c r="F127" t="s">
        <v>245</v>
      </c>
      <c r="G127" t="s">
        <v>357</v>
      </c>
      <c r="H127" t="s">
        <v>352</v>
      </c>
      <c r="I127" t="s">
        <v>348</v>
      </c>
      <c r="J127" t="s">
        <v>352</v>
      </c>
      <c r="K127" t="s">
        <v>18</v>
      </c>
      <c r="L127" t="s">
        <v>365</v>
      </c>
      <c r="M127">
        <f t="shared" si="4"/>
        <v>4</v>
      </c>
      <c r="N127">
        <f t="shared" si="5"/>
        <v>0.14196135326250001</v>
      </c>
      <c r="O127">
        <f t="shared" si="6"/>
        <v>5.427658652732896E-2</v>
      </c>
    </row>
    <row r="128" spans="1:15">
      <c r="A128" t="s">
        <v>75</v>
      </c>
      <c r="B128" t="s">
        <v>344</v>
      </c>
      <c r="C128">
        <v>5.5898081535849997E-3</v>
      </c>
      <c r="D128" t="s">
        <v>345</v>
      </c>
      <c r="E128">
        <v>26.50373691114126</v>
      </c>
      <c r="F128" t="s">
        <v>245</v>
      </c>
      <c r="G128" t="s">
        <v>357</v>
      </c>
      <c r="H128" t="s">
        <v>352</v>
      </c>
      <c r="I128" t="s">
        <v>348</v>
      </c>
      <c r="J128" t="s">
        <v>352</v>
      </c>
      <c r="K128" t="s">
        <v>18</v>
      </c>
      <c r="L128" t="s">
        <v>365</v>
      </c>
      <c r="M128">
        <f t="shared" si="4"/>
        <v>4</v>
      </c>
      <c r="N128">
        <f t="shared" si="5"/>
        <v>2.2359232614339999E-2</v>
      </c>
      <c r="O128">
        <f t="shared" si="6"/>
        <v>8.4811958115652026E-3</v>
      </c>
    </row>
    <row r="129" spans="1:15">
      <c r="A129" t="s">
        <v>75</v>
      </c>
      <c r="B129" t="s">
        <v>344</v>
      </c>
      <c r="C129">
        <v>3.7222163572260998E-2</v>
      </c>
      <c r="D129" t="s">
        <v>345</v>
      </c>
      <c r="E129">
        <v>158.61317246951162</v>
      </c>
      <c r="F129" t="s">
        <v>245</v>
      </c>
      <c r="G129" t="s">
        <v>357</v>
      </c>
      <c r="H129" t="s">
        <v>352</v>
      </c>
      <c r="I129" t="s">
        <v>348</v>
      </c>
      <c r="J129" t="s">
        <v>352</v>
      </c>
      <c r="K129" t="s">
        <v>18</v>
      </c>
      <c r="L129" t="s">
        <v>365</v>
      </c>
      <c r="M129">
        <f t="shared" si="4"/>
        <v>4</v>
      </c>
      <c r="N129">
        <f t="shared" si="5"/>
        <v>0.14888865428904399</v>
      </c>
      <c r="O129">
        <f t="shared" si="6"/>
        <v>5.0756215190243724E-2</v>
      </c>
    </row>
    <row r="130" spans="1:15">
      <c r="A130" t="s">
        <v>75</v>
      </c>
      <c r="B130" t="s">
        <v>344</v>
      </c>
      <c r="C130">
        <v>2.5373000599169999E-3</v>
      </c>
      <c r="D130" t="s">
        <v>345</v>
      </c>
      <c r="E130">
        <v>19.706424617139465</v>
      </c>
      <c r="F130" t="s">
        <v>245</v>
      </c>
      <c r="G130" t="s">
        <v>357</v>
      </c>
      <c r="H130" t="s">
        <v>352</v>
      </c>
      <c r="I130" t="s">
        <v>348</v>
      </c>
      <c r="J130" t="s">
        <v>352</v>
      </c>
      <c r="K130" t="s">
        <v>18</v>
      </c>
      <c r="L130" t="s">
        <v>365</v>
      </c>
      <c r="M130">
        <f t="shared" si="4"/>
        <v>4</v>
      </c>
      <c r="N130">
        <f t="shared" si="5"/>
        <v>1.0149200239668E-2</v>
      </c>
      <c r="O130">
        <f t="shared" si="6"/>
        <v>6.3060558774846289E-3</v>
      </c>
    </row>
    <row r="131" spans="1:15">
      <c r="A131" t="s">
        <v>75</v>
      </c>
      <c r="B131" t="s">
        <v>344</v>
      </c>
      <c r="C131">
        <v>4.2208999589232001E-2</v>
      </c>
      <c r="D131" t="s">
        <v>345</v>
      </c>
      <c r="E131">
        <v>182.77835888796761</v>
      </c>
      <c r="F131" t="s">
        <v>245</v>
      </c>
      <c r="G131" t="s">
        <v>357</v>
      </c>
      <c r="H131" t="s">
        <v>352</v>
      </c>
      <c r="I131" t="s">
        <v>348</v>
      </c>
      <c r="J131" t="s">
        <v>352</v>
      </c>
      <c r="K131" t="s">
        <v>18</v>
      </c>
      <c r="L131" t="s">
        <v>365</v>
      </c>
      <c r="M131">
        <f t="shared" ref="M131:M194" si="7">LEFT(D131,2)*1</f>
        <v>4</v>
      </c>
      <c r="N131">
        <f t="shared" ref="N131:N194" si="8">M131*C131</f>
        <v>0.168835998356928</v>
      </c>
      <c r="O131">
        <f t="shared" ref="O131:O194" si="9">M131*E131*0.8/10000</f>
        <v>5.8489074844149641E-2</v>
      </c>
    </row>
    <row r="132" spans="1:15">
      <c r="A132" t="s">
        <v>75</v>
      </c>
      <c r="B132" t="s">
        <v>344</v>
      </c>
      <c r="C132">
        <v>4.4290738468237001E-2</v>
      </c>
      <c r="D132" t="s">
        <v>345</v>
      </c>
      <c r="E132">
        <v>181.15539074360976</v>
      </c>
      <c r="F132" t="s">
        <v>245</v>
      </c>
      <c r="G132" t="s">
        <v>357</v>
      </c>
      <c r="H132" t="s">
        <v>352</v>
      </c>
      <c r="I132" t="s">
        <v>348</v>
      </c>
      <c r="J132" t="s">
        <v>352</v>
      </c>
      <c r="K132" t="s">
        <v>18</v>
      </c>
      <c r="L132" t="s">
        <v>365</v>
      </c>
      <c r="M132">
        <f t="shared" si="7"/>
        <v>4</v>
      </c>
      <c r="N132">
        <f t="shared" si="8"/>
        <v>0.177162953872948</v>
      </c>
      <c r="O132">
        <f t="shared" si="9"/>
        <v>5.7969725037955132E-2</v>
      </c>
    </row>
    <row r="133" spans="1:15">
      <c r="A133" t="s">
        <v>75</v>
      </c>
      <c r="B133" t="s">
        <v>344</v>
      </c>
      <c r="C133">
        <v>4.5742671797041001E-2</v>
      </c>
      <c r="D133" t="s">
        <v>345</v>
      </c>
      <c r="E133">
        <v>173.13282577022142</v>
      </c>
      <c r="F133" t="s">
        <v>245</v>
      </c>
      <c r="G133" t="s">
        <v>357</v>
      </c>
      <c r="H133" t="s">
        <v>352</v>
      </c>
      <c r="I133" t="s">
        <v>348</v>
      </c>
      <c r="J133" t="s">
        <v>352</v>
      </c>
      <c r="K133" t="s">
        <v>18</v>
      </c>
      <c r="L133" t="s">
        <v>365</v>
      </c>
      <c r="M133">
        <f t="shared" si="7"/>
        <v>4</v>
      </c>
      <c r="N133">
        <f t="shared" si="8"/>
        <v>0.18297068718816401</v>
      </c>
      <c r="O133">
        <f t="shared" si="9"/>
        <v>5.5402504246470856E-2</v>
      </c>
    </row>
    <row r="134" spans="1:15">
      <c r="A134" t="s">
        <v>75</v>
      </c>
      <c r="B134" t="s">
        <v>344</v>
      </c>
      <c r="C134">
        <v>4.1304243177388997E-2</v>
      </c>
      <c r="D134" t="s">
        <v>345</v>
      </c>
      <c r="E134">
        <v>175.22934426185114</v>
      </c>
      <c r="F134" t="s">
        <v>245</v>
      </c>
      <c r="G134" t="s">
        <v>357</v>
      </c>
      <c r="H134" t="s">
        <v>352</v>
      </c>
      <c r="I134" t="s">
        <v>348</v>
      </c>
      <c r="J134" t="s">
        <v>352</v>
      </c>
      <c r="K134" t="s">
        <v>18</v>
      </c>
      <c r="L134" t="s">
        <v>365</v>
      </c>
      <c r="M134">
        <f t="shared" si="7"/>
        <v>4</v>
      </c>
      <c r="N134">
        <f t="shared" si="8"/>
        <v>0.16521697270955599</v>
      </c>
      <c r="O134">
        <f t="shared" si="9"/>
        <v>5.6073390163792362E-2</v>
      </c>
    </row>
    <row r="135" spans="1:15">
      <c r="A135" t="s">
        <v>75</v>
      </c>
      <c r="B135" t="s">
        <v>344</v>
      </c>
      <c r="C135">
        <v>4.9354170107853E-2</v>
      </c>
      <c r="D135" t="s">
        <v>345</v>
      </c>
      <c r="E135">
        <v>184.5428192499536</v>
      </c>
      <c r="F135" t="s">
        <v>245</v>
      </c>
      <c r="G135" t="s">
        <v>357</v>
      </c>
      <c r="H135" t="s">
        <v>352</v>
      </c>
      <c r="I135" t="s">
        <v>348</v>
      </c>
      <c r="J135" t="s">
        <v>352</v>
      </c>
      <c r="K135" t="s">
        <v>18</v>
      </c>
      <c r="L135" t="s">
        <v>365</v>
      </c>
      <c r="M135">
        <f t="shared" si="7"/>
        <v>4</v>
      </c>
      <c r="N135">
        <f t="shared" si="8"/>
        <v>0.197416680431412</v>
      </c>
      <c r="O135">
        <f t="shared" si="9"/>
        <v>5.905370215998515E-2</v>
      </c>
    </row>
    <row r="136" spans="1:15">
      <c r="A136" t="s">
        <v>129</v>
      </c>
      <c r="B136" t="s">
        <v>344</v>
      </c>
      <c r="C136">
        <v>0.108284762460668</v>
      </c>
      <c r="D136" t="s">
        <v>345</v>
      </c>
      <c r="E136">
        <v>133.98446326076044</v>
      </c>
      <c r="F136" t="s">
        <v>245</v>
      </c>
      <c r="G136" t="s">
        <v>357</v>
      </c>
      <c r="H136" t="s">
        <v>347</v>
      </c>
      <c r="I136" t="s">
        <v>348</v>
      </c>
      <c r="J136" t="s">
        <v>347</v>
      </c>
      <c r="K136" t="s">
        <v>61</v>
      </c>
      <c r="L136" t="s">
        <v>365</v>
      </c>
      <c r="M136">
        <f t="shared" si="7"/>
        <v>4</v>
      </c>
      <c r="N136">
        <f t="shared" si="8"/>
        <v>0.43313904984267199</v>
      </c>
      <c r="O136">
        <f t="shared" si="9"/>
        <v>4.2875028243443344E-2</v>
      </c>
    </row>
    <row r="137" spans="1:15">
      <c r="A137" t="s">
        <v>38</v>
      </c>
      <c r="B137" t="s">
        <v>344</v>
      </c>
      <c r="C137">
        <v>6.6162926269434E-2</v>
      </c>
      <c r="D137" t="s">
        <v>345</v>
      </c>
      <c r="E137">
        <v>232.0781610911024</v>
      </c>
      <c r="F137" t="s">
        <v>245</v>
      </c>
      <c r="G137" t="s">
        <v>357</v>
      </c>
      <c r="H137" t="s">
        <v>351</v>
      </c>
      <c r="I137" t="s">
        <v>348</v>
      </c>
      <c r="J137" t="s">
        <v>351</v>
      </c>
      <c r="K137" t="s">
        <v>12</v>
      </c>
      <c r="L137" t="s">
        <v>365</v>
      </c>
      <c r="M137">
        <f t="shared" si="7"/>
        <v>4</v>
      </c>
      <c r="N137">
        <f t="shared" si="8"/>
        <v>0.264651705077736</v>
      </c>
      <c r="O137">
        <f t="shared" si="9"/>
        <v>7.4265011549152771E-2</v>
      </c>
    </row>
    <row r="138" spans="1:15">
      <c r="A138" t="s">
        <v>38</v>
      </c>
      <c r="B138" t="s">
        <v>344</v>
      </c>
      <c r="C138">
        <v>2.8204439716671002E-2</v>
      </c>
      <c r="D138" t="s">
        <v>345</v>
      </c>
      <c r="E138">
        <v>77.540560756848166</v>
      </c>
      <c r="F138" t="s">
        <v>245</v>
      </c>
      <c r="G138" t="s">
        <v>357</v>
      </c>
      <c r="H138" t="s">
        <v>351</v>
      </c>
      <c r="I138" t="s">
        <v>348</v>
      </c>
      <c r="J138" t="s">
        <v>351</v>
      </c>
      <c r="K138" t="s">
        <v>12</v>
      </c>
      <c r="L138" t="s">
        <v>365</v>
      </c>
      <c r="M138">
        <f t="shared" si="7"/>
        <v>4</v>
      </c>
      <c r="N138">
        <f t="shared" si="8"/>
        <v>0.11281775886668401</v>
      </c>
      <c r="O138">
        <f t="shared" si="9"/>
        <v>2.4812979442191414E-2</v>
      </c>
    </row>
    <row r="139" spans="1:15">
      <c r="A139" t="s">
        <v>38</v>
      </c>
      <c r="B139" t="s">
        <v>344</v>
      </c>
      <c r="C139">
        <v>1.7773945420559E-2</v>
      </c>
      <c r="D139" t="s">
        <v>345</v>
      </c>
      <c r="E139">
        <v>57.737657216550581</v>
      </c>
      <c r="F139" t="s">
        <v>245</v>
      </c>
      <c r="G139" t="s">
        <v>357</v>
      </c>
      <c r="H139" t="s">
        <v>351</v>
      </c>
      <c r="I139" t="s">
        <v>348</v>
      </c>
      <c r="J139" t="s">
        <v>351</v>
      </c>
      <c r="K139" t="s">
        <v>12</v>
      </c>
      <c r="L139" t="s">
        <v>365</v>
      </c>
      <c r="M139">
        <f t="shared" si="7"/>
        <v>4</v>
      </c>
      <c r="N139">
        <f t="shared" si="8"/>
        <v>7.1095781682236001E-2</v>
      </c>
      <c r="O139">
        <f t="shared" si="9"/>
        <v>1.8476050309296187E-2</v>
      </c>
    </row>
    <row r="140" spans="1:15">
      <c r="A140" t="s">
        <v>38</v>
      </c>
      <c r="B140" t="s">
        <v>344</v>
      </c>
      <c r="C140">
        <v>7.0477920530451002E-2</v>
      </c>
      <c r="D140" t="s">
        <v>345</v>
      </c>
      <c r="E140">
        <v>157.85999101610054</v>
      </c>
      <c r="F140" t="s">
        <v>245</v>
      </c>
      <c r="G140" t="s">
        <v>357</v>
      </c>
      <c r="H140" t="s">
        <v>351</v>
      </c>
      <c r="I140" t="s">
        <v>348</v>
      </c>
      <c r="J140" t="s">
        <v>351</v>
      </c>
      <c r="K140" t="s">
        <v>12</v>
      </c>
      <c r="L140" t="s">
        <v>365</v>
      </c>
      <c r="M140">
        <f t="shared" si="7"/>
        <v>4</v>
      </c>
      <c r="N140">
        <f t="shared" si="8"/>
        <v>0.28191168212180401</v>
      </c>
      <c r="O140">
        <f t="shared" si="9"/>
        <v>5.0515197125152171E-2</v>
      </c>
    </row>
    <row r="141" spans="1:15">
      <c r="A141" t="s">
        <v>23</v>
      </c>
      <c r="B141" t="s">
        <v>344</v>
      </c>
      <c r="C141">
        <v>0.18287930619825701</v>
      </c>
      <c r="D141" t="s">
        <v>345</v>
      </c>
      <c r="E141">
        <v>401.57742363569332</v>
      </c>
      <c r="F141" t="s">
        <v>245</v>
      </c>
      <c r="G141" t="s">
        <v>357</v>
      </c>
      <c r="H141" t="s">
        <v>351</v>
      </c>
      <c r="I141" t="s">
        <v>348</v>
      </c>
      <c r="J141" t="s">
        <v>351</v>
      </c>
      <c r="K141" t="s">
        <v>12</v>
      </c>
      <c r="L141" t="s">
        <v>365</v>
      </c>
      <c r="M141">
        <f t="shared" si="7"/>
        <v>4</v>
      </c>
      <c r="N141">
        <f t="shared" si="8"/>
        <v>0.73151722479302805</v>
      </c>
      <c r="O141">
        <f t="shared" si="9"/>
        <v>0.12850477556342188</v>
      </c>
    </row>
    <row r="142" spans="1:15">
      <c r="A142" t="s">
        <v>23</v>
      </c>
      <c r="B142" t="s">
        <v>344</v>
      </c>
      <c r="C142">
        <v>6.9276377086086999E-2</v>
      </c>
      <c r="D142" t="s">
        <v>345</v>
      </c>
      <c r="E142">
        <v>223.69341097280849</v>
      </c>
      <c r="F142" t="s">
        <v>245</v>
      </c>
      <c r="G142" t="s">
        <v>357</v>
      </c>
      <c r="H142" t="s">
        <v>351</v>
      </c>
      <c r="I142" t="s">
        <v>348</v>
      </c>
      <c r="J142" t="s">
        <v>351</v>
      </c>
      <c r="K142" t="s">
        <v>12</v>
      </c>
      <c r="L142" t="s">
        <v>365</v>
      </c>
      <c r="M142">
        <f t="shared" si="7"/>
        <v>4</v>
      </c>
      <c r="N142">
        <f t="shared" si="8"/>
        <v>0.27710550834434799</v>
      </c>
      <c r="O142">
        <f t="shared" si="9"/>
        <v>7.158189151129872E-2</v>
      </c>
    </row>
    <row r="143" spans="1:15">
      <c r="A143" t="s">
        <v>23</v>
      </c>
      <c r="B143" t="s">
        <v>344</v>
      </c>
      <c r="C143">
        <v>3.1680526077347997E-2</v>
      </c>
      <c r="D143" t="s">
        <v>345</v>
      </c>
      <c r="E143">
        <v>95.561124403393833</v>
      </c>
      <c r="F143" t="s">
        <v>245</v>
      </c>
      <c r="G143" t="s">
        <v>357</v>
      </c>
      <c r="H143" t="s">
        <v>351</v>
      </c>
      <c r="I143" t="s">
        <v>348</v>
      </c>
      <c r="J143" t="s">
        <v>351</v>
      </c>
      <c r="K143" t="s">
        <v>12</v>
      </c>
      <c r="L143" t="s">
        <v>365</v>
      </c>
      <c r="M143">
        <f t="shared" si="7"/>
        <v>4</v>
      </c>
      <c r="N143">
        <f t="shared" si="8"/>
        <v>0.12672210430939199</v>
      </c>
      <c r="O143">
        <f t="shared" si="9"/>
        <v>3.0579559809086027E-2</v>
      </c>
    </row>
    <row r="144" spans="1:15">
      <c r="A144" t="s">
        <v>81</v>
      </c>
      <c r="B144" t="s">
        <v>344</v>
      </c>
      <c r="C144">
        <v>7.7227048610140001E-3</v>
      </c>
      <c r="D144" t="s">
        <v>345</v>
      </c>
      <c r="E144">
        <v>31.152534067377442</v>
      </c>
      <c r="F144" t="s">
        <v>245</v>
      </c>
      <c r="G144" t="s">
        <v>357</v>
      </c>
      <c r="H144" t="s">
        <v>351</v>
      </c>
      <c r="I144" t="s">
        <v>348</v>
      </c>
      <c r="J144" t="s">
        <v>351</v>
      </c>
      <c r="K144" t="s">
        <v>12</v>
      </c>
      <c r="L144" t="s">
        <v>365</v>
      </c>
      <c r="M144">
        <f t="shared" si="7"/>
        <v>4</v>
      </c>
      <c r="N144">
        <f t="shared" si="8"/>
        <v>3.0890819444056E-2</v>
      </c>
      <c r="O144">
        <f t="shared" si="9"/>
        <v>9.9688109015607825E-3</v>
      </c>
    </row>
    <row r="145" spans="1:15">
      <c r="A145" t="s">
        <v>81</v>
      </c>
      <c r="B145" t="s">
        <v>344</v>
      </c>
      <c r="C145">
        <v>6.4982558522951997E-2</v>
      </c>
      <c r="D145" t="s">
        <v>345</v>
      </c>
      <c r="E145">
        <v>379.54285474568667</v>
      </c>
      <c r="F145" t="s">
        <v>245</v>
      </c>
      <c r="G145" t="s">
        <v>357</v>
      </c>
      <c r="H145" t="s">
        <v>351</v>
      </c>
      <c r="I145" t="s">
        <v>348</v>
      </c>
      <c r="J145" t="s">
        <v>351</v>
      </c>
      <c r="K145" t="s">
        <v>12</v>
      </c>
      <c r="L145" t="s">
        <v>365</v>
      </c>
      <c r="M145">
        <f t="shared" si="7"/>
        <v>4</v>
      </c>
      <c r="N145">
        <f t="shared" si="8"/>
        <v>0.25993023409180799</v>
      </c>
      <c r="O145">
        <f t="shared" si="9"/>
        <v>0.12145371351861975</v>
      </c>
    </row>
    <row r="146" spans="1:15">
      <c r="A146" t="s">
        <v>81</v>
      </c>
      <c r="B146" t="s">
        <v>344</v>
      </c>
      <c r="C146">
        <v>8.4302969748270007E-3</v>
      </c>
      <c r="D146" t="s">
        <v>345</v>
      </c>
      <c r="E146">
        <v>32.548433967373285</v>
      </c>
      <c r="F146" t="s">
        <v>245</v>
      </c>
      <c r="G146" t="s">
        <v>357</v>
      </c>
      <c r="H146" t="s">
        <v>351</v>
      </c>
      <c r="I146" t="s">
        <v>348</v>
      </c>
      <c r="J146" t="s">
        <v>351</v>
      </c>
      <c r="K146" t="s">
        <v>12</v>
      </c>
      <c r="L146" t="s">
        <v>365</v>
      </c>
      <c r="M146">
        <f t="shared" si="7"/>
        <v>4</v>
      </c>
      <c r="N146">
        <f t="shared" si="8"/>
        <v>3.3721187899308003E-2</v>
      </c>
      <c r="O146">
        <f t="shared" si="9"/>
        <v>1.0415498869559451E-2</v>
      </c>
    </row>
    <row r="147" spans="1:15">
      <c r="A147" t="s">
        <v>81</v>
      </c>
      <c r="B147" t="s">
        <v>344</v>
      </c>
      <c r="C147">
        <v>7.9265650548602004E-2</v>
      </c>
      <c r="D147" t="s">
        <v>345</v>
      </c>
      <c r="E147">
        <v>368.56221105393649</v>
      </c>
      <c r="F147" t="s">
        <v>245</v>
      </c>
      <c r="G147" t="s">
        <v>357</v>
      </c>
      <c r="H147" t="s">
        <v>351</v>
      </c>
      <c r="I147" t="s">
        <v>348</v>
      </c>
      <c r="J147" t="s">
        <v>351</v>
      </c>
      <c r="K147" t="s">
        <v>12</v>
      </c>
      <c r="L147" t="s">
        <v>365</v>
      </c>
      <c r="M147">
        <f t="shared" si="7"/>
        <v>4</v>
      </c>
      <c r="N147">
        <f t="shared" si="8"/>
        <v>0.31706260219440802</v>
      </c>
      <c r="O147">
        <f t="shared" si="9"/>
        <v>0.11793990753725968</v>
      </c>
    </row>
    <row r="148" spans="1:15">
      <c r="A148" t="s">
        <v>81</v>
      </c>
      <c r="B148" t="s">
        <v>344</v>
      </c>
      <c r="C148">
        <v>8.6346492678073997E-2</v>
      </c>
      <c r="D148" t="s">
        <v>345</v>
      </c>
      <c r="E148">
        <v>364.74607016643733</v>
      </c>
      <c r="F148" t="s">
        <v>245</v>
      </c>
      <c r="G148" t="s">
        <v>357</v>
      </c>
      <c r="H148" t="s">
        <v>351</v>
      </c>
      <c r="I148" t="s">
        <v>348</v>
      </c>
      <c r="J148" t="s">
        <v>351</v>
      </c>
      <c r="K148" t="s">
        <v>12</v>
      </c>
      <c r="L148" t="s">
        <v>365</v>
      </c>
      <c r="M148">
        <f t="shared" si="7"/>
        <v>4</v>
      </c>
      <c r="N148">
        <f t="shared" si="8"/>
        <v>0.34538597071229599</v>
      </c>
      <c r="O148">
        <f t="shared" si="9"/>
        <v>0.11671874245325996</v>
      </c>
    </row>
    <row r="149" spans="1:15">
      <c r="A149" t="s">
        <v>81</v>
      </c>
      <c r="B149" t="s">
        <v>344</v>
      </c>
      <c r="C149">
        <v>8.3238073140345994E-2</v>
      </c>
      <c r="D149" t="s">
        <v>345</v>
      </c>
      <c r="E149">
        <v>373.06400569650953</v>
      </c>
      <c r="F149" t="s">
        <v>245</v>
      </c>
      <c r="G149" t="s">
        <v>357</v>
      </c>
      <c r="H149" t="s">
        <v>351</v>
      </c>
      <c r="I149" t="s">
        <v>348</v>
      </c>
      <c r="J149" t="s">
        <v>351</v>
      </c>
      <c r="K149" t="s">
        <v>12</v>
      </c>
      <c r="L149" t="s">
        <v>365</v>
      </c>
      <c r="M149">
        <f t="shared" si="7"/>
        <v>4</v>
      </c>
      <c r="N149">
        <f t="shared" si="8"/>
        <v>0.33295229256138398</v>
      </c>
      <c r="O149">
        <f t="shared" si="9"/>
        <v>0.11938048182288305</v>
      </c>
    </row>
    <row r="150" spans="1:15">
      <c r="A150" t="s">
        <v>23</v>
      </c>
      <c r="B150" t="s">
        <v>344</v>
      </c>
      <c r="C150">
        <v>5.4045460815009001E-2</v>
      </c>
      <c r="D150" t="s">
        <v>345</v>
      </c>
      <c r="E150">
        <v>126.45696235741687</v>
      </c>
      <c r="F150" t="s">
        <v>245</v>
      </c>
      <c r="G150" t="s">
        <v>357</v>
      </c>
      <c r="H150" t="s">
        <v>351</v>
      </c>
      <c r="I150" t="s">
        <v>348</v>
      </c>
      <c r="J150" t="s">
        <v>351</v>
      </c>
      <c r="K150" t="s">
        <v>12</v>
      </c>
      <c r="L150" t="s">
        <v>365</v>
      </c>
      <c r="M150">
        <f t="shared" si="7"/>
        <v>4</v>
      </c>
      <c r="N150">
        <f t="shared" si="8"/>
        <v>0.21618184326003601</v>
      </c>
      <c r="O150">
        <f t="shared" si="9"/>
        <v>4.04662279543734E-2</v>
      </c>
    </row>
    <row r="151" spans="1:15">
      <c r="A151" t="s">
        <v>31</v>
      </c>
      <c r="B151" t="s">
        <v>344</v>
      </c>
      <c r="C151">
        <v>1.9508246963418002E-2</v>
      </c>
      <c r="D151" t="s">
        <v>345</v>
      </c>
      <c r="E151">
        <v>49.512827218517579</v>
      </c>
      <c r="F151" t="s">
        <v>245</v>
      </c>
      <c r="G151" t="s">
        <v>357</v>
      </c>
      <c r="H151" t="s">
        <v>351</v>
      </c>
      <c r="I151" t="s">
        <v>348</v>
      </c>
      <c r="J151" t="s">
        <v>351</v>
      </c>
      <c r="K151" t="s">
        <v>12</v>
      </c>
      <c r="L151" t="s">
        <v>365</v>
      </c>
      <c r="M151">
        <f t="shared" si="7"/>
        <v>4</v>
      </c>
      <c r="N151">
        <f t="shared" si="8"/>
        <v>7.8032987853672006E-2</v>
      </c>
      <c r="O151">
        <f t="shared" si="9"/>
        <v>1.5844104709925626E-2</v>
      </c>
    </row>
    <row r="152" spans="1:15">
      <c r="A152" t="s">
        <v>57</v>
      </c>
      <c r="B152" t="s">
        <v>344</v>
      </c>
      <c r="C152">
        <v>3.3180096538396001E-2</v>
      </c>
      <c r="D152" t="s">
        <v>345</v>
      </c>
      <c r="E152">
        <v>148.57039902985827</v>
      </c>
      <c r="F152" t="s">
        <v>245</v>
      </c>
      <c r="G152" t="s">
        <v>357</v>
      </c>
      <c r="H152" t="s">
        <v>351</v>
      </c>
      <c r="I152" t="s">
        <v>348</v>
      </c>
      <c r="J152" t="s">
        <v>351</v>
      </c>
      <c r="K152" t="s">
        <v>12</v>
      </c>
      <c r="L152" t="s">
        <v>365</v>
      </c>
      <c r="M152">
        <f t="shared" si="7"/>
        <v>4</v>
      </c>
      <c r="N152">
        <f t="shared" si="8"/>
        <v>0.132720386153584</v>
      </c>
      <c r="O152">
        <f t="shared" si="9"/>
        <v>4.7542527689554644E-2</v>
      </c>
    </row>
    <row r="153" spans="1:15">
      <c r="A153" t="s">
        <v>57</v>
      </c>
      <c r="B153" t="s">
        <v>344</v>
      </c>
      <c r="C153">
        <v>4.9952361376735997E-2</v>
      </c>
      <c r="D153" t="s">
        <v>345</v>
      </c>
      <c r="E153">
        <v>204.20087084814924</v>
      </c>
      <c r="F153" t="s">
        <v>245</v>
      </c>
      <c r="G153" t="s">
        <v>357</v>
      </c>
      <c r="H153" t="s">
        <v>351</v>
      </c>
      <c r="I153" t="s">
        <v>348</v>
      </c>
      <c r="J153" t="s">
        <v>351</v>
      </c>
      <c r="K153" t="s">
        <v>12</v>
      </c>
      <c r="L153" t="s">
        <v>365</v>
      </c>
      <c r="M153">
        <f t="shared" si="7"/>
        <v>4</v>
      </c>
      <c r="N153">
        <f t="shared" si="8"/>
        <v>0.19980944550694399</v>
      </c>
      <c r="O153">
        <f t="shared" si="9"/>
        <v>6.5344278671407754E-2</v>
      </c>
    </row>
    <row r="154" spans="1:15">
      <c r="A154" t="s">
        <v>57</v>
      </c>
      <c r="B154" t="s">
        <v>344</v>
      </c>
      <c r="C154">
        <v>4.4609909616804E-2</v>
      </c>
      <c r="D154" t="s">
        <v>345</v>
      </c>
      <c r="E154">
        <v>172.00585049647674</v>
      </c>
      <c r="F154" t="s">
        <v>245</v>
      </c>
      <c r="G154" t="s">
        <v>357</v>
      </c>
      <c r="H154" t="s">
        <v>351</v>
      </c>
      <c r="I154" t="s">
        <v>348</v>
      </c>
      <c r="J154" t="s">
        <v>351</v>
      </c>
      <c r="K154" t="s">
        <v>12</v>
      </c>
      <c r="L154" t="s">
        <v>365</v>
      </c>
      <c r="M154">
        <f t="shared" si="7"/>
        <v>4</v>
      </c>
      <c r="N154">
        <f t="shared" si="8"/>
        <v>0.178439638467216</v>
      </c>
      <c r="O154">
        <f t="shared" si="9"/>
        <v>5.504187215887256E-2</v>
      </c>
    </row>
    <row r="155" spans="1:15">
      <c r="A155" t="s">
        <v>57</v>
      </c>
      <c r="B155" t="s">
        <v>344</v>
      </c>
      <c r="C155">
        <v>5.1820161207233997E-2</v>
      </c>
      <c r="D155" t="s">
        <v>345</v>
      </c>
      <c r="E155">
        <v>205.37106825885832</v>
      </c>
      <c r="F155" t="s">
        <v>245</v>
      </c>
      <c r="G155" t="s">
        <v>357</v>
      </c>
      <c r="H155" t="s">
        <v>351</v>
      </c>
      <c r="I155" t="s">
        <v>348</v>
      </c>
      <c r="J155" t="s">
        <v>351</v>
      </c>
      <c r="K155" t="s">
        <v>12</v>
      </c>
      <c r="L155" t="s">
        <v>365</v>
      </c>
      <c r="M155">
        <f t="shared" si="7"/>
        <v>4</v>
      </c>
      <c r="N155">
        <f t="shared" si="8"/>
        <v>0.20728064482893599</v>
      </c>
      <c r="O155">
        <f t="shared" si="9"/>
        <v>6.571874184283466E-2</v>
      </c>
    </row>
    <row r="156" spans="1:15">
      <c r="A156" t="s">
        <v>57</v>
      </c>
      <c r="B156" t="s">
        <v>344</v>
      </c>
      <c r="C156">
        <v>7.4669435119485997E-2</v>
      </c>
      <c r="D156" t="s">
        <v>345</v>
      </c>
      <c r="E156">
        <v>320.2264560782528</v>
      </c>
      <c r="F156" t="s">
        <v>245</v>
      </c>
      <c r="G156" t="s">
        <v>357</v>
      </c>
      <c r="H156" t="s">
        <v>351</v>
      </c>
      <c r="I156" t="s">
        <v>348</v>
      </c>
      <c r="J156" t="s">
        <v>351</v>
      </c>
      <c r="K156" t="s">
        <v>12</v>
      </c>
      <c r="L156" t="s">
        <v>365</v>
      </c>
      <c r="M156">
        <f t="shared" si="7"/>
        <v>4</v>
      </c>
      <c r="N156">
        <f t="shared" si="8"/>
        <v>0.29867774047794399</v>
      </c>
      <c r="O156">
        <f t="shared" si="9"/>
        <v>0.10247246594504091</v>
      </c>
    </row>
    <row r="157" spans="1:15">
      <c r="A157" t="s">
        <v>57</v>
      </c>
      <c r="B157" t="s">
        <v>344</v>
      </c>
      <c r="C157">
        <v>2.4191724905358002E-2</v>
      </c>
      <c r="D157" t="s">
        <v>345</v>
      </c>
      <c r="E157">
        <v>109.0845607634931</v>
      </c>
      <c r="F157" t="s">
        <v>245</v>
      </c>
      <c r="G157" t="s">
        <v>357</v>
      </c>
      <c r="H157" t="s">
        <v>351</v>
      </c>
      <c r="I157" t="s">
        <v>348</v>
      </c>
      <c r="J157" t="s">
        <v>351</v>
      </c>
      <c r="K157" t="s">
        <v>12</v>
      </c>
      <c r="L157" t="s">
        <v>365</v>
      </c>
      <c r="M157">
        <f t="shared" si="7"/>
        <v>4</v>
      </c>
      <c r="N157">
        <f t="shared" si="8"/>
        <v>9.6766899621432007E-2</v>
      </c>
      <c r="O157">
        <f t="shared" si="9"/>
        <v>3.4907059444317795E-2</v>
      </c>
    </row>
    <row r="158" spans="1:15">
      <c r="A158" t="s">
        <v>57</v>
      </c>
      <c r="B158" t="s">
        <v>344</v>
      </c>
      <c r="C158">
        <v>1.5627395584404999E-2</v>
      </c>
      <c r="D158" t="s">
        <v>345</v>
      </c>
      <c r="E158">
        <v>72.346782259821751</v>
      </c>
      <c r="F158" t="s">
        <v>245</v>
      </c>
      <c r="G158" t="s">
        <v>357</v>
      </c>
      <c r="H158" t="s">
        <v>351</v>
      </c>
      <c r="I158" t="s">
        <v>348</v>
      </c>
      <c r="J158" t="s">
        <v>351</v>
      </c>
      <c r="K158" t="s">
        <v>12</v>
      </c>
      <c r="L158" t="s">
        <v>365</v>
      </c>
      <c r="M158">
        <f t="shared" si="7"/>
        <v>4</v>
      </c>
      <c r="N158">
        <f t="shared" si="8"/>
        <v>6.2509582337619995E-2</v>
      </c>
      <c r="O158">
        <f t="shared" si="9"/>
        <v>2.3150970323142964E-2</v>
      </c>
    </row>
    <row r="159" spans="1:15">
      <c r="A159" t="s">
        <v>57</v>
      </c>
      <c r="B159" t="s">
        <v>344</v>
      </c>
      <c r="C159">
        <v>3.3789901741169998E-2</v>
      </c>
      <c r="D159" t="s">
        <v>345</v>
      </c>
      <c r="E159">
        <v>166.86686156261092</v>
      </c>
      <c r="F159" t="s">
        <v>245</v>
      </c>
      <c r="G159" t="s">
        <v>357</v>
      </c>
      <c r="H159" t="s">
        <v>351</v>
      </c>
      <c r="I159" t="s">
        <v>348</v>
      </c>
      <c r="J159" t="s">
        <v>351</v>
      </c>
      <c r="K159" t="s">
        <v>12</v>
      </c>
      <c r="L159" t="s">
        <v>365</v>
      </c>
      <c r="M159">
        <f t="shared" si="7"/>
        <v>4</v>
      </c>
      <c r="N159">
        <f t="shared" si="8"/>
        <v>0.13515960696467999</v>
      </c>
      <c r="O159">
        <f t="shared" si="9"/>
        <v>5.3397395700035495E-2</v>
      </c>
    </row>
    <row r="160" spans="1:15">
      <c r="A160" t="s">
        <v>57</v>
      </c>
      <c r="B160" t="s">
        <v>344</v>
      </c>
      <c r="C160">
        <v>7.9874187872068E-2</v>
      </c>
      <c r="D160" t="s">
        <v>345</v>
      </c>
      <c r="E160">
        <v>360.85722608867121</v>
      </c>
      <c r="F160" t="s">
        <v>245</v>
      </c>
      <c r="G160" t="s">
        <v>357</v>
      </c>
      <c r="H160" t="s">
        <v>351</v>
      </c>
      <c r="I160" t="s">
        <v>348</v>
      </c>
      <c r="J160" t="s">
        <v>351</v>
      </c>
      <c r="K160" t="s">
        <v>12</v>
      </c>
      <c r="L160" t="s">
        <v>365</v>
      </c>
      <c r="M160">
        <f t="shared" si="7"/>
        <v>4</v>
      </c>
      <c r="N160">
        <f t="shared" si="8"/>
        <v>0.319496751488272</v>
      </c>
      <c r="O160">
        <f t="shared" si="9"/>
        <v>0.1154743123483748</v>
      </c>
    </row>
    <row r="161" spans="1:15">
      <c r="A161" t="s">
        <v>57</v>
      </c>
      <c r="B161" t="s">
        <v>344</v>
      </c>
      <c r="C161">
        <v>0.33308206370760302</v>
      </c>
      <c r="D161" t="s">
        <v>345</v>
      </c>
      <c r="E161">
        <v>421.60373258571701</v>
      </c>
      <c r="F161" t="s">
        <v>245</v>
      </c>
      <c r="G161" t="s">
        <v>357</v>
      </c>
      <c r="H161" t="s">
        <v>351</v>
      </c>
      <c r="I161" t="s">
        <v>348</v>
      </c>
      <c r="J161" t="s">
        <v>351</v>
      </c>
      <c r="K161" t="s">
        <v>12</v>
      </c>
      <c r="L161" t="s">
        <v>365</v>
      </c>
      <c r="M161">
        <f t="shared" si="7"/>
        <v>4</v>
      </c>
      <c r="N161">
        <f t="shared" si="8"/>
        <v>1.3323282548304121</v>
      </c>
      <c r="O161">
        <f t="shared" si="9"/>
        <v>0.13491319442742944</v>
      </c>
    </row>
    <row r="162" spans="1:15">
      <c r="A162" t="s">
        <v>324</v>
      </c>
      <c r="B162" t="s">
        <v>139</v>
      </c>
      <c r="C162">
        <v>2.5385392274714001E-2</v>
      </c>
      <c r="D162" t="s">
        <v>350</v>
      </c>
      <c r="E162">
        <v>75.525963156584311</v>
      </c>
      <c r="F162" t="s">
        <v>245</v>
      </c>
      <c r="G162" t="s">
        <v>346</v>
      </c>
      <c r="H162" t="s">
        <v>347</v>
      </c>
      <c r="I162" t="s">
        <v>348</v>
      </c>
      <c r="J162" t="s">
        <v>347</v>
      </c>
      <c r="K162" t="s">
        <v>61</v>
      </c>
      <c r="L162" t="s">
        <v>365</v>
      </c>
      <c r="M162">
        <f t="shared" si="7"/>
        <v>12</v>
      </c>
      <c r="N162">
        <f t="shared" si="8"/>
        <v>0.30462470729656799</v>
      </c>
      <c r="O162">
        <f t="shared" si="9"/>
        <v>7.2504924630320947E-2</v>
      </c>
    </row>
    <row r="163" spans="1:15">
      <c r="A163" t="s">
        <v>261</v>
      </c>
      <c r="B163" t="s">
        <v>344</v>
      </c>
      <c r="C163">
        <v>4.5471122657447002E-2</v>
      </c>
      <c r="D163" t="s">
        <v>345</v>
      </c>
      <c r="E163">
        <v>94.754206477411685</v>
      </c>
      <c r="F163" t="s">
        <v>245</v>
      </c>
      <c r="G163" t="s">
        <v>346</v>
      </c>
      <c r="H163" t="s">
        <v>352</v>
      </c>
      <c r="I163" t="s">
        <v>348</v>
      </c>
      <c r="J163" t="s">
        <v>352</v>
      </c>
      <c r="K163" t="s">
        <v>18</v>
      </c>
      <c r="L163" t="s">
        <v>365</v>
      </c>
      <c r="M163">
        <f t="shared" si="7"/>
        <v>4</v>
      </c>
      <c r="N163">
        <f t="shared" si="8"/>
        <v>0.18188449062978801</v>
      </c>
      <c r="O163">
        <f t="shared" si="9"/>
        <v>3.0321346072771739E-2</v>
      </c>
    </row>
    <row r="164" spans="1:15">
      <c r="A164" t="s">
        <v>51</v>
      </c>
      <c r="B164" t="s">
        <v>344</v>
      </c>
      <c r="C164">
        <v>1.063311215147E-2</v>
      </c>
      <c r="D164" t="s">
        <v>345</v>
      </c>
      <c r="E164">
        <v>77.419297492875046</v>
      </c>
      <c r="F164" t="s">
        <v>245</v>
      </c>
      <c r="G164" t="s">
        <v>357</v>
      </c>
      <c r="H164" t="s">
        <v>352</v>
      </c>
      <c r="I164" t="s">
        <v>348</v>
      </c>
      <c r="J164" t="s">
        <v>352</v>
      </c>
      <c r="K164" t="s">
        <v>18</v>
      </c>
      <c r="L164" t="s">
        <v>365</v>
      </c>
      <c r="M164">
        <f t="shared" si="7"/>
        <v>4</v>
      </c>
      <c r="N164">
        <f t="shared" si="8"/>
        <v>4.2532448605879999E-2</v>
      </c>
      <c r="O164">
        <f t="shared" si="9"/>
        <v>2.4774175197720016E-2</v>
      </c>
    </row>
    <row r="165" spans="1:15">
      <c r="A165" t="s">
        <v>51</v>
      </c>
      <c r="B165" t="s">
        <v>344</v>
      </c>
      <c r="C165">
        <v>6.9930649853779999E-3</v>
      </c>
      <c r="D165" t="s">
        <v>345</v>
      </c>
      <c r="E165">
        <v>29.64438088236577</v>
      </c>
      <c r="F165" t="s">
        <v>245</v>
      </c>
      <c r="G165" t="s">
        <v>357</v>
      </c>
      <c r="H165" t="s">
        <v>352</v>
      </c>
      <c r="I165" t="s">
        <v>348</v>
      </c>
      <c r="J165" t="s">
        <v>352</v>
      </c>
      <c r="K165" t="s">
        <v>18</v>
      </c>
      <c r="L165" t="s">
        <v>365</v>
      </c>
      <c r="M165">
        <f t="shared" si="7"/>
        <v>4</v>
      </c>
      <c r="N165">
        <f t="shared" si="8"/>
        <v>2.7972259941512E-2</v>
      </c>
      <c r="O165">
        <f t="shared" si="9"/>
        <v>9.4862018823570465E-3</v>
      </c>
    </row>
    <row r="166" spans="1:15">
      <c r="A166" t="s">
        <v>51</v>
      </c>
      <c r="B166" t="s">
        <v>344</v>
      </c>
      <c r="C166">
        <v>7.8499164363763002E-2</v>
      </c>
      <c r="D166" t="s">
        <v>345</v>
      </c>
      <c r="E166">
        <v>211.90858630531761</v>
      </c>
      <c r="F166" t="s">
        <v>245</v>
      </c>
      <c r="G166" t="s">
        <v>357</v>
      </c>
      <c r="H166" t="s">
        <v>352</v>
      </c>
      <c r="I166" t="s">
        <v>348</v>
      </c>
      <c r="J166" t="s">
        <v>352</v>
      </c>
      <c r="K166" t="s">
        <v>18</v>
      </c>
      <c r="L166" t="s">
        <v>365</v>
      </c>
      <c r="M166">
        <f t="shared" si="7"/>
        <v>4</v>
      </c>
      <c r="N166">
        <f t="shared" si="8"/>
        <v>0.31399665745505201</v>
      </c>
      <c r="O166">
        <f t="shared" si="9"/>
        <v>6.7810747617701644E-2</v>
      </c>
    </row>
    <row r="167" spans="1:15">
      <c r="A167" t="s">
        <v>34</v>
      </c>
      <c r="B167" t="s">
        <v>344</v>
      </c>
      <c r="C167">
        <v>6.5056611144726995E-2</v>
      </c>
      <c r="D167" t="s">
        <v>345</v>
      </c>
      <c r="E167">
        <v>197.96231184419494</v>
      </c>
      <c r="F167" t="s">
        <v>245</v>
      </c>
      <c r="G167" t="s">
        <v>357</v>
      </c>
      <c r="H167" t="s">
        <v>352</v>
      </c>
      <c r="I167" t="s">
        <v>348</v>
      </c>
      <c r="J167" t="s">
        <v>352</v>
      </c>
      <c r="K167" t="s">
        <v>18</v>
      </c>
      <c r="L167" t="s">
        <v>365</v>
      </c>
      <c r="M167">
        <f t="shared" si="7"/>
        <v>4</v>
      </c>
      <c r="N167">
        <f t="shared" si="8"/>
        <v>0.26022644457890798</v>
      </c>
      <c r="O167">
        <f t="shared" si="9"/>
        <v>6.3347939790142388E-2</v>
      </c>
    </row>
    <row r="168" spans="1:15">
      <c r="A168" t="s">
        <v>34</v>
      </c>
      <c r="B168" t="s">
        <v>344</v>
      </c>
      <c r="C168">
        <v>0.22684804383527399</v>
      </c>
      <c r="D168" t="s">
        <v>345</v>
      </c>
      <c r="E168">
        <v>312.72654777565504</v>
      </c>
      <c r="F168" t="s">
        <v>245</v>
      </c>
      <c r="G168" t="s">
        <v>357</v>
      </c>
      <c r="H168" t="s">
        <v>352</v>
      </c>
      <c r="I168" t="s">
        <v>348</v>
      </c>
      <c r="J168" t="s">
        <v>352</v>
      </c>
      <c r="K168" t="s">
        <v>18</v>
      </c>
      <c r="L168" t="s">
        <v>365</v>
      </c>
      <c r="M168">
        <f t="shared" si="7"/>
        <v>4</v>
      </c>
      <c r="N168">
        <f t="shared" si="8"/>
        <v>0.90739217534109595</v>
      </c>
      <c r="O168">
        <f t="shared" si="9"/>
        <v>0.10007249528820962</v>
      </c>
    </row>
    <row r="169" spans="1:15">
      <c r="A169" t="s">
        <v>34</v>
      </c>
      <c r="B169" t="s">
        <v>344</v>
      </c>
      <c r="C169">
        <v>0.35236601309836102</v>
      </c>
      <c r="D169" t="s">
        <v>345</v>
      </c>
      <c r="E169">
        <v>813.1751238267002</v>
      </c>
      <c r="F169" t="s">
        <v>245</v>
      </c>
      <c r="G169" t="s">
        <v>357</v>
      </c>
      <c r="H169" t="s">
        <v>352</v>
      </c>
      <c r="I169" t="s">
        <v>348</v>
      </c>
      <c r="J169" t="s">
        <v>352</v>
      </c>
      <c r="K169" t="s">
        <v>18</v>
      </c>
      <c r="L169" t="s">
        <v>365</v>
      </c>
      <c r="M169">
        <f t="shared" si="7"/>
        <v>4</v>
      </c>
      <c r="N169">
        <f t="shared" si="8"/>
        <v>1.4094640523934441</v>
      </c>
      <c r="O169">
        <f t="shared" si="9"/>
        <v>0.26021603962454409</v>
      </c>
    </row>
    <row r="170" spans="1:15">
      <c r="A170" t="s">
        <v>51</v>
      </c>
      <c r="B170" t="s">
        <v>344</v>
      </c>
      <c r="C170">
        <v>7.6038161892358999E-2</v>
      </c>
      <c r="D170" t="s">
        <v>345</v>
      </c>
      <c r="E170">
        <v>375.71123029958852</v>
      </c>
      <c r="F170" t="s">
        <v>245</v>
      </c>
      <c r="G170" t="s">
        <v>357</v>
      </c>
      <c r="H170" t="s">
        <v>351</v>
      </c>
      <c r="I170" t="s">
        <v>348</v>
      </c>
      <c r="J170" t="s">
        <v>351</v>
      </c>
      <c r="K170" t="s">
        <v>12</v>
      </c>
      <c r="L170" t="s">
        <v>365</v>
      </c>
      <c r="M170">
        <f t="shared" si="7"/>
        <v>4</v>
      </c>
      <c r="N170">
        <f t="shared" si="8"/>
        <v>0.304152647569436</v>
      </c>
      <c r="O170">
        <f t="shared" si="9"/>
        <v>0.12022759369586834</v>
      </c>
    </row>
    <row r="171" spans="1:15">
      <c r="A171" t="s">
        <v>51</v>
      </c>
      <c r="B171" t="s">
        <v>344</v>
      </c>
      <c r="C171">
        <v>6.8342115993850996E-2</v>
      </c>
      <c r="D171" t="s">
        <v>345</v>
      </c>
      <c r="E171">
        <v>377.36624544383727</v>
      </c>
      <c r="F171" t="s">
        <v>245</v>
      </c>
      <c r="G171" t="s">
        <v>357</v>
      </c>
      <c r="H171" t="s">
        <v>352</v>
      </c>
      <c r="I171" t="s">
        <v>348</v>
      </c>
      <c r="J171" t="s">
        <v>352</v>
      </c>
      <c r="K171" t="s">
        <v>18</v>
      </c>
      <c r="L171" t="s">
        <v>365</v>
      </c>
      <c r="M171">
        <f t="shared" si="7"/>
        <v>4</v>
      </c>
      <c r="N171">
        <f t="shared" si="8"/>
        <v>0.27336846397540399</v>
      </c>
      <c r="O171">
        <f t="shared" si="9"/>
        <v>0.12075719854202793</v>
      </c>
    </row>
    <row r="172" spans="1:15">
      <c r="A172" t="s">
        <v>51</v>
      </c>
      <c r="B172" t="s">
        <v>344</v>
      </c>
      <c r="C172">
        <v>5.7776076910812997E-2</v>
      </c>
      <c r="D172" t="s">
        <v>345</v>
      </c>
      <c r="E172">
        <v>353.02562225343308</v>
      </c>
      <c r="F172" t="s">
        <v>245</v>
      </c>
      <c r="G172" t="s">
        <v>357</v>
      </c>
      <c r="H172" t="s">
        <v>352</v>
      </c>
      <c r="I172" t="s">
        <v>348</v>
      </c>
      <c r="J172" t="s">
        <v>352</v>
      </c>
      <c r="K172" t="s">
        <v>18</v>
      </c>
      <c r="L172" t="s">
        <v>365</v>
      </c>
      <c r="M172">
        <f t="shared" si="7"/>
        <v>4</v>
      </c>
      <c r="N172">
        <f t="shared" si="8"/>
        <v>0.23110430764325199</v>
      </c>
      <c r="O172">
        <f t="shared" si="9"/>
        <v>0.11296819912109858</v>
      </c>
    </row>
    <row r="173" spans="1:15">
      <c r="A173" t="s">
        <v>51</v>
      </c>
      <c r="B173" t="s">
        <v>344</v>
      </c>
      <c r="C173">
        <v>2.7040371479261999E-2</v>
      </c>
      <c r="D173" t="s">
        <v>345</v>
      </c>
      <c r="E173">
        <v>153.27309612415317</v>
      </c>
      <c r="F173" t="s">
        <v>245</v>
      </c>
      <c r="G173" t="s">
        <v>357</v>
      </c>
      <c r="H173" t="s">
        <v>352</v>
      </c>
      <c r="I173" t="s">
        <v>348</v>
      </c>
      <c r="J173" t="s">
        <v>352</v>
      </c>
      <c r="K173" t="s">
        <v>18</v>
      </c>
      <c r="L173" t="s">
        <v>365</v>
      </c>
      <c r="M173">
        <f t="shared" si="7"/>
        <v>4</v>
      </c>
      <c r="N173">
        <f t="shared" si="8"/>
        <v>0.10816148591704799</v>
      </c>
      <c r="O173">
        <f t="shared" si="9"/>
        <v>4.9047390759729019E-2</v>
      </c>
    </row>
    <row r="174" spans="1:15">
      <c r="A174" t="s">
        <v>51</v>
      </c>
      <c r="B174" t="s">
        <v>344</v>
      </c>
      <c r="C174">
        <v>3.1637505302697003E-2</v>
      </c>
      <c r="D174" t="s">
        <v>345</v>
      </c>
      <c r="E174">
        <v>196.69706872090921</v>
      </c>
      <c r="F174" t="s">
        <v>245</v>
      </c>
      <c r="G174" t="s">
        <v>357</v>
      </c>
      <c r="H174" t="s">
        <v>352</v>
      </c>
      <c r="I174" t="s">
        <v>348</v>
      </c>
      <c r="J174" t="s">
        <v>352</v>
      </c>
      <c r="K174" t="s">
        <v>18</v>
      </c>
      <c r="L174" t="s">
        <v>365</v>
      </c>
      <c r="M174">
        <f t="shared" si="7"/>
        <v>4</v>
      </c>
      <c r="N174">
        <f t="shared" si="8"/>
        <v>0.12655002121078801</v>
      </c>
      <c r="O174">
        <f t="shared" si="9"/>
        <v>6.2943061990690954E-2</v>
      </c>
    </row>
    <row r="175" spans="1:15">
      <c r="A175" t="s">
        <v>51</v>
      </c>
      <c r="B175" t="s">
        <v>344</v>
      </c>
      <c r="C175">
        <v>3.1274804673158997E-2</v>
      </c>
      <c r="D175" t="s">
        <v>345</v>
      </c>
      <c r="E175">
        <v>168.80100449873629</v>
      </c>
      <c r="F175" t="s">
        <v>245</v>
      </c>
      <c r="G175" t="s">
        <v>357</v>
      </c>
      <c r="H175" t="s">
        <v>352</v>
      </c>
      <c r="I175" t="s">
        <v>348</v>
      </c>
      <c r="J175" t="s">
        <v>352</v>
      </c>
      <c r="K175" t="s">
        <v>18</v>
      </c>
      <c r="L175" t="s">
        <v>365</v>
      </c>
      <c r="M175">
        <f t="shared" si="7"/>
        <v>4</v>
      </c>
      <c r="N175">
        <f t="shared" si="8"/>
        <v>0.12509921869263599</v>
      </c>
      <c r="O175">
        <f t="shared" si="9"/>
        <v>5.4016321439595616E-2</v>
      </c>
    </row>
    <row r="176" spans="1:15">
      <c r="A176" t="s">
        <v>51</v>
      </c>
      <c r="B176" t="s">
        <v>344</v>
      </c>
      <c r="C176">
        <v>3.0345013833888001E-2</v>
      </c>
      <c r="D176" t="s">
        <v>345</v>
      </c>
      <c r="E176">
        <v>171.78376981864068</v>
      </c>
      <c r="F176" t="s">
        <v>245</v>
      </c>
      <c r="G176" t="s">
        <v>357</v>
      </c>
      <c r="H176" t="s">
        <v>352</v>
      </c>
      <c r="I176" t="s">
        <v>348</v>
      </c>
      <c r="J176" t="s">
        <v>352</v>
      </c>
      <c r="K176" t="s">
        <v>18</v>
      </c>
      <c r="L176" t="s">
        <v>365</v>
      </c>
      <c r="M176">
        <f t="shared" si="7"/>
        <v>4</v>
      </c>
      <c r="N176">
        <f t="shared" si="8"/>
        <v>0.121380055335552</v>
      </c>
      <c r="O176">
        <f t="shared" si="9"/>
        <v>5.4970806341965023E-2</v>
      </c>
    </row>
    <row r="177" spans="1:15">
      <c r="A177" t="s">
        <v>51</v>
      </c>
      <c r="B177" t="s">
        <v>344</v>
      </c>
      <c r="C177">
        <v>6.4999393835190001E-3</v>
      </c>
      <c r="D177" t="s">
        <v>345</v>
      </c>
      <c r="E177">
        <v>28.580071666299276</v>
      </c>
      <c r="F177" t="s">
        <v>245</v>
      </c>
      <c r="G177" t="s">
        <v>357</v>
      </c>
      <c r="H177" t="s">
        <v>352</v>
      </c>
      <c r="I177" t="s">
        <v>348</v>
      </c>
      <c r="J177" t="s">
        <v>352</v>
      </c>
      <c r="K177" t="s">
        <v>18</v>
      </c>
      <c r="L177" t="s">
        <v>365</v>
      </c>
      <c r="M177">
        <f t="shared" si="7"/>
        <v>4</v>
      </c>
      <c r="N177">
        <f t="shared" si="8"/>
        <v>2.5999757534076001E-2</v>
      </c>
      <c r="O177">
        <f t="shared" si="9"/>
        <v>9.1456229332157694E-3</v>
      </c>
    </row>
    <row r="178" spans="1:15">
      <c r="A178" t="s">
        <v>51</v>
      </c>
      <c r="B178" t="s">
        <v>344</v>
      </c>
      <c r="C178">
        <v>6.6076308473352996E-2</v>
      </c>
      <c r="D178" t="s">
        <v>345</v>
      </c>
      <c r="E178">
        <v>461.32929541329599</v>
      </c>
      <c r="F178" t="s">
        <v>245</v>
      </c>
      <c r="G178" t="s">
        <v>357</v>
      </c>
      <c r="H178" t="s">
        <v>352</v>
      </c>
      <c r="I178" t="s">
        <v>348</v>
      </c>
      <c r="J178" t="s">
        <v>352</v>
      </c>
      <c r="K178" t="s">
        <v>18</v>
      </c>
      <c r="L178" t="s">
        <v>365</v>
      </c>
      <c r="M178">
        <f t="shared" si="7"/>
        <v>4</v>
      </c>
      <c r="N178">
        <f t="shared" si="8"/>
        <v>0.26430523389341198</v>
      </c>
      <c r="O178">
        <f t="shared" si="9"/>
        <v>0.14762537453225472</v>
      </c>
    </row>
    <row r="179" spans="1:15">
      <c r="A179" t="s">
        <v>51</v>
      </c>
      <c r="B179" t="s">
        <v>344</v>
      </c>
      <c r="C179">
        <v>2.0094433157496001E-2</v>
      </c>
      <c r="D179" t="s">
        <v>345</v>
      </c>
      <c r="E179">
        <v>148.57521731726035</v>
      </c>
      <c r="F179" t="s">
        <v>245</v>
      </c>
      <c r="G179" t="s">
        <v>357</v>
      </c>
      <c r="H179" t="s">
        <v>352</v>
      </c>
      <c r="I179" t="s">
        <v>348</v>
      </c>
      <c r="J179" t="s">
        <v>352</v>
      </c>
      <c r="K179" t="s">
        <v>18</v>
      </c>
      <c r="L179" t="s">
        <v>365</v>
      </c>
      <c r="M179">
        <f t="shared" si="7"/>
        <v>4</v>
      </c>
      <c r="N179">
        <f t="shared" si="8"/>
        <v>8.0377732629984003E-2</v>
      </c>
      <c r="O179">
        <f t="shared" si="9"/>
        <v>4.7544069541523314E-2</v>
      </c>
    </row>
    <row r="180" spans="1:15">
      <c r="A180" t="s">
        <v>51</v>
      </c>
      <c r="B180" t="s">
        <v>344</v>
      </c>
      <c r="C180">
        <v>3.1546276915445003E-2</v>
      </c>
      <c r="D180" t="s">
        <v>345</v>
      </c>
      <c r="E180">
        <v>194.10493725894094</v>
      </c>
      <c r="F180" t="s">
        <v>245</v>
      </c>
      <c r="G180" t="s">
        <v>357</v>
      </c>
      <c r="H180" t="s">
        <v>352</v>
      </c>
      <c r="I180" t="s">
        <v>348</v>
      </c>
      <c r="J180" t="s">
        <v>352</v>
      </c>
      <c r="K180" t="s">
        <v>18</v>
      </c>
      <c r="L180" t="s">
        <v>365</v>
      </c>
      <c r="M180">
        <f t="shared" si="7"/>
        <v>4</v>
      </c>
      <c r="N180">
        <f t="shared" si="8"/>
        <v>0.12618510766178001</v>
      </c>
      <c r="O180">
        <f t="shared" si="9"/>
        <v>6.2113579922861109E-2</v>
      </c>
    </row>
    <row r="181" spans="1:15">
      <c r="A181" t="s">
        <v>51</v>
      </c>
      <c r="B181" t="s">
        <v>344</v>
      </c>
      <c r="C181">
        <v>5.4766855113132E-2</v>
      </c>
      <c r="D181" t="s">
        <v>345</v>
      </c>
      <c r="E181">
        <v>350.73901805040299</v>
      </c>
      <c r="F181" t="s">
        <v>245</v>
      </c>
      <c r="G181" t="s">
        <v>357</v>
      </c>
      <c r="H181" t="s">
        <v>352</v>
      </c>
      <c r="I181" t="s">
        <v>348</v>
      </c>
      <c r="J181" t="s">
        <v>352</v>
      </c>
      <c r="K181" t="s">
        <v>18</v>
      </c>
      <c r="L181" t="s">
        <v>365</v>
      </c>
      <c r="M181">
        <f t="shared" si="7"/>
        <v>4</v>
      </c>
      <c r="N181">
        <f t="shared" si="8"/>
        <v>0.219067420452528</v>
      </c>
      <c r="O181">
        <f t="shared" si="9"/>
        <v>0.11223648577612896</v>
      </c>
    </row>
    <row r="182" spans="1:15">
      <c r="A182" t="s">
        <v>252</v>
      </c>
      <c r="B182" t="s">
        <v>344</v>
      </c>
      <c r="C182">
        <v>1.5514030433092E-2</v>
      </c>
      <c r="D182" t="s">
        <v>345</v>
      </c>
      <c r="E182">
        <v>50.021359478815107</v>
      </c>
      <c r="F182" t="s">
        <v>245</v>
      </c>
      <c r="G182" t="s">
        <v>346</v>
      </c>
      <c r="H182" t="s">
        <v>352</v>
      </c>
      <c r="I182" t="s">
        <v>348</v>
      </c>
      <c r="J182" t="s">
        <v>352</v>
      </c>
      <c r="K182" t="s">
        <v>18</v>
      </c>
      <c r="L182" t="s">
        <v>365</v>
      </c>
      <c r="M182">
        <f t="shared" si="7"/>
        <v>4</v>
      </c>
      <c r="N182">
        <f t="shared" si="8"/>
        <v>6.2056121732367998E-2</v>
      </c>
      <c r="O182">
        <f t="shared" si="9"/>
        <v>1.6006835033220836E-2</v>
      </c>
    </row>
    <row r="183" spans="1:15">
      <c r="A183" t="s">
        <v>116</v>
      </c>
      <c r="B183" t="s">
        <v>344</v>
      </c>
      <c r="C183">
        <v>2.1928098191769E-2</v>
      </c>
      <c r="D183" t="s">
        <v>345</v>
      </c>
      <c r="E183">
        <v>114.33435091546075</v>
      </c>
      <c r="F183" t="s">
        <v>245</v>
      </c>
      <c r="G183" t="s">
        <v>357</v>
      </c>
      <c r="H183" t="s">
        <v>352</v>
      </c>
      <c r="I183" t="s">
        <v>348</v>
      </c>
      <c r="J183" t="s">
        <v>352</v>
      </c>
      <c r="K183" t="s">
        <v>18</v>
      </c>
      <c r="L183" t="s">
        <v>365</v>
      </c>
      <c r="M183">
        <f t="shared" si="7"/>
        <v>4</v>
      </c>
      <c r="N183">
        <f t="shared" si="8"/>
        <v>8.7712392767076E-2</v>
      </c>
      <c r="O183">
        <f t="shared" si="9"/>
        <v>3.6586992292947443E-2</v>
      </c>
    </row>
    <row r="184" spans="1:15">
      <c r="A184" t="s">
        <v>116</v>
      </c>
      <c r="B184" t="s">
        <v>344</v>
      </c>
      <c r="C184">
        <v>0.24151164458819999</v>
      </c>
      <c r="D184" t="s">
        <v>345</v>
      </c>
      <c r="E184">
        <v>648.4283982807051</v>
      </c>
      <c r="F184" t="s">
        <v>245</v>
      </c>
      <c r="G184" t="s">
        <v>357</v>
      </c>
      <c r="H184" t="s">
        <v>352</v>
      </c>
      <c r="I184" t="s">
        <v>348</v>
      </c>
      <c r="J184" t="s">
        <v>352</v>
      </c>
      <c r="K184" t="s">
        <v>18</v>
      </c>
      <c r="L184" t="s">
        <v>365</v>
      </c>
      <c r="M184">
        <f t="shared" si="7"/>
        <v>4</v>
      </c>
      <c r="N184">
        <f t="shared" si="8"/>
        <v>0.96604657835279995</v>
      </c>
      <c r="O184">
        <f t="shared" si="9"/>
        <v>0.20749708744982562</v>
      </c>
    </row>
    <row r="185" spans="1:15">
      <c r="A185" t="s">
        <v>263</v>
      </c>
      <c r="B185" t="s">
        <v>344</v>
      </c>
      <c r="C185">
        <v>0.107949876200579</v>
      </c>
      <c r="D185" t="s">
        <v>345</v>
      </c>
      <c r="E185">
        <v>133.98202232640838</v>
      </c>
      <c r="F185" t="s">
        <v>245</v>
      </c>
      <c r="G185" t="s">
        <v>346</v>
      </c>
      <c r="H185" t="s">
        <v>351</v>
      </c>
      <c r="I185" t="s">
        <v>348</v>
      </c>
      <c r="J185" t="s">
        <v>351</v>
      </c>
      <c r="K185" t="s">
        <v>12</v>
      </c>
      <c r="L185" t="s">
        <v>365</v>
      </c>
      <c r="M185">
        <f t="shared" si="7"/>
        <v>4</v>
      </c>
      <c r="N185">
        <f t="shared" si="8"/>
        <v>0.43179950480231599</v>
      </c>
      <c r="O185">
        <f t="shared" si="9"/>
        <v>4.2874247144450685E-2</v>
      </c>
    </row>
    <row r="186" spans="1:15">
      <c r="A186" t="s">
        <v>190</v>
      </c>
      <c r="B186" t="s">
        <v>344</v>
      </c>
      <c r="C186">
        <v>1.3709683250729721</v>
      </c>
      <c r="D186" t="s">
        <v>345</v>
      </c>
      <c r="E186">
        <v>460.27978616320195</v>
      </c>
      <c r="F186" t="s">
        <v>245</v>
      </c>
      <c r="G186" t="s">
        <v>357</v>
      </c>
      <c r="H186" t="s">
        <v>352</v>
      </c>
      <c r="I186" t="s">
        <v>348</v>
      </c>
      <c r="J186" t="s">
        <v>352</v>
      </c>
      <c r="K186" t="s">
        <v>18</v>
      </c>
      <c r="L186" t="s">
        <v>365</v>
      </c>
      <c r="M186">
        <f t="shared" si="7"/>
        <v>4</v>
      </c>
      <c r="N186">
        <f t="shared" si="8"/>
        <v>5.4838733002918882</v>
      </c>
      <c r="O186">
        <f t="shared" si="9"/>
        <v>0.14728953157222463</v>
      </c>
    </row>
    <row r="187" spans="1:15">
      <c r="A187" t="s">
        <v>175</v>
      </c>
      <c r="B187" t="s">
        <v>344</v>
      </c>
      <c r="C187">
        <v>0.120184092439897</v>
      </c>
      <c r="D187" t="s">
        <v>345</v>
      </c>
      <c r="E187">
        <v>430.9146515638929</v>
      </c>
      <c r="F187" t="s">
        <v>245</v>
      </c>
      <c r="G187" t="s">
        <v>357</v>
      </c>
      <c r="H187" t="s">
        <v>352</v>
      </c>
      <c r="I187" t="s">
        <v>348</v>
      </c>
      <c r="J187" t="s">
        <v>352</v>
      </c>
      <c r="K187" t="s">
        <v>18</v>
      </c>
      <c r="L187" t="s">
        <v>365</v>
      </c>
      <c r="M187">
        <f t="shared" si="7"/>
        <v>4</v>
      </c>
      <c r="N187">
        <f t="shared" si="8"/>
        <v>0.480736369759588</v>
      </c>
      <c r="O187">
        <f t="shared" si="9"/>
        <v>0.13789268850044573</v>
      </c>
    </row>
    <row r="188" spans="1:15">
      <c r="A188" t="s">
        <v>40</v>
      </c>
      <c r="B188" t="s">
        <v>344</v>
      </c>
      <c r="C188">
        <v>2.8846259478004E-2</v>
      </c>
      <c r="D188" t="s">
        <v>345</v>
      </c>
      <c r="E188">
        <v>168.04285454947851</v>
      </c>
      <c r="F188" t="s">
        <v>245</v>
      </c>
      <c r="G188" t="s">
        <v>357</v>
      </c>
      <c r="H188" t="s">
        <v>351</v>
      </c>
      <c r="I188" t="s">
        <v>348</v>
      </c>
      <c r="J188" t="s">
        <v>351</v>
      </c>
      <c r="K188" t="s">
        <v>12</v>
      </c>
      <c r="L188" t="s">
        <v>365</v>
      </c>
      <c r="M188">
        <f t="shared" si="7"/>
        <v>4</v>
      </c>
      <c r="N188">
        <f t="shared" si="8"/>
        <v>0.115385037912016</v>
      </c>
      <c r="O188">
        <f t="shared" si="9"/>
        <v>5.3773713455833129E-2</v>
      </c>
    </row>
    <row r="189" spans="1:15">
      <c r="A189" t="s">
        <v>16</v>
      </c>
      <c r="B189" t="s">
        <v>344</v>
      </c>
      <c r="C189">
        <v>2.2046706739838998E-2</v>
      </c>
      <c r="D189" t="s">
        <v>345</v>
      </c>
      <c r="E189">
        <v>52.635715137496099</v>
      </c>
      <c r="F189" t="s">
        <v>245</v>
      </c>
      <c r="G189" t="s">
        <v>357</v>
      </c>
      <c r="H189" t="s">
        <v>351</v>
      </c>
      <c r="I189" t="s">
        <v>348</v>
      </c>
      <c r="J189" t="s">
        <v>351</v>
      </c>
      <c r="K189" t="s">
        <v>12</v>
      </c>
      <c r="L189" t="s">
        <v>365</v>
      </c>
      <c r="M189">
        <f t="shared" si="7"/>
        <v>4</v>
      </c>
      <c r="N189">
        <f t="shared" si="8"/>
        <v>8.8186826959355993E-2</v>
      </c>
      <c r="O189">
        <f t="shared" si="9"/>
        <v>1.6843428843998753E-2</v>
      </c>
    </row>
    <row r="190" spans="1:15">
      <c r="A190" t="s">
        <v>16</v>
      </c>
      <c r="B190" t="s">
        <v>344</v>
      </c>
      <c r="C190">
        <v>1.1308894969432E-2</v>
      </c>
      <c r="D190" t="s">
        <v>345</v>
      </c>
      <c r="E190">
        <v>37.698032875165651</v>
      </c>
      <c r="F190" t="s">
        <v>245</v>
      </c>
      <c r="G190" t="s">
        <v>357</v>
      </c>
      <c r="H190" t="s">
        <v>351</v>
      </c>
      <c r="I190" t="s">
        <v>348</v>
      </c>
      <c r="J190" t="s">
        <v>351</v>
      </c>
      <c r="K190" t="s">
        <v>12</v>
      </c>
      <c r="L190" t="s">
        <v>365</v>
      </c>
      <c r="M190">
        <f t="shared" si="7"/>
        <v>4</v>
      </c>
      <c r="N190">
        <f t="shared" si="8"/>
        <v>4.5235579877727999E-2</v>
      </c>
      <c r="O190">
        <f t="shared" si="9"/>
        <v>1.2063370520053008E-2</v>
      </c>
    </row>
    <row r="191" spans="1:15">
      <c r="A191" t="s">
        <v>29</v>
      </c>
      <c r="B191" t="s">
        <v>344</v>
      </c>
      <c r="C191">
        <v>4.9252551201510002E-3</v>
      </c>
      <c r="D191" t="s">
        <v>345</v>
      </c>
      <c r="E191">
        <v>27.392610937359056</v>
      </c>
      <c r="F191" t="s">
        <v>245</v>
      </c>
      <c r="G191" t="s">
        <v>357</v>
      </c>
      <c r="H191" t="s">
        <v>351</v>
      </c>
      <c r="I191" t="s">
        <v>348</v>
      </c>
      <c r="J191" t="s">
        <v>351</v>
      </c>
      <c r="K191" t="s">
        <v>12</v>
      </c>
      <c r="L191" t="s">
        <v>365</v>
      </c>
      <c r="M191">
        <f t="shared" si="7"/>
        <v>4</v>
      </c>
      <c r="N191">
        <f t="shared" si="8"/>
        <v>1.9701020480604001E-2</v>
      </c>
      <c r="O191">
        <f t="shared" si="9"/>
        <v>8.7656354999548977E-3</v>
      </c>
    </row>
    <row r="192" spans="1:15">
      <c r="A192" t="s">
        <v>29</v>
      </c>
      <c r="B192" t="s">
        <v>344</v>
      </c>
      <c r="C192">
        <v>1.776384623269E-3</v>
      </c>
      <c r="D192" t="s">
        <v>345</v>
      </c>
      <c r="E192">
        <v>17.079491694491598</v>
      </c>
      <c r="F192" t="s">
        <v>245</v>
      </c>
      <c r="G192" t="s">
        <v>357</v>
      </c>
      <c r="H192" t="s">
        <v>351</v>
      </c>
      <c r="I192" t="s">
        <v>348</v>
      </c>
      <c r="J192" t="s">
        <v>351</v>
      </c>
      <c r="K192" t="s">
        <v>12</v>
      </c>
      <c r="L192" t="s">
        <v>365</v>
      </c>
      <c r="M192">
        <f t="shared" si="7"/>
        <v>4</v>
      </c>
      <c r="N192">
        <f t="shared" si="8"/>
        <v>7.105538493076E-3</v>
      </c>
      <c r="O192">
        <f t="shared" si="9"/>
        <v>5.4654373422373115E-3</v>
      </c>
    </row>
    <row r="193" spans="1:15">
      <c r="A193" t="s">
        <v>29</v>
      </c>
      <c r="B193" t="s">
        <v>344</v>
      </c>
      <c r="C193">
        <v>3.6148512754222997E-2</v>
      </c>
      <c r="D193" t="s">
        <v>345</v>
      </c>
      <c r="E193">
        <v>147.40715371450182</v>
      </c>
      <c r="F193" t="s">
        <v>245</v>
      </c>
      <c r="G193" t="s">
        <v>357</v>
      </c>
      <c r="H193" t="s">
        <v>351</v>
      </c>
      <c r="I193" t="s">
        <v>348</v>
      </c>
      <c r="J193" t="s">
        <v>351</v>
      </c>
      <c r="K193" t="s">
        <v>12</v>
      </c>
      <c r="L193" t="s">
        <v>365</v>
      </c>
      <c r="M193">
        <f t="shared" si="7"/>
        <v>4</v>
      </c>
      <c r="N193">
        <f t="shared" si="8"/>
        <v>0.14459405101689199</v>
      </c>
      <c r="O193">
        <f t="shared" si="9"/>
        <v>4.7170289188640586E-2</v>
      </c>
    </row>
    <row r="194" spans="1:15">
      <c r="A194" t="s">
        <v>47</v>
      </c>
      <c r="B194" t="s">
        <v>344</v>
      </c>
      <c r="C194">
        <v>0.110221101454602</v>
      </c>
      <c r="D194" t="s">
        <v>345</v>
      </c>
      <c r="E194">
        <v>261.68872986916796</v>
      </c>
      <c r="F194" t="s">
        <v>245</v>
      </c>
      <c r="G194" t="s">
        <v>357</v>
      </c>
      <c r="H194" t="s">
        <v>351</v>
      </c>
      <c r="I194" t="s">
        <v>348</v>
      </c>
      <c r="J194" t="s">
        <v>351</v>
      </c>
      <c r="K194" t="s">
        <v>12</v>
      </c>
      <c r="L194" t="s">
        <v>365</v>
      </c>
      <c r="M194">
        <f t="shared" si="7"/>
        <v>4</v>
      </c>
      <c r="N194">
        <f t="shared" si="8"/>
        <v>0.44088440581840799</v>
      </c>
      <c r="O194">
        <f t="shared" si="9"/>
        <v>8.3740393558133744E-2</v>
      </c>
    </row>
    <row r="195" spans="1:15">
      <c r="A195" t="s">
        <v>31</v>
      </c>
      <c r="B195" t="s">
        <v>344</v>
      </c>
      <c r="C195">
        <v>2.3781605429008999E-2</v>
      </c>
      <c r="D195" t="s">
        <v>345</v>
      </c>
      <c r="E195">
        <v>139.98952188511117</v>
      </c>
      <c r="F195" t="s">
        <v>245</v>
      </c>
      <c r="G195" t="s">
        <v>357</v>
      </c>
      <c r="H195" t="s">
        <v>352</v>
      </c>
      <c r="I195" t="s">
        <v>348</v>
      </c>
      <c r="J195" t="s">
        <v>352</v>
      </c>
      <c r="K195" t="s">
        <v>18</v>
      </c>
      <c r="L195" t="s">
        <v>365</v>
      </c>
      <c r="M195">
        <f t="shared" ref="M195:M258" si="10">LEFT(D195,2)*1</f>
        <v>4</v>
      </c>
      <c r="N195">
        <f t="shared" ref="N195:N258" si="11">M195*C195</f>
        <v>9.5126421716035997E-2</v>
      </c>
      <c r="O195">
        <f t="shared" ref="O195:O258" si="12">M195*E195*0.8/10000</f>
        <v>4.479664700323558E-2</v>
      </c>
    </row>
    <row r="196" spans="1:15">
      <c r="A196" t="s">
        <v>31</v>
      </c>
      <c r="B196" t="s">
        <v>344</v>
      </c>
      <c r="C196">
        <v>2.1110025407021001E-2</v>
      </c>
      <c r="D196" t="s">
        <v>345</v>
      </c>
      <c r="E196">
        <v>141.27964640339079</v>
      </c>
      <c r="F196" t="s">
        <v>245</v>
      </c>
      <c r="G196" t="s">
        <v>357</v>
      </c>
      <c r="H196" t="s">
        <v>352</v>
      </c>
      <c r="I196" t="s">
        <v>348</v>
      </c>
      <c r="J196" t="s">
        <v>352</v>
      </c>
      <c r="K196" t="s">
        <v>18</v>
      </c>
      <c r="L196" t="s">
        <v>365</v>
      </c>
      <c r="M196">
        <f t="shared" si="10"/>
        <v>4</v>
      </c>
      <c r="N196">
        <f t="shared" si="11"/>
        <v>8.4440101628084005E-2</v>
      </c>
      <c r="O196">
        <f t="shared" si="12"/>
        <v>4.5209486849085052E-2</v>
      </c>
    </row>
    <row r="197" spans="1:15">
      <c r="A197" t="s">
        <v>55</v>
      </c>
      <c r="B197" t="s">
        <v>344</v>
      </c>
      <c r="C197">
        <v>2.9974654169761E-2</v>
      </c>
      <c r="D197" t="s">
        <v>345</v>
      </c>
      <c r="E197">
        <v>755.62453257965501</v>
      </c>
      <c r="F197" t="s">
        <v>245</v>
      </c>
      <c r="G197" t="s">
        <v>357</v>
      </c>
      <c r="H197" t="s">
        <v>352</v>
      </c>
      <c r="I197" t="s">
        <v>348</v>
      </c>
      <c r="J197" t="s">
        <v>352</v>
      </c>
      <c r="K197" t="s">
        <v>18</v>
      </c>
      <c r="L197" t="s">
        <v>365</v>
      </c>
      <c r="M197">
        <f t="shared" si="10"/>
        <v>4</v>
      </c>
      <c r="N197">
        <f t="shared" si="11"/>
        <v>0.119898616679044</v>
      </c>
      <c r="O197">
        <f t="shared" si="12"/>
        <v>0.2417998504254896</v>
      </c>
    </row>
    <row r="198" spans="1:15">
      <c r="A198" t="s">
        <v>49</v>
      </c>
      <c r="B198" t="s">
        <v>344</v>
      </c>
      <c r="C198">
        <v>0.101716717047238</v>
      </c>
      <c r="D198" t="s">
        <v>345</v>
      </c>
      <c r="E198">
        <v>191.79232464854624</v>
      </c>
      <c r="F198" t="s">
        <v>245</v>
      </c>
      <c r="G198" t="s">
        <v>357</v>
      </c>
      <c r="H198" t="s">
        <v>352</v>
      </c>
      <c r="I198" t="s">
        <v>348</v>
      </c>
      <c r="J198" t="s">
        <v>352</v>
      </c>
      <c r="K198" t="s">
        <v>18</v>
      </c>
      <c r="L198" t="s">
        <v>365</v>
      </c>
      <c r="M198">
        <f t="shared" si="10"/>
        <v>4</v>
      </c>
      <c r="N198">
        <f t="shared" si="11"/>
        <v>0.40686686818895201</v>
      </c>
      <c r="O198">
        <f t="shared" si="12"/>
        <v>6.1373543887534798E-2</v>
      </c>
    </row>
    <row r="199" spans="1:15">
      <c r="A199" t="s">
        <v>49</v>
      </c>
      <c r="B199" t="s">
        <v>344</v>
      </c>
      <c r="C199">
        <v>7.1358238256173004E-2</v>
      </c>
      <c r="D199" t="s">
        <v>345</v>
      </c>
      <c r="E199">
        <v>164.13696125238363</v>
      </c>
      <c r="F199" t="s">
        <v>245</v>
      </c>
      <c r="G199" t="s">
        <v>357</v>
      </c>
      <c r="H199" t="s">
        <v>352</v>
      </c>
      <c r="I199" t="s">
        <v>348</v>
      </c>
      <c r="J199" t="s">
        <v>352</v>
      </c>
      <c r="K199" t="s">
        <v>18</v>
      </c>
      <c r="L199" t="s">
        <v>365</v>
      </c>
      <c r="M199">
        <f t="shared" si="10"/>
        <v>4</v>
      </c>
      <c r="N199">
        <f t="shared" si="11"/>
        <v>0.28543295302469202</v>
      </c>
      <c r="O199">
        <f t="shared" si="12"/>
        <v>5.2523827600762761E-2</v>
      </c>
    </row>
    <row r="200" spans="1:15">
      <c r="A200" t="s">
        <v>271</v>
      </c>
      <c r="B200" t="s">
        <v>354</v>
      </c>
      <c r="C200">
        <v>0.102727958380219</v>
      </c>
      <c r="D200" t="s">
        <v>355</v>
      </c>
      <c r="E200">
        <v>132.19769175030078</v>
      </c>
      <c r="F200" t="s">
        <v>245</v>
      </c>
      <c r="G200" t="s">
        <v>346</v>
      </c>
      <c r="H200" t="s">
        <v>352</v>
      </c>
      <c r="I200" t="s">
        <v>348</v>
      </c>
      <c r="J200" t="s">
        <v>352</v>
      </c>
      <c r="K200" t="s">
        <v>18</v>
      </c>
      <c r="L200" t="s">
        <v>365</v>
      </c>
      <c r="M200">
        <f t="shared" si="10"/>
        <v>6</v>
      </c>
      <c r="N200">
        <f t="shared" si="11"/>
        <v>0.61636775028131408</v>
      </c>
      <c r="O200">
        <f t="shared" si="12"/>
        <v>6.3454892040144373E-2</v>
      </c>
    </row>
    <row r="201" spans="1:15">
      <c r="A201" t="s">
        <v>282</v>
      </c>
      <c r="B201" t="s">
        <v>344</v>
      </c>
      <c r="C201">
        <v>5.3172710725803998E-2</v>
      </c>
      <c r="D201" t="s">
        <v>345</v>
      </c>
      <c r="E201">
        <v>122.75587402530172</v>
      </c>
      <c r="F201" t="s">
        <v>245</v>
      </c>
      <c r="G201" t="s">
        <v>346</v>
      </c>
      <c r="H201" t="s">
        <v>351</v>
      </c>
      <c r="I201" t="s">
        <v>348</v>
      </c>
      <c r="J201" t="s">
        <v>351</v>
      </c>
      <c r="K201" t="s">
        <v>12</v>
      </c>
      <c r="L201" t="s">
        <v>365</v>
      </c>
      <c r="M201">
        <f t="shared" si="10"/>
        <v>4</v>
      </c>
      <c r="N201">
        <f t="shared" si="11"/>
        <v>0.21269084290321599</v>
      </c>
      <c r="O201">
        <f t="shared" si="12"/>
        <v>3.9281879688096551E-2</v>
      </c>
    </row>
    <row r="202" spans="1:15">
      <c r="A202" t="s">
        <v>57</v>
      </c>
      <c r="B202" t="s">
        <v>344</v>
      </c>
      <c r="C202">
        <v>8.1911829334533004E-2</v>
      </c>
      <c r="D202" t="s">
        <v>345</v>
      </c>
      <c r="E202">
        <v>153.53712385633534</v>
      </c>
      <c r="F202" t="s">
        <v>245</v>
      </c>
      <c r="G202" t="s">
        <v>357</v>
      </c>
      <c r="H202" t="s">
        <v>347</v>
      </c>
      <c r="I202" t="s">
        <v>348</v>
      </c>
      <c r="J202" t="s">
        <v>347</v>
      </c>
      <c r="K202" t="s">
        <v>61</v>
      </c>
      <c r="L202" t="s">
        <v>365</v>
      </c>
      <c r="M202">
        <f t="shared" si="10"/>
        <v>4</v>
      </c>
      <c r="N202">
        <f t="shared" si="11"/>
        <v>0.32764731733813202</v>
      </c>
      <c r="O202">
        <f t="shared" si="12"/>
        <v>4.9131879634027313E-2</v>
      </c>
    </row>
    <row r="203" spans="1:15">
      <c r="A203" t="s">
        <v>57</v>
      </c>
      <c r="B203" t="s">
        <v>344</v>
      </c>
      <c r="C203">
        <v>8.2998028014991995E-2</v>
      </c>
      <c r="D203" t="s">
        <v>345</v>
      </c>
      <c r="E203">
        <v>156.13852572135906</v>
      </c>
      <c r="F203" t="s">
        <v>245</v>
      </c>
      <c r="G203" t="s">
        <v>357</v>
      </c>
      <c r="H203" t="s">
        <v>347</v>
      </c>
      <c r="I203" t="s">
        <v>348</v>
      </c>
      <c r="J203" t="s">
        <v>347</v>
      </c>
      <c r="K203" t="s">
        <v>61</v>
      </c>
      <c r="L203" t="s">
        <v>365</v>
      </c>
      <c r="M203">
        <f t="shared" si="10"/>
        <v>4</v>
      </c>
      <c r="N203">
        <f t="shared" si="11"/>
        <v>0.33199211205996798</v>
      </c>
      <c r="O203">
        <f t="shared" si="12"/>
        <v>4.9964328230834902E-2</v>
      </c>
    </row>
    <row r="204" spans="1:15">
      <c r="A204" t="s">
        <v>57</v>
      </c>
      <c r="B204" t="s">
        <v>344</v>
      </c>
      <c r="C204">
        <v>7.9048740766453005E-2</v>
      </c>
      <c r="D204" t="s">
        <v>345</v>
      </c>
      <c r="E204">
        <v>153.15281449144859</v>
      </c>
      <c r="F204" t="s">
        <v>245</v>
      </c>
      <c r="G204" t="s">
        <v>357</v>
      </c>
      <c r="H204" t="s">
        <v>347</v>
      </c>
      <c r="I204" t="s">
        <v>348</v>
      </c>
      <c r="J204" t="s">
        <v>347</v>
      </c>
      <c r="K204" t="s">
        <v>61</v>
      </c>
      <c r="L204" t="s">
        <v>365</v>
      </c>
      <c r="M204">
        <f t="shared" si="10"/>
        <v>4</v>
      </c>
      <c r="N204">
        <f t="shared" si="11"/>
        <v>0.31619496306581202</v>
      </c>
      <c r="O204">
        <f t="shared" si="12"/>
        <v>4.9008900637263555E-2</v>
      </c>
    </row>
    <row r="205" spans="1:15">
      <c r="A205" t="s">
        <v>57</v>
      </c>
      <c r="B205" t="s">
        <v>344</v>
      </c>
      <c r="C205">
        <v>8.1972235017163997E-2</v>
      </c>
      <c r="D205" t="s">
        <v>345</v>
      </c>
      <c r="E205">
        <v>155.17211519185321</v>
      </c>
      <c r="F205" t="s">
        <v>245</v>
      </c>
      <c r="G205" t="s">
        <v>357</v>
      </c>
      <c r="H205" t="s">
        <v>347</v>
      </c>
      <c r="I205" t="s">
        <v>348</v>
      </c>
      <c r="J205" t="s">
        <v>347</v>
      </c>
      <c r="K205" t="s">
        <v>61</v>
      </c>
      <c r="L205" t="s">
        <v>365</v>
      </c>
      <c r="M205">
        <f t="shared" si="10"/>
        <v>4</v>
      </c>
      <c r="N205">
        <f t="shared" si="11"/>
        <v>0.32788894006865599</v>
      </c>
      <c r="O205">
        <f t="shared" si="12"/>
        <v>4.9655076861393033E-2</v>
      </c>
    </row>
    <row r="206" spans="1:15">
      <c r="A206" t="s">
        <v>57</v>
      </c>
      <c r="B206" t="s">
        <v>344</v>
      </c>
      <c r="C206">
        <v>1.1972396349198E-2</v>
      </c>
      <c r="D206" t="s">
        <v>345</v>
      </c>
      <c r="E206">
        <v>41.878351198576851</v>
      </c>
      <c r="F206" t="s">
        <v>245</v>
      </c>
      <c r="G206" t="s">
        <v>357</v>
      </c>
      <c r="H206" t="s">
        <v>347</v>
      </c>
      <c r="I206" t="s">
        <v>348</v>
      </c>
      <c r="J206" t="s">
        <v>347</v>
      </c>
      <c r="K206" t="s">
        <v>61</v>
      </c>
      <c r="L206" t="s">
        <v>365</v>
      </c>
      <c r="M206">
        <f t="shared" si="10"/>
        <v>4</v>
      </c>
      <c r="N206">
        <f t="shared" si="11"/>
        <v>4.7889585396792E-2</v>
      </c>
      <c r="O206">
        <f t="shared" si="12"/>
        <v>1.3401072383544594E-2</v>
      </c>
    </row>
    <row r="207" spans="1:15">
      <c r="A207" t="s">
        <v>57</v>
      </c>
      <c r="B207" t="s">
        <v>344</v>
      </c>
      <c r="C207">
        <v>7.5790870700286006E-2</v>
      </c>
      <c r="D207" t="s">
        <v>345</v>
      </c>
      <c r="E207">
        <v>149.66686393740474</v>
      </c>
      <c r="F207" t="s">
        <v>245</v>
      </c>
      <c r="G207" t="s">
        <v>357</v>
      </c>
      <c r="H207" t="s">
        <v>347</v>
      </c>
      <c r="I207" t="s">
        <v>348</v>
      </c>
      <c r="J207" t="s">
        <v>347</v>
      </c>
      <c r="K207" t="s">
        <v>61</v>
      </c>
      <c r="L207" t="s">
        <v>365</v>
      </c>
      <c r="M207">
        <f t="shared" si="10"/>
        <v>4</v>
      </c>
      <c r="N207">
        <f t="shared" si="11"/>
        <v>0.30316348280114402</v>
      </c>
      <c r="O207">
        <f t="shared" si="12"/>
        <v>4.7893396459969519E-2</v>
      </c>
    </row>
    <row r="208" spans="1:15">
      <c r="A208" t="s">
        <v>57</v>
      </c>
      <c r="B208" t="s">
        <v>344</v>
      </c>
      <c r="C208">
        <v>0.109370121263488</v>
      </c>
      <c r="D208" t="s">
        <v>345</v>
      </c>
      <c r="E208">
        <v>338.59273222244781</v>
      </c>
      <c r="F208" t="s">
        <v>245</v>
      </c>
      <c r="G208" t="s">
        <v>357</v>
      </c>
      <c r="H208" t="s">
        <v>347</v>
      </c>
      <c r="I208" t="s">
        <v>348</v>
      </c>
      <c r="J208" t="s">
        <v>347</v>
      </c>
      <c r="K208" t="s">
        <v>61</v>
      </c>
      <c r="L208" t="s">
        <v>365</v>
      </c>
      <c r="M208">
        <f t="shared" si="10"/>
        <v>4</v>
      </c>
      <c r="N208">
        <f t="shared" si="11"/>
        <v>0.43748048505395198</v>
      </c>
      <c r="O208">
        <f t="shared" si="12"/>
        <v>0.10834967431118329</v>
      </c>
    </row>
    <row r="209" spans="1:15">
      <c r="A209" t="s">
        <v>57</v>
      </c>
      <c r="B209" t="s">
        <v>344</v>
      </c>
      <c r="C209">
        <v>2.1619013345503001E-2</v>
      </c>
      <c r="D209" t="s">
        <v>345</v>
      </c>
      <c r="E209">
        <v>96.770277093132364</v>
      </c>
      <c r="F209" t="s">
        <v>245</v>
      </c>
      <c r="G209" t="s">
        <v>357</v>
      </c>
      <c r="H209" t="s">
        <v>347</v>
      </c>
      <c r="I209" t="s">
        <v>348</v>
      </c>
      <c r="J209" t="s">
        <v>347</v>
      </c>
      <c r="K209" t="s">
        <v>61</v>
      </c>
      <c r="L209" t="s">
        <v>365</v>
      </c>
      <c r="M209">
        <f t="shared" si="10"/>
        <v>4</v>
      </c>
      <c r="N209">
        <f t="shared" si="11"/>
        <v>8.6476053382012003E-2</v>
      </c>
      <c r="O209">
        <f t="shared" si="12"/>
        <v>3.0966488669802356E-2</v>
      </c>
    </row>
    <row r="210" spans="1:15">
      <c r="A210" t="s">
        <v>57</v>
      </c>
      <c r="B210" t="s">
        <v>344</v>
      </c>
      <c r="C210">
        <v>4.7473049583812002E-2</v>
      </c>
      <c r="D210" t="s">
        <v>345</v>
      </c>
      <c r="E210">
        <v>134.97644689203929</v>
      </c>
      <c r="F210" t="s">
        <v>245</v>
      </c>
      <c r="G210" t="s">
        <v>357</v>
      </c>
      <c r="H210" t="s">
        <v>347</v>
      </c>
      <c r="I210" t="s">
        <v>348</v>
      </c>
      <c r="J210" t="s">
        <v>347</v>
      </c>
      <c r="K210" t="s">
        <v>61</v>
      </c>
      <c r="L210" t="s">
        <v>365</v>
      </c>
      <c r="M210">
        <f t="shared" si="10"/>
        <v>4</v>
      </c>
      <c r="N210">
        <f t="shared" si="11"/>
        <v>0.18989219833524801</v>
      </c>
      <c r="O210">
        <f t="shared" si="12"/>
        <v>4.3192463005452576E-2</v>
      </c>
    </row>
    <row r="211" spans="1:15">
      <c r="A211" t="s">
        <v>129</v>
      </c>
      <c r="B211" t="s">
        <v>344</v>
      </c>
      <c r="C211">
        <v>0.15834800108694699</v>
      </c>
      <c r="D211" t="s">
        <v>345</v>
      </c>
      <c r="E211">
        <v>158.54390294178131</v>
      </c>
      <c r="F211" t="s">
        <v>245</v>
      </c>
      <c r="G211" t="s">
        <v>357</v>
      </c>
      <c r="H211" t="s">
        <v>347</v>
      </c>
      <c r="I211" t="s">
        <v>348</v>
      </c>
      <c r="J211" t="s">
        <v>347</v>
      </c>
      <c r="K211" t="s">
        <v>61</v>
      </c>
      <c r="L211" t="s">
        <v>365</v>
      </c>
      <c r="M211">
        <f t="shared" si="10"/>
        <v>4</v>
      </c>
      <c r="N211">
        <f t="shared" si="11"/>
        <v>0.63339200434778797</v>
      </c>
      <c r="O211">
        <f t="shared" si="12"/>
        <v>5.073404894137002E-2</v>
      </c>
    </row>
    <row r="212" spans="1:15">
      <c r="A212" t="s">
        <v>57</v>
      </c>
      <c r="B212" t="s">
        <v>344</v>
      </c>
      <c r="C212">
        <v>0.12156768410219</v>
      </c>
      <c r="D212" t="s">
        <v>345</v>
      </c>
      <c r="E212">
        <v>198.69322861434091</v>
      </c>
      <c r="F212" t="s">
        <v>245</v>
      </c>
      <c r="G212" t="s">
        <v>357</v>
      </c>
      <c r="H212" t="s">
        <v>347</v>
      </c>
      <c r="I212" t="s">
        <v>348</v>
      </c>
      <c r="J212" t="s">
        <v>347</v>
      </c>
      <c r="K212" t="s">
        <v>61</v>
      </c>
      <c r="L212" t="s">
        <v>365</v>
      </c>
      <c r="M212">
        <f t="shared" si="10"/>
        <v>4</v>
      </c>
      <c r="N212">
        <f t="shared" si="11"/>
        <v>0.48627073640876001</v>
      </c>
      <c r="O212">
        <f t="shared" si="12"/>
        <v>6.3581833156589093E-2</v>
      </c>
    </row>
    <row r="213" spans="1:15">
      <c r="A213" t="s">
        <v>57</v>
      </c>
      <c r="B213" t="s">
        <v>344</v>
      </c>
      <c r="C213">
        <v>0.24609755522528801</v>
      </c>
      <c r="D213" t="s">
        <v>345</v>
      </c>
      <c r="E213">
        <v>382.12331419692839</v>
      </c>
      <c r="F213" t="s">
        <v>245</v>
      </c>
      <c r="G213" t="s">
        <v>357</v>
      </c>
      <c r="H213" t="s">
        <v>347</v>
      </c>
      <c r="I213" t="s">
        <v>348</v>
      </c>
      <c r="J213" t="s">
        <v>347</v>
      </c>
      <c r="K213" t="s">
        <v>61</v>
      </c>
      <c r="L213" t="s">
        <v>365</v>
      </c>
      <c r="M213">
        <f t="shared" si="10"/>
        <v>4</v>
      </c>
      <c r="N213">
        <f t="shared" si="11"/>
        <v>0.98439022090115202</v>
      </c>
      <c r="O213">
        <f t="shared" si="12"/>
        <v>0.12227946054301708</v>
      </c>
    </row>
    <row r="214" spans="1:15">
      <c r="A214" t="s">
        <v>57</v>
      </c>
      <c r="B214" t="s">
        <v>344</v>
      </c>
      <c r="C214">
        <v>8.4527674339719999E-2</v>
      </c>
      <c r="D214" t="s">
        <v>345</v>
      </c>
      <c r="E214">
        <v>367.51237442823685</v>
      </c>
      <c r="F214" t="s">
        <v>245</v>
      </c>
      <c r="G214" t="s">
        <v>357</v>
      </c>
      <c r="H214" t="s">
        <v>351</v>
      </c>
      <c r="I214" t="s">
        <v>348</v>
      </c>
      <c r="J214" t="s">
        <v>351</v>
      </c>
      <c r="K214" t="s">
        <v>12</v>
      </c>
      <c r="L214" t="s">
        <v>365</v>
      </c>
      <c r="M214">
        <f t="shared" si="10"/>
        <v>4</v>
      </c>
      <c r="N214">
        <f t="shared" si="11"/>
        <v>0.33811069735888</v>
      </c>
      <c r="O214">
        <f t="shared" si="12"/>
        <v>0.11760395981703579</v>
      </c>
    </row>
    <row r="215" spans="1:15">
      <c r="A215" t="s">
        <v>57</v>
      </c>
      <c r="B215" t="s">
        <v>344</v>
      </c>
      <c r="C215">
        <v>9.4089164330487002E-2</v>
      </c>
      <c r="D215" t="s">
        <v>345</v>
      </c>
      <c r="E215">
        <v>373.57167985374417</v>
      </c>
      <c r="F215" t="s">
        <v>245</v>
      </c>
      <c r="G215" t="s">
        <v>357</v>
      </c>
      <c r="H215" t="s">
        <v>351</v>
      </c>
      <c r="I215" t="s">
        <v>348</v>
      </c>
      <c r="J215" t="s">
        <v>351</v>
      </c>
      <c r="K215" t="s">
        <v>12</v>
      </c>
      <c r="L215" t="s">
        <v>365</v>
      </c>
      <c r="M215">
        <f t="shared" si="10"/>
        <v>4</v>
      </c>
      <c r="N215">
        <f t="shared" si="11"/>
        <v>0.37635665732194801</v>
      </c>
      <c r="O215">
        <f t="shared" si="12"/>
        <v>0.11954293755319813</v>
      </c>
    </row>
    <row r="216" spans="1:15">
      <c r="A216" t="s">
        <v>57</v>
      </c>
      <c r="B216" t="s">
        <v>344</v>
      </c>
      <c r="C216">
        <v>9.3181829156156998E-2</v>
      </c>
      <c r="D216" t="s">
        <v>345</v>
      </c>
      <c r="E216">
        <v>374.12601238709937</v>
      </c>
      <c r="F216" t="s">
        <v>245</v>
      </c>
      <c r="G216" t="s">
        <v>357</v>
      </c>
      <c r="H216" t="s">
        <v>351</v>
      </c>
      <c r="I216" t="s">
        <v>348</v>
      </c>
      <c r="J216" t="s">
        <v>351</v>
      </c>
      <c r="K216" t="s">
        <v>12</v>
      </c>
      <c r="L216" t="s">
        <v>365</v>
      </c>
      <c r="M216">
        <f t="shared" si="10"/>
        <v>4</v>
      </c>
      <c r="N216">
        <f t="shared" si="11"/>
        <v>0.37272731662462799</v>
      </c>
      <c r="O216">
        <f t="shared" si="12"/>
        <v>0.11972032396387181</v>
      </c>
    </row>
    <row r="217" spans="1:15">
      <c r="A217" t="s">
        <v>57</v>
      </c>
      <c r="B217" t="s">
        <v>344</v>
      </c>
      <c r="C217">
        <v>1.1473401138485001E-2</v>
      </c>
      <c r="D217" t="s">
        <v>345</v>
      </c>
      <c r="E217">
        <v>37.971237372751943</v>
      </c>
      <c r="F217" t="s">
        <v>245</v>
      </c>
      <c r="G217" t="s">
        <v>357</v>
      </c>
      <c r="H217" t="s">
        <v>351</v>
      </c>
      <c r="I217" t="s">
        <v>348</v>
      </c>
      <c r="J217" t="s">
        <v>351</v>
      </c>
      <c r="K217" t="s">
        <v>12</v>
      </c>
      <c r="L217" t="s">
        <v>365</v>
      </c>
      <c r="M217">
        <f t="shared" si="10"/>
        <v>4</v>
      </c>
      <c r="N217">
        <f t="shared" si="11"/>
        <v>4.5893604553940003E-2</v>
      </c>
      <c r="O217">
        <f t="shared" si="12"/>
        <v>1.2150795959280623E-2</v>
      </c>
    </row>
    <row r="218" spans="1:15">
      <c r="A218" t="s">
        <v>57</v>
      </c>
      <c r="B218" t="s">
        <v>344</v>
      </c>
      <c r="C218">
        <v>0.27168369711399198</v>
      </c>
      <c r="D218" t="s">
        <v>345</v>
      </c>
      <c r="E218">
        <v>328.72125531039717</v>
      </c>
      <c r="F218" t="s">
        <v>245</v>
      </c>
      <c r="G218" t="s">
        <v>357</v>
      </c>
      <c r="H218" t="s">
        <v>351</v>
      </c>
      <c r="I218" t="s">
        <v>348</v>
      </c>
      <c r="J218" t="s">
        <v>351</v>
      </c>
      <c r="K218" t="s">
        <v>12</v>
      </c>
      <c r="L218" t="s">
        <v>365</v>
      </c>
      <c r="M218">
        <f t="shared" si="10"/>
        <v>4</v>
      </c>
      <c r="N218">
        <f t="shared" si="11"/>
        <v>1.0867347884559679</v>
      </c>
      <c r="O218">
        <f t="shared" si="12"/>
        <v>0.10519080169932711</v>
      </c>
    </row>
    <row r="219" spans="1:15">
      <c r="A219" t="s">
        <v>81</v>
      </c>
      <c r="B219" t="s">
        <v>344</v>
      </c>
      <c r="C219">
        <v>6.7482954220789999E-3</v>
      </c>
      <c r="D219" t="s">
        <v>345</v>
      </c>
      <c r="E219">
        <v>39.957768769693502</v>
      </c>
      <c r="F219" t="s">
        <v>245</v>
      </c>
      <c r="G219" t="s">
        <v>357</v>
      </c>
      <c r="H219" t="s">
        <v>351</v>
      </c>
      <c r="I219" t="s">
        <v>348</v>
      </c>
      <c r="J219" t="s">
        <v>351</v>
      </c>
      <c r="K219" t="s">
        <v>12</v>
      </c>
      <c r="L219" t="s">
        <v>365</v>
      </c>
      <c r="M219">
        <f t="shared" si="10"/>
        <v>4</v>
      </c>
      <c r="N219">
        <f t="shared" si="11"/>
        <v>2.6993181688315999E-2</v>
      </c>
      <c r="O219">
        <f t="shared" si="12"/>
        <v>1.278648600630192E-2</v>
      </c>
    </row>
    <row r="220" spans="1:15">
      <c r="A220" t="s">
        <v>81</v>
      </c>
      <c r="B220" t="s">
        <v>344</v>
      </c>
      <c r="C220">
        <v>4.0002309761461997E-2</v>
      </c>
      <c r="D220" t="s">
        <v>345</v>
      </c>
      <c r="E220">
        <v>181.63091257901888</v>
      </c>
      <c r="F220" t="s">
        <v>245</v>
      </c>
      <c r="G220" t="s">
        <v>357</v>
      </c>
      <c r="H220" t="s">
        <v>351</v>
      </c>
      <c r="I220" t="s">
        <v>348</v>
      </c>
      <c r="J220" t="s">
        <v>351</v>
      </c>
      <c r="K220" t="s">
        <v>12</v>
      </c>
      <c r="L220" t="s">
        <v>365</v>
      </c>
      <c r="M220">
        <f t="shared" si="10"/>
        <v>4</v>
      </c>
      <c r="N220">
        <f t="shared" si="11"/>
        <v>0.16000923904584799</v>
      </c>
      <c r="O220">
        <f t="shared" si="12"/>
        <v>5.8121892025286045E-2</v>
      </c>
    </row>
    <row r="221" spans="1:15">
      <c r="A221" t="s">
        <v>81</v>
      </c>
      <c r="B221" t="s">
        <v>344</v>
      </c>
      <c r="C221">
        <v>5.9090170341080002E-3</v>
      </c>
      <c r="D221" t="s">
        <v>345</v>
      </c>
      <c r="E221">
        <v>35.082162629328337</v>
      </c>
      <c r="F221" t="s">
        <v>245</v>
      </c>
      <c r="G221" t="s">
        <v>357</v>
      </c>
      <c r="H221" t="s">
        <v>351</v>
      </c>
      <c r="I221" t="s">
        <v>348</v>
      </c>
      <c r="J221" t="s">
        <v>351</v>
      </c>
      <c r="K221" t="s">
        <v>12</v>
      </c>
      <c r="L221" t="s">
        <v>365</v>
      </c>
      <c r="M221">
        <f t="shared" si="10"/>
        <v>4</v>
      </c>
      <c r="N221">
        <f t="shared" si="11"/>
        <v>2.3636068136432001E-2</v>
      </c>
      <c r="O221">
        <f t="shared" si="12"/>
        <v>1.1226292041385068E-2</v>
      </c>
    </row>
    <row r="222" spans="1:15">
      <c r="A222" t="s">
        <v>81</v>
      </c>
      <c r="B222" t="s">
        <v>344</v>
      </c>
      <c r="C222">
        <v>2.9938041936505001E-2</v>
      </c>
      <c r="D222" t="s">
        <v>345</v>
      </c>
      <c r="E222">
        <v>134.23212083624858</v>
      </c>
      <c r="F222" t="s">
        <v>245</v>
      </c>
      <c r="G222" t="s">
        <v>357</v>
      </c>
      <c r="H222" t="s">
        <v>351</v>
      </c>
      <c r="I222" t="s">
        <v>348</v>
      </c>
      <c r="J222" t="s">
        <v>351</v>
      </c>
      <c r="K222" t="s">
        <v>12</v>
      </c>
      <c r="L222" t="s">
        <v>365</v>
      </c>
      <c r="M222">
        <f t="shared" si="10"/>
        <v>4</v>
      </c>
      <c r="N222">
        <f t="shared" si="11"/>
        <v>0.11975216774602</v>
      </c>
      <c r="O222">
        <f t="shared" si="12"/>
        <v>4.2954278667599551E-2</v>
      </c>
    </row>
    <row r="223" spans="1:15">
      <c r="A223" t="s">
        <v>81</v>
      </c>
      <c r="B223" t="s">
        <v>344</v>
      </c>
      <c r="C223">
        <v>6.5493014602151997E-2</v>
      </c>
      <c r="D223" t="s">
        <v>345</v>
      </c>
      <c r="E223">
        <v>269.53834073475912</v>
      </c>
      <c r="F223" t="s">
        <v>245</v>
      </c>
      <c r="G223" t="s">
        <v>357</v>
      </c>
      <c r="H223" t="s">
        <v>351</v>
      </c>
      <c r="I223" t="s">
        <v>348</v>
      </c>
      <c r="J223" t="s">
        <v>351</v>
      </c>
      <c r="K223" t="s">
        <v>12</v>
      </c>
      <c r="L223" t="s">
        <v>365</v>
      </c>
      <c r="M223">
        <f t="shared" si="10"/>
        <v>4</v>
      </c>
      <c r="N223">
        <f t="shared" si="11"/>
        <v>0.26197205840860799</v>
      </c>
      <c r="O223">
        <f t="shared" si="12"/>
        <v>8.6252269035122925E-2</v>
      </c>
    </row>
    <row r="224" spans="1:15">
      <c r="A224" t="s">
        <v>69</v>
      </c>
      <c r="B224" t="s">
        <v>344</v>
      </c>
      <c r="C224">
        <v>2.3963480973260998E-2</v>
      </c>
      <c r="D224" t="s">
        <v>345</v>
      </c>
      <c r="E224">
        <v>96.017299983414318</v>
      </c>
      <c r="F224" t="s">
        <v>245</v>
      </c>
      <c r="G224" t="s">
        <v>357</v>
      </c>
      <c r="H224" t="s">
        <v>352</v>
      </c>
      <c r="I224" t="s">
        <v>348</v>
      </c>
      <c r="J224" t="s">
        <v>352</v>
      </c>
      <c r="K224" t="s">
        <v>18</v>
      </c>
      <c r="L224" t="s">
        <v>365</v>
      </c>
      <c r="M224">
        <f t="shared" si="10"/>
        <v>4</v>
      </c>
      <c r="N224">
        <f t="shared" si="11"/>
        <v>9.5853923893043994E-2</v>
      </c>
      <c r="O224">
        <f t="shared" si="12"/>
        <v>3.0725535994692587E-2</v>
      </c>
    </row>
    <row r="225" spans="1:15">
      <c r="A225" t="s">
        <v>84</v>
      </c>
      <c r="B225" t="s">
        <v>344</v>
      </c>
      <c r="C225">
        <v>9.3086636458419997E-3</v>
      </c>
      <c r="D225" t="s">
        <v>345</v>
      </c>
      <c r="E225">
        <v>93.812733836577493</v>
      </c>
      <c r="F225" t="s">
        <v>245</v>
      </c>
      <c r="G225" t="s">
        <v>357</v>
      </c>
      <c r="H225" t="s">
        <v>352</v>
      </c>
      <c r="I225" t="s">
        <v>348</v>
      </c>
      <c r="J225" t="s">
        <v>352</v>
      </c>
      <c r="K225" t="s">
        <v>18</v>
      </c>
      <c r="L225" t="s">
        <v>365</v>
      </c>
      <c r="M225">
        <f t="shared" si="10"/>
        <v>4</v>
      </c>
      <c r="N225">
        <f t="shared" si="11"/>
        <v>3.7234654583367999E-2</v>
      </c>
      <c r="O225">
        <f t="shared" si="12"/>
        <v>3.0020074827704798E-2</v>
      </c>
    </row>
    <row r="226" spans="1:15">
      <c r="A226" t="s">
        <v>84</v>
      </c>
      <c r="B226" t="s">
        <v>344</v>
      </c>
      <c r="C226">
        <v>6.1330089648737998E-2</v>
      </c>
      <c r="D226" t="s">
        <v>345</v>
      </c>
      <c r="E226">
        <v>190.38394643767282</v>
      </c>
      <c r="F226" t="s">
        <v>245</v>
      </c>
      <c r="G226" t="s">
        <v>357</v>
      </c>
      <c r="H226" t="s">
        <v>352</v>
      </c>
      <c r="I226" t="s">
        <v>348</v>
      </c>
      <c r="J226" t="s">
        <v>352</v>
      </c>
      <c r="K226" t="s">
        <v>18</v>
      </c>
      <c r="L226" t="s">
        <v>365</v>
      </c>
      <c r="M226">
        <f t="shared" si="10"/>
        <v>4</v>
      </c>
      <c r="N226">
        <f t="shared" si="11"/>
        <v>0.24532035859495199</v>
      </c>
      <c r="O226">
        <f t="shared" si="12"/>
        <v>6.0922862860055306E-2</v>
      </c>
    </row>
    <row r="227" spans="1:15">
      <c r="A227" t="s">
        <v>84</v>
      </c>
      <c r="B227" t="s">
        <v>344</v>
      </c>
      <c r="C227">
        <v>2.0357625513149999E-2</v>
      </c>
      <c r="D227" t="s">
        <v>345</v>
      </c>
      <c r="E227">
        <v>83.171260146363068</v>
      </c>
      <c r="F227" t="s">
        <v>245</v>
      </c>
      <c r="G227" t="s">
        <v>357</v>
      </c>
      <c r="H227" t="s">
        <v>352</v>
      </c>
      <c r="I227" t="s">
        <v>348</v>
      </c>
      <c r="J227" t="s">
        <v>352</v>
      </c>
      <c r="K227" t="s">
        <v>18</v>
      </c>
      <c r="L227" t="s">
        <v>365</v>
      </c>
      <c r="M227">
        <f t="shared" si="10"/>
        <v>4</v>
      </c>
      <c r="N227">
        <f t="shared" si="11"/>
        <v>8.1430502052599996E-2</v>
      </c>
      <c r="O227">
        <f t="shared" si="12"/>
        <v>2.6614803246836179E-2</v>
      </c>
    </row>
    <row r="228" spans="1:15">
      <c r="A228" t="s">
        <v>84</v>
      </c>
      <c r="B228" t="s">
        <v>344</v>
      </c>
      <c r="C228">
        <v>6.2894471450171005E-2</v>
      </c>
      <c r="D228" t="s">
        <v>345</v>
      </c>
      <c r="E228">
        <v>156.5472218483556</v>
      </c>
      <c r="F228" t="s">
        <v>245</v>
      </c>
      <c r="G228" t="s">
        <v>357</v>
      </c>
      <c r="H228" t="s">
        <v>352</v>
      </c>
      <c r="I228" t="s">
        <v>348</v>
      </c>
      <c r="J228" t="s">
        <v>352</v>
      </c>
      <c r="K228" t="s">
        <v>18</v>
      </c>
      <c r="L228" t="s">
        <v>365</v>
      </c>
      <c r="M228">
        <f t="shared" si="10"/>
        <v>4</v>
      </c>
      <c r="N228">
        <f t="shared" si="11"/>
        <v>0.25157788580068402</v>
      </c>
      <c r="O228">
        <f t="shared" si="12"/>
        <v>5.0095110991473797E-2</v>
      </c>
    </row>
    <row r="229" spans="1:15">
      <c r="A229" t="s">
        <v>369</v>
      </c>
      <c r="B229" t="s">
        <v>344</v>
      </c>
      <c r="C229">
        <v>0.39871801783522498</v>
      </c>
      <c r="D229" t="s">
        <v>345</v>
      </c>
      <c r="E229">
        <v>616.33030598936739</v>
      </c>
      <c r="F229" t="s">
        <v>245</v>
      </c>
      <c r="G229" t="s">
        <v>346</v>
      </c>
      <c r="H229" t="s">
        <v>352</v>
      </c>
      <c r="I229" t="s">
        <v>348</v>
      </c>
      <c r="J229" t="s">
        <v>352</v>
      </c>
      <c r="K229" t="s">
        <v>18</v>
      </c>
      <c r="L229" t="s">
        <v>365</v>
      </c>
      <c r="M229">
        <f t="shared" si="10"/>
        <v>4</v>
      </c>
      <c r="N229">
        <f t="shared" si="11"/>
        <v>1.5948720713408999</v>
      </c>
      <c r="O229">
        <f t="shared" si="12"/>
        <v>0.19722569791659758</v>
      </c>
    </row>
    <row r="230" spans="1:15">
      <c r="A230" t="s">
        <v>317</v>
      </c>
      <c r="B230" t="s">
        <v>344</v>
      </c>
      <c r="C230">
        <v>0.355513567589123</v>
      </c>
      <c r="D230" t="s">
        <v>345</v>
      </c>
      <c r="E230">
        <v>245.99789981623326</v>
      </c>
      <c r="F230" t="s">
        <v>245</v>
      </c>
      <c r="G230" t="s">
        <v>346</v>
      </c>
      <c r="H230" t="s">
        <v>352</v>
      </c>
      <c r="I230" t="s">
        <v>348</v>
      </c>
      <c r="J230" t="s">
        <v>352</v>
      </c>
      <c r="K230" t="s">
        <v>18</v>
      </c>
      <c r="L230" t="s">
        <v>365</v>
      </c>
      <c r="M230">
        <f t="shared" si="10"/>
        <v>4</v>
      </c>
      <c r="N230">
        <f t="shared" si="11"/>
        <v>1.422054270356492</v>
      </c>
      <c r="O230">
        <f t="shared" si="12"/>
        <v>7.8719327941194656E-2</v>
      </c>
    </row>
    <row r="231" spans="1:15">
      <c r="A231" t="s">
        <v>276</v>
      </c>
      <c r="B231" t="s">
        <v>344</v>
      </c>
      <c r="C231">
        <v>0.57468064669599295</v>
      </c>
      <c r="D231" t="s">
        <v>345</v>
      </c>
      <c r="E231">
        <v>366.26515918110488</v>
      </c>
      <c r="F231" t="s">
        <v>245</v>
      </c>
      <c r="G231" t="s">
        <v>346</v>
      </c>
      <c r="H231" t="s">
        <v>352</v>
      </c>
      <c r="I231" t="s">
        <v>348</v>
      </c>
      <c r="J231" t="s">
        <v>352</v>
      </c>
      <c r="K231" t="s">
        <v>18</v>
      </c>
      <c r="L231" t="s">
        <v>365</v>
      </c>
      <c r="M231">
        <f t="shared" si="10"/>
        <v>4</v>
      </c>
      <c r="N231">
        <f t="shared" si="11"/>
        <v>2.2987225867839718</v>
      </c>
      <c r="O231">
        <f t="shared" si="12"/>
        <v>0.11720485093795358</v>
      </c>
    </row>
    <row r="232" spans="1:15">
      <c r="A232" t="s">
        <v>370</v>
      </c>
      <c r="B232" t="s">
        <v>344</v>
      </c>
      <c r="C232">
        <v>0.100703908689558</v>
      </c>
      <c r="D232" t="s">
        <v>345</v>
      </c>
      <c r="E232">
        <v>131.96320510653686</v>
      </c>
      <c r="F232" t="s">
        <v>245</v>
      </c>
      <c r="G232" t="s">
        <v>357</v>
      </c>
      <c r="H232" t="s">
        <v>352</v>
      </c>
      <c r="I232" t="s">
        <v>348</v>
      </c>
      <c r="J232" t="s">
        <v>352</v>
      </c>
      <c r="K232" t="s">
        <v>18</v>
      </c>
      <c r="L232" t="s">
        <v>365</v>
      </c>
      <c r="M232">
        <f t="shared" si="10"/>
        <v>4</v>
      </c>
      <c r="N232">
        <f t="shared" si="11"/>
        <v>0.40281563475823201</v>
      </c>
      <c r="O232">
        <f t="shared" si="12"/>
        <v>4.2228225634091794E-2</v>
      </c>
    </row>
    <row r="233" spans="1:15">
      <c r="A233" t="s">
        <v>75</v>
      </c>
      <c r="B233" t="s">
        <v>344</v>
      </c>
      <c r="C233">
        <v>6.2071460864510002E-3</v>
      </c>
      <c r="D233" t="s">
        <v>345</v>
      </c>
      <c r="E233">
        <v>27.92894799515436</v>
      </c>
      <c r="F233" t="s">
        <v>245</v>
      </c>
      <c r="G233" t="s">
        <v>357</v>
      </c>
      <c r="H233" t="s">
        <v>351</v>
      </c>
      <c r="I233" t="s">
        <v>348</v>
      </c>
      <c r="J233" t="s">
        <v>351</v>
      </c>
      <c r="K233" t="s">
        <v>12</v>
      </c>
      <c r="L233" t="s">
        <v>365</v>
      </c>
      <c r="M233">
        <f t="shared" si="10"/>
        <v>4</v>
      </c>
      <c r="N233">
        <f t="shared" si="11"/>
        <v>2.4828584345804001E-2</v>
      </c>
      <c r="O233">
        <f t="shared" si="12"/>
        <v>8.937263358449396E-3</v>
      </c>
    </row>
    <row r="234" spans="1:15">
      <c r="A234" t="s">
        <v>75</v>
      </c>
      <c r="B234" t="s">
        <v>344</v>
      </c>
      <c r="C234">
        <v>7.6566926066998997E-2</v>
      </c>
      <c r="D234" t="s">
        <v>345</v>
      </c>
      <c r="E234">
        <v>378.61410426262432</v>
      </c>
      <c r="F234" t="s">
        <v>245</v>
      </c>
      <c r="G234" t="s">
        <v>357</v>
      </c>
      <c r="H234" t="s">
        <v>351</v>
      </c>
      <c r="I234" t="s">
        <v>348</v>
      </c>
      <c r="J234" t="s">
        <v>351</v>
      </c>
      <c r="K234" t="s">
        <v>12</v>
      </c>
      <c r="L234" t="s">
        <v>365</v>
      </c>
      <c r="M234">
        <f t="shared" si="10"/>
        <v>4</v>
      </c>
      <c r="N234">
        <f t="shared" si="11"/>
        <v>0.30626770426799599</v>
      </c>
      <c r="O234">
        <f t="shared" si="12"/>
        <v>0.12115651336403978</v>
      </c>
    </row>
    <row r="235" spans="1:15">
      <c r="A235" t="s">
        <v>129</v>
      </c>
      <c r="B235" t="s">
        <v>344</v>
      </c>
      <c r="C235">
        <v>0.14288822720531399</v>
      </c>
      <c r="D235" t="s">
        <v>345</v>
      </c>
      <c r="E235">
        <v>209.82043782646568</v>
      </c>
      <c r="F235" t="s">
        <v>245</v>
      </c>
      <c r="G235" t="s">
        <v>357</v>
      </c>
      <c r="H235" t="s">
        <v>351</v>
      </c>
      <c r="I235" t="s">
        <v>348</v>
      </c>
      <c r="J235" t="s">
        <v>351</v>
      </c>
      <c r="K235" t="s">
        <v>12</v>
      </c>
      <c r="L235" t="s">
        <v>365</v>
      </c>
      <c r="M235">
        <f t="shared" si="10"/>
        <v>4</v>
      </c>
      <c r="N235">
        <f t="shared" si="11"/>
        <v>0.57155290882125598</v>
      </c>
      <c r="O235">
        <f t="shared" si="12"/>
        <v>6.7142540104469031E-2</v>
      </c>
    </row>
    <row r="236" spans="1:15">
      <c r="A236" t="s">
        <v>129</v>
      </c>
      <c r="B236" t="s">
        <v>344</v>
      </c>
      <c r="C236">
        <v>0.16992886062076401</v>
      </c>
      <c r="D236" t="s">
        <v>345</v>
      </c>
      <c r="E236">
        <v>479.68628566852539</v>
      </c>
      <c r="F236" t="s">
        <v>245</v>
      </c>
      <c r="G236" t="s">
        <v>357</v>
      </c>
      <c r="H236" t="s">
        <v>351</v>
      </c>
      <c r="I236" t="s">
        <v>348</v>
      </c>
      <c r="J236" t="s">
        <v>351</v>
      </c>
      <c r="K236" t="s">
        <v>12</v>
      </c>
      <c r="L236" t="s">
        <v>365</v>
      </c>
      <c r="M236">
        <f t="shared" si="10"/>
        <v>4</v>
      </c>
      <c r="N236">
        <f t="shared" si="11"/>
        <v>0.67971544248305604</v>
      </c>
      <c r="O236">
        <f t="shared" si="12"/>
        <v>0.15349961141392815</v>
      </c>
    </row>
    <row r="237" spans="1:15">
      <c r="A237" t="s">
        <v>77</v>
      </c>
      <c r="B237" t="s">
        <v>344</v>
      </c>
      <c r="C237">
        <v>6.7596183503964E-2</v>
      </c>
      <c r="D237" t="s">
        <v>345</v>
      </c>
      <c r="E237">
        <v>116.6474965794015</v>
      </c>
      <c r="F237" t="s">
        <v>245</v>
      </c>
      <c r="G237" t="s">
        <v>357</v>
      </c>
      <c r="H237" t="s">
        <v>351</v>
      </c>
      <c r="I237" t="s">
        <v>348</v>
      </c>
      <c r="J237" t="s">
        <v>351</v>
      </c>
      <c r="K237" t="s">
        <v>12</v>
      </c>
      <c r="L237" t="s">
        <v>365</v>
      </c>
      <c r="M237">
        <f t="shared" si="10"/>
        <v>4</v>
      </c>
      <c r="N237">
        <f t="shared" si="11"/>
        <v>0.270384734015856</v>
      </c>
      <c r="O237">
        <f t="shared" si="12"/>
        <v>3.7327198905408483E-2</v>
      </c>
    </row>
    <row r="238" spans="1:15">
      <c r="A238" t="s">
        <v>77</v>
      </c>
      <c r="B238" t="s">
        <v>344</v>
      </c>
      <c r="C238">
        <v>1.9407670220476E-2</v>
      </c>
      <c r="D238" t="s">
        <v>345</v>
      </c>
      <c r="E238">
        <v>68.22875981402106</v>
      </c>
      <c r="F238" t="s">
        <v>245</v>
      </c>
      <c r="G238" t="s">
        <v>357</v>
      </c>
      <c r="H238" t="s">
        <v>351</v>
      </c>
      <c r="I238" t="s">
        <v>348</v>
      </c>
      <c r="J238" t="s">
        <v>351</v>
      </c>
      <c r="K238" t="s">
        <v>12</v>
      </c>
      <c r="L238" t="s">
        <v>365</v>
      </c>
      <c r="M238">
        <f t="shared" si="10"/>
        <v>4</v>
      </c>
      <c r="N238">
        <f t="shared" si="11"/>
        <v>7.7630680881904002E-2</v>
      </c>
      <c r="O238">
        <f t="shared" si="12"/>
        <v>2.1833203140486739E-2</v>
      </c>
    </row>
    <row r="239" spans="1:15">
      <c r="A239" t="s">
        <v>77</v>
      </c>
      <c r="B239" t="s">
        <v>344</v>
      </c>
      <c r="C239">
        <v>0.114201766149614</v>
      </c>
      <c r="D239" t="s">
        <v>345</v>
      </c>
      <c r="E239">
        <v>190.67519696929276</v>
      </c>
      <c r="F239" t="s">
        <v>245</v>
      </c>
      <c r="G239" t="s">
        <v>357</v>
      </c>
      <c r="H239" t="s">
        <v>351</v>
      </c>
      <c r="I239" t="s">
        <v>348</v>
      </c>
      <c r="J239" t="s">
        <v>351</v>
      </c>
      <c r="K239" t="s">
        <v>12</v>
      </c>
      <c r="L239" t="s">
        <v>365</v>
      </c>
      <c r="M239">
        <f t="shared" si="10"/>
        <v>4</v>
      </c>
      <c r="N239">
        <f t="shared" si="11"/>
        <v>0.45680706459845599</v>
      </c>
      <c r="O239">
        <f t="shared" si="12"/>
        <v>6.1016063030173685E-2</v>
      </c>
    </row>
    <row r="240" spans="1:15">
      <c r="A240" t="s">
        <v>57</v>
      </c>
      <c r="B240" t="s">
        <v>344</v>
      </c>
      <c r="C240">
        <v>1.6561658115464999E-2</v>
      </c>
      <c r="D240" t="s">
        <v>345</v>
      </c>
      <c r="E240">
        <v>45.620555874310767</v>
      </c>
      <c r="F240" t="s">
        <v>245</v>
      </c>
      <c r="G240" t="s">
        <v>357</v>
      </c>
      <c r="H240" t="s">
        <v>351</v>
      </c>
      <c r="I240" t="s">
        <v>348</v>
      </c>
      <c r="J240" t="s">
        <v>351</v>
      </c>
      <c r="K240" t="s">
        <v>12</v>
      </c>
      <c r="L240" t="s">
        <v>365</v>
      </c>
      <c r="M240">
        <f t="shared" si="10"/>
        <v>4</v>
      </c>
      <c r="N240">
        <f t="shared" si="11"/>
        <v>6.6246632461859994E-2</v>
      </c>
      <c r="O240">
        <f t="shared" si="12"/>
        <v>1.4598577879779447E-2</v>
      </c>
    </row>
    <row r="241" spans="1:15">
      <c r="A241" t="s">
        <v>75</v>
      </c>
      <c r="B241" t="s">
        <v>344</v>
      </c>
      <c r="C241">
        <v>7.2753980368139001E-2</v>
      </c>
      <c r="D241" t="s">
        <v>345</v>
      </c>
      <c r="E241">
        <v>371.71064549416025</v>
      </c>
      <c r="F241" t="s">
        <v>245</v>
      </c>
      <c r="G241" t="s">
        <v>357</v>
      </c>
      <c r="H241" t="s">
        <v>351</v>
      </c>
      <c r="I241" t="s">
        <v>348</v>
      </c>
      <c r="J241" t="s">
        <v>351</v>
      </c>
      <c r="K241" t="s">
        <v>12</v>
      </c>
      <c r="L241" t="s">
        <v>365</v>
      </c>
      <c r="M241">
        <f t="shared" si="10"/>
        <v>4</v>
      </c>
      <c r="N241">
        <f t="shared" si="11"/>
        <v>0.29101592147255601</v>
      </c>
      <c r="O241">
        <f t="shared" si="12"/>
        <v>0.11894740655813127</v>
      </c>
    </row>
    <row r="242" spans="1:15">
      <c r="A242" t="s">
        <v>325</v>
      </c>
      <c r="B242" t="s">
        <v>344</v>
      </c>
      <c r="C242">
        <v>2.7467948673320999E-2</v>
      </c>
      <c r="D242" t="s">
        <v>345</v>
      </c>
      <c r="E242">
        <v>106.46578036851325</v>
      </c>
      <c r="F242" t="s">
        <v>245</v>
      </c>
      <c r="G242" t="s">
        <v>357</v>
      </c>
      <c r="H242" t="s">
        <v>352</v>
      </c>
      <c r="I242" t="s">
        <v>348</v>
      </c>
      <c r="J242" t="s">
        <v>352</v>
      </c>
      <c r="K242" t="s">
        <v>18</v>
      </c>
      <c r="L242" t="s">
        <v>365</v>
      </c>
      <c r="M242">
        <f t="shared" si="10"/>
        <v>4</v>
      </c>
      <c r="N242">
        <f t="shared" si="11"/>
        <v>0.10987179469328399</v>
      </c>
      <c r="O242">
        <f t="shared" si="12"/>
        <v>3.4069049717924238E-2</v>
      </c>
    </row>
    <row r="243" spans="1:15">
      <c r="A243" t="s">
        <v>118</v>
      </c>
      <c r="B243" t="s">
        <v>344</v>
      </c>
      <c r="C243">
        <v>9.5286511671182003E-2</v>
      </c>
      <c r="D243" t="s">
        <v>345</v>
      </c>
      <c r="E243">
        <v>127.76133691892665</v>
      </c>
      <c r="F243" t="s">
        <v>245</v>
      </c>
      <c r="G243" t="s">
        <v>357</v>
      </c>
      <c r="H243" t="s">
        <v>358</v>
      </c>
      <c r="I243" t="s">
        <v>348</v>
      </c>
      <c r="J243" t="s">
        <v>358</v>
      </c>
      <c r="K243" t="s">
        <v>119</v>
      </c>
      <c r="L243" t="s">
        <v>365</v>
      </c>
      <c r="M243">
        <f t="shared" si="10"/>
        <v>4</v>
      </c>
      <c r="N243">
        <f t="shared" si="11"/>
        <v>0.38114604668472801</v>
      </c>
      <c r="O243">
        <f t="shared" si="12"/>
        <v>4.0883627814056529E-2</v>
      </c>
    </row>
    <row r="244" spans="1:15">
      <c r="A244" t="s">
        <v>326</v>
      </c>
      <c r="B244" t="s">
        <v>344</v>
      </c>
      <c r="C244">
        <v>8.6596094215148994E-2</v>
      </c>
      <c r="D244" t="s">
        <v>345</v>
      </c>
      <c r="E244">
        <v>151.27734727934205</v>
      </c>
      <c r="F244" t="s">
        <v>245</v>
      </c>
      <c r="G244" t="s">
        <v>357</v>
      </c>
      <c r="H244" t="s">
        <v>352</v>
      </c>
      <c r="I244" t="s">
        <v>348</v>
      </c>
      <c r="J244" t="s">
        <v>352</v>
      </c>
      <c r="K244" t="s">
        <v>18</v>
      </c>
      <c r="L244" t="s">
        <v>365</v>
      </c>
      <c r="M244">
        <f t="shared" si="10"/>
        <v>4</v>
      </c>
      <c r="N244">
        <f t="shared" si="11"/>
        <v>0.34638437686059598</v>
      </c>
      <c r="O244">
        <f t="shared" si="12"/>
        <v>4.8408751129389457E-2</v>
      </c>
    </row>
    <row r="245" spans="1:15">
      <c r="A245" t="s">
        <v>326</v>
      </c>
      <c r="B245" t="s">
        <v>344</v>
      </c>
      <c r="C245">
        <v>5.5295193177955997E-2</v>
      </c>
      <c r="D245" t="s">
        <v>345</v>
      </c>
      <c r="E245">
        <v>139.19453435269725</v>
      </c>
      <c r="F245" t="s">
        <v>245</v>
      </c>
      <c r="G245" t="s">
        <v>357</v>
      </c>
      <c r="H245" t="s">
        <v>352</v>
      </c>
      <c r="I245" t="s">
        <v>348</v>
      </c>
      <c r="J245" t="s">
        <v>352</v>
      </c>
      <c r="K245" t="s">
        <v>18</v>
      </c>
      <c r="L245" t="s">
        <v>365</v>
      </c>
      <c r="M245">
        <f t="shared" si="10"/>
        <v>4</v>
      </c>
      <c r="N245">
        <f t="shared" si="11"/>
        <v>0.22118077271182399</v>
      </c>
      <c r="O245">
        <f t="shared" si="12"/>
        <v>4.4542250992863117E-2</v>
      </c>
    </row>
    <row r="246" spans="1:15">
      <c r="A246" t="s">
        <v>326</v>
      </c>
      <c r="B246" t="s">
        <v>344</v>
      </c>
      <c r="C246">
        <v>0.108548021291032</v>
      </c>
      <c r="D246" t="s">
        <v>345</v>
      </c>
      <c r="E246">
        <v>278.30852566610218</v>
      </c>
      <c r="F246" t="s">
        <v>245</v>
      </c>
      <c r="G246" t="s">
        <v>357</v>
      </c>
      <c r="H246" t="s">
        <v>352</v>
      </c>
      <c r="I246" t="s">
        <v>348</v>
      </c>
      <c r="J246" t="s">
        <v>352</v>
      </c>
      <c r="K246" t="s">
        <v>18</v>
      </c>
      <c r="L246" t="s">
        <v>365</v>
      </c>
      <c r="M246">
        <f t="shared" si="10"/>
        <v>4</v>
      </c>
      <c r="N246">
        <f t="shared" si="11"/>
        <v>0.43419208516412799</v>
      </c>
      <c r="O246">
        <f t="shared" si="12"/>
        <v>8.9058728213152694E-2</v>
      </c>
    </row>
    <row r="247" spans="1:15">
      <c r="A247" t="s">
        <v>326</v>
      </c>
      <c r="B247" t="s">
        <v>344</v>
      </c>
      <c r="C247">
        <v>1.0689798103208E-2</v>
      </c>
      <c r="D247" t="s">
        <v>345</v>
      </c>
      <c r="E247">
        <v>47.094484861552999</v>
      </c>
      <c r="F247" t="s">
        <v>245</v>
      </c>
      <c r="G247" t="s">
        <v>357</v>
      </c>
      <c r="H247" t="s">
        <v>352</v>
      </c>
      <c r="I247" t="s">
        <v>348</v>
      </c>
      <c r="J247" t="s">
        <v>352</v>
      </c>
      <c r="K247" t="s">
        <v>18</v>
      </c>
      <c r="L247" t="s">
        <v>365</v>
      </c>
      <c r="M247">
        <f t="shared" si="10"/>
        <v>4</v>
      </c>
      <c r="N247">
        <f t="shared" si="11"/>
        <v>4.2759192412831999E-2</v>
      </c>
      <c r="O247">
        <f t="shared" si="12"/>
        <v>1.507023515569696E-2</v>
      </c>
    </row>
    <row r="248" spans="1:15">
      <c r="A248" t="s">
        <v>275</v>
      </c>
      <c r="B248" t="s">
        <v>354</v>
      </c>
      <c r="C248">
        <v>6.4344943963725004E-2</v>
      </c>
      <c r="D248" t="s">
        <v>355</v>
      </c>
      <c r="E248">
        <v>106.45513177843853</v>
      </c>
      <c r="F248" t="s">
        <v>245</v>
      </c>
      <c r="G248" t="s">
        <v>346</v>
      </c>
      <c r="H248" t="s">
        <v>351</v>
      </c>
      <c r="I248" t="s">
        <v>348</v>
      </c>
      <c r="J248" t="s">
        <v>351</v>
      </c>
      <c r="K248" t="s">
        <v>12</v>
      </c>
      <c r="L248" t="s">
        <v>365</v>
      </c>
      <c r="M248">
        <f t="shared" si="10"/>
        <v>6</v>
      </c>
      <c r="N248">
        <f t="shared" si="11"/>
        <v>0.38606966378235003</v>
      </c>
      <c r="O248">
        <f t="shared" si="12"/>
        <v>5.10984632536505E-2</v>
      </c>
    </row>
    <row r="249" spans="1:15">
      <c r="A249" t="s">
        <v>77</v>
      </c>
      <c r="B249" t="s">
        <v>344</v>
      </c>
      <c r="C249">
        <v>4.0465475683219999E-3</v>
      </c>
      <c r="D249" t="s">
        <v>345</v>
      </c>
      <c r="E249">
        <v>22.5502270785815</v>
      </c>
      <c r="F249" t="s">
        <v>245</v>
      </c>
      <c r="G249" t="s">
        <v>357</v>
      </c>
      <c r="H249" t="s">
        <v>351</v>
      </c>
      <c r="I249" t="s">
        <v>348</v>
      </c>
      <c r="J249" t="s">
        <v>351</v>
      </c>
      <c r="K249" t="s">
        <v>12</v>
      </c>
      <c r="L249" t="s">
        <v>365</v>
      </c>
      <c r="M249">
        <f t="shared" si="10"/>
        <v>4</v>
      </c>
      <c r="N249">
        <f t="shared" si="11"/>
        <v>1.6186190273287999E-2</v>
      </c>
      <c r="O249">
        <f t="shared" si="12"/>
        <v>7.2160726651460802E-3</v>
      </c>
    </row>
    <row r="250" spans="1:15">
      <c r="A250" t="s">
        <v>246</v>
      </c>
      <c r="B250" t="s">
        <v>344</v>
      </c>
      <c r="C250">
        <v>0.121877776440355</v>
      </c>
      <c r="D250" t="s">
        <v>345</v>
      </c>
      <c r="E250">
        <v>141.05208784903425</v>
      </c>
      <c r="F250" t="s">
        <v>245</v>
      </c>
      <c r="G250" t="s">
        <v>346</v>
      </c>
      <c r="H250" t="s">
        <v>352</v>
      </c>
      <c r="I250" t="s">
        <v>348</v>
      </c>
      <c r="J250" t="s">
        <v>352</v>
      </c>
      <c r="K250" t="s">
        <v>18</v>
      </c>
      <c r="L250" t="s">
        <v>365</v>
      </c>
      <c r="M250">
        <f t="shared" si="10"/>
        <v>4</v>
      </c>
      <c r="N250">
        <f t="shared" si="11"/>
        <v>0.48751110576141998</v>
      </c>
      <c r="O250">
        <f t="shared" si="12"/>
        <v>4.513666811169096E-2</v>
      </c>
    </row>
    <row r="251" spans="1:15">
      <c r="A251" t="s">
        <v>123</v>
      </c>
      <c r="B251" t="s">
        <v>344</v>
      </c>
      <c r="C251">
        <v>2.9324689410185002E-2</v>
      </c>
      <c r="D251" t="s">
        <v>345</v>
      </c>
      <c r="E251">
        <v>75.785011421468042</v>
      </c>
      <c r="F251" t="s">
        <v>245</v>
      </c>
      <c r="G251" t="s">
        <v>357</v>
      </c>
      <c r="H251" t="s">
        <v>358</v>
      </c>
      <c r="I251" t="s">
        <v>348</v>
      </c>
      <c r="J251" t="s">
        <v>358</v>
      </c>
      <c r="K251" t="s">
        <v>119</v>
      </c>
      <c r="L251" t="s">
        <v>365</v>
      </c>
      <c r="M251">
        <f t="shared" si="10"/>
        <v>4</v>
      </c>
      <c r="N251">
        <f t="shared" si="11"/>
        <v>0.11729875764074001</v>
      </c>
      <c r="O251">
        <f t="shared" si="12"/>
        <v>2.4251203654869775E-2</v>
      </c>
    </row>
    <row r="252" spans="1:15">
      <c r="A252" t="s">
        <v>123</v>
      </c>
      <c r="B252" t="s">
        <v>344</v>
      </c>
      <c r="C252">
        <v>0.25227078658332702</v>
      </c>
      <c r="D252" t="s">
        <v>345</v>
      </c>
      <c r="E252">
        <v>394.32579237737764</v>
      </c>
      <c r="F252" t="s">
        <v>245</v>
      </c>
      <c r="G252" t="s">
        <v>357</v>
      </c>
      <c r="H252" t="s">
        <v>358</v>
      </c>
      <c r="I252" t="s">
        <v>348</v>
      </c>
      <c r="J252" t="s">
        <v>358</v>
      </c>
      <c r="K252" t="s">
        <v>119</v>
      </c>
      <c r="L252" t="s">
        <v>365</v>
      </c>
      <c r="M252">
        <f t="shared" si="10"/>
        <v>4</v>
      </c>
      <c r="N252">
        <f t="shared" si="11"/>
        <v>1.0090831463333081</v>
      </c>
      <c r="O252">
        <f t="shared" si="12"/>
        <v>0.12618425356076085</v>
      </c>
    </row>
    <row r="253" spans="1:15">
      <c r="A253" t="s">
        <v>105</v>
      </c>
      <c r="B253" t="s">
        <v>344</v>
      </c>
      <c r="C253">
        <v>4.9292172602088999E-2</v>
      </c>
      <c r="D253" t="s">
        <v>345</v>
      </c>
      <c r="E253">
        <v>172.1190570744954</v>
      </c>
      <c r="F253" t="s">
        <v>245</v>
      </c>
      <c r="G253" t="s">
        <v>357</v>
      </c>
      <c r="H253" t="s">
        <v>351</v>
      </c>
      <c r="I253" t="s">
        <v>348</v>
      </c>
      <c r="J253" t="s">
        <v>351</v>
      </c>
      <c r="K253" t="s">
        <v>12</v>
      </c>
      <c r="L253" t="s">
        <v>365</v>
      </c>
      <c r="M253">
        <f t="shared" si="10"/>
        <v>4</v>
      </c>
      <c r="N253">
        <f t="shared" si="11"/>
        <v>0.197168690408356</v>
      </c>
      <c r="O253">
        <f t="shared" si="12"/>
        <v>5.5078098263838533E-2</v>
      </c>
    </row>
    <row r="254" spans="1:15">
      <c r="A254" t="s">
        <v>105</v>
      </c>
      <c r="B254" t="s">
        <v>344</v>
      </c>
      <c r="C254">
        <v>1.9308031630096999E-2</v>
      </c>
      <c r="D254" t="s">
        <v>345</v>
      </c>
      <c r="E254">
        <v>80.033875446875399</v>
      </c>
      <c r="F254" t="s">
        <v>245</v>
      </c>
      <c r="G254" t="s">
        <v>357</v>
      </c>
      <c r="H254" t="s">
        <v>351</v>
      </c>
      <c r="I254" t="s">
        <v>348</v>
      </c>
      <c r="J254" t="s">
        <v>351</v>
      </c>
      <c r="K254" t="s">
        <v>12</v>
      </c>
      <c r="L254" t="s">
        <v>365</v>
      </c>
      <c r="M254">
        <f t="shared" si="10"/>
        <v>4</v>
      </c>
      <c r="N254">
        <f t="shared" si="11"/>
        <v>7.7232126520387995E-2</v>
      </c>
      <c r="O254">
        <f t="shared" si="12"/>
        <v>2.5610840143000125E-2</v>
      </c>
    </row>
    <row r="255" spans="1:15">
      <c r="A255" t="s">
        <v>105</v>
      </c>
      <c r="B255" t="s">
        <v>344</v>
      </c>
      <c r="C255">
        <v>4.0350902935667003E-2</v>
      </c>
      <c r="D255" t="s">
        <v>345</v>
      </c>
      <c r="E255">
        <v>153.25064698998619</v>
      </c>
      <c r="F255" t="s">
        <v>245</v>
      </c>
      <c r="G255" t="s">
        <v>357</v>
      </c>
      <c r="H255" t="s">
        <v>351</v>
      </c>
      <c r="I255" t="s">
        <v>348</v>
      </c>
      <c r="J255" t="s">
        <v>351</v>
      </c>
      <c r="K255" t="s">
        <v>12</v>
      </c>
      <c r="L255" t="s">
        <v>365</v>
      </c>
      <c r="M255">
        <f t="shared" si="10"/>
        <v>4</v>
      </c>
      <c r="N255">
        <f t="shared" si="11"/>
        <v>0.16140361174266801</v>
      </c>
      <c r="O255">
        <f t="shared" si="12"/>
        <v>4.9040207036795583E-2</v>
      </c>
    </row>
    <row r="256" spans="1:15">
      <c r="A256" t="s">
        <v>105</v>
      </c>
      <c r="B256" t="s">
        <v>344</v>
      </c>
      <c r="C256">
        <v>2.1056354281209E-2</v>
      </c>
      <c r="D256" t="s">
        <v>345</v>
      </c>
      <c r="E256">
        <v>87.41602584336178</v>
      </c>
      <c r="F256" t="s">
        <v>245</v>
      </c>
      <c r="G256" t="s">
        <v>357</v>
      </c>
      <c r="H256" t="s">
        <v>351</v>
      </c>
      <c r="I256" t="s">
        <v>348</v>
      </c>
      <c r="J256" t="s">
        <v>351</v>
      </c>
      <c r="K256" t="s">
        <v>12</v>
      </c>
      <c r="L256" t="s">
        <v>365</v>
      </c>
      <c r="M256">
        <f t="shared" si="10"/>
        <v>4</v>
      </c>
      <c r="N256">
        <f t="shared" si="11"/>
        <v>8.4225417124836E-2</v>
      </c>
      <c r="O256">
        <f t="shared" si="12"/>
        <v>2.7973128269875771E-2</v>
      </c>
    </row>
    <row r="257" spans="1:15">
      <c r="A257" t="s">
        <v>75</v>
      </c>
      <c r="B257" t="s">
        <v>344</v>
      </c>
      <c r="C257">
        <v>3.3862876590699999E-3</v>
      </c>
      <c r="D257" t="s">
        <v>345</v>
      </c>
      <c r="E257">
        <v>25.11194012229036</v>
      </c>
      <c r="F257" t="s">
        <v>245</v>
      </c>
      <c r="G257" t="s">
        <v>357</v>
      </c>
      <c r="H257" t="s">
        <v>351</v>
      </c>
      <c r="I257" t="s">
        <v>348</v>
      </c>
      <c r="J257" t="s">
        <v>351</v>
      </c>
      <c r="K257" t="s">
        <v>12</v>
      </c>
      <c r="L257" t="s">
        <v>365</v>
      </c>
      <c r="M257">
        <f t="shared" si="10"/>
        <v>4</v>
      </c>
      <c r="N257">
        <f t="shared" si="11"/>
        <v>1.354515063628E-2</v>
      </c>
      <c r="O257">
        <f t="shared" si="12"/>
        <v>8.035820839132915E-3</v>
      </c>
    </row>
    <row r="258" spans="1:15">
      <c r="A258" t="s">
        <v>75</v>
      </c>
      <c r="B258" t="s">
        <v>344</v>
      </c>
      <c r="C258">
        <v>1.0307542029711E-2</v>
      </c>
      <c r="D258" t="s">
        <v>345</v>
      </c>
      <c r="E258">
        <v>58.968150683396573</v>
      </c>
      <c r="F258" t="s">
        <v>245</v>
      </c>
      <c r="G258" t="s">
        <v>357</v>
      </c>
      <c r="H258" t="s">
        <v>351</v>
      </c>
      <c r="I258" t="s">
        <v>348</v>
      </c>
      <c r="J258" t="s">
        <v>351</v>
      </c>
      <c r="K258" t="s">
        <v>12</v>
      </c>
      <c r="L258" t="s">
        <v>365</v>
      </c>
      <c r="M258">
        <f t="shared" si="10"/>
        <v>4</v>
      </c>
      <c r="N258">
        <f t="shared" si="11"/>
        <v>4.1230168118844002E-2</v>
      </c>
      <c r="O258">
        <f t="shared" si="12"/>
        <v>1.8869808218686904E-2</v>
      </c>
    </row>
    <row r="259" spans="1:15">
      <c r="A259" t="s">
        <v>75</v>
      </c>
      <c r="B259" t="s">
        <v>344</v>
      </c>
      <c r="C259">
        <v>1.2102482749219001E-2</v>
      </c>
      <c r="D259" t="s">
        <v>345</v>
      </c>
      <c r="E259">
        <v>38.998319886693899</v>
      </c>
      <c r="F259" t="s">
        <v>245</v>
      </c>
      <c r="G259" t="s">
        <v>357</v>
      </c>
      <c r="H259" t="s">
        <v>351</v>
      </c>
      <c r="I259" t="s">
        <v>348</v>
      </c>
      <c r="J259" t="s">
        <v>351</v>
      </c>
      <c r="K259" t="s">
        <v>12</v>
      </c>
      <c r="L259" t="s">
        <v>365</v>
      </c>
      <c r="M259">
        <f t="shared" ref="M259:M322" si="13">LEFT(D259,2)*1</f>
        <v>4</v>
      </c>
      <c r="N259">
        <f t="shared" ref="N259:N322" si="14">M259*C259</f>
        <v>4.8409930996876002E-2</v>
      </c>
      <c r="O259">
        <f t="shared" ref="O259:O322" si="15">M259*E259*0.8/10000</f>
        <v>1.2479462363742049E-2</v>
      </c>
    </row>
    <row r="260" spans="1:15">
      <c r="A260" t="s">
        <v>323</v>
      </c>
      <c r="B260" t="s">
        <v>344</v>
      </c>
      <c r="C260">
        <v>4.6626840818158002E-2</v>
      </c>
      <c r="D260" t="s">
        <v>345</v>
      </c>
      <c r="E260">
        <v>125.59564987331731</v>
      </c>
      <c r="F260" t="s">
        <v>245</v>
      </c>
      <c r="G260" t="s">
        <v>357</v>
      </c>
      <c r="H260" t="s">
        <v>356</v>
      </c>
      <c r="I260" t="s">
        <v>348</v>
      </c>
      <c r="J260" t="s">
        <v>356</v>
      </c>
      <c r="K260" t="s">
        <v>176</v>
      </c>
      <c r="L260" t="s">
        <v>365</v>
      </c>
      <c r="M260">
        <f t="shared" si="13"/>
        <v>4</v>
      </c>
      <c r="N260">
        <f t="shared" si="14"/>
        <v>0.18650736327263201</v>
      </c>
      <c r="O260">
        <f t="shared" si="15"/>
        <v>4.0190607959461548E-2</v>
      </c>
    </row>
    <row r="261" spans="1:15">
      <c r="A261" t="s">
        <v>323</v>
      </c>
      <c r="B261" t="s">
        <v>344</v>
      </c>
      <c r="C261">
        <v>4.2351088483183003E-2</v>
      </c>
      <c r="D261" t="s">
        <v>345</v>
      </c>
      <c r="E261">
        <v>118.38703523495711</v>
      </c>
      <c r="F261" t="s">
        <v>245</v>
      </c>
      <c r="G261" t="s">
        <v>357</v>
      </c>
      <c r="H261" t="s">
        <v>356</v>
      </c>
      <c r="I261" t="s">
        <v>348</v>
      </c>
      <c r="J261" t="s">
        <v>356</v>
      </c>
      <c r="K261" t="s">
        <v>176</v>
      </c>
      <c r="L261" t="s">
        <v>365</v>
      </c>
      <c r="M261">
        <f t="shared" si="13"/>
        <v>4</v>
      </c>
      <c r="N261">
        <f t="shared" si="14"/>
        <v>0.16940435393273201</v>
      </c>
      <c r="O261">
        <f t="shared" si="15"/>
        <v>3.788385127518628E-2</v>
      </c>
    </row>
    <row r="262" spans="1:15">
      <c r="A262" t="s">
        <v>323</v>
      </c>
      <c r="B262" t="s">
        <v>344</v>
      </c>
      <c r="C262">
        <v>3.7664990056337E-2</v>
      </c>
      <c r="D262" t="s">
        <v>345</v>
      </c>
      <c r="E262">
        <v>121.44817337615788</v>
      </c>
      <c r="F262" t="s">
        <v>245</v>
      </c>
      <c r="G262" t="s">
        <v>357</v>
      </c>
      <c r="H262" t="s">
        <v>356</v>
      </c>
      <c r="I262" t="s">
        <v>348</v>
      </c>
      <c r="J262" t="s">
        <v>356</v>
      </c>
      <c r="K262" t="s">
        <v>176</v>
      </c>
      <c r="L262" t="s">
        <v>365</v>
      </c>
      <c r="M262">
        <f t="shared" si="13"/>
        <v>4</v>
      </c>
      <c r="N262">
        <f t="shared" si="14"/>
        <v>0.150659960225348</v>
      </c>
      <c r="O262">
        <f t="shared" si="15"/>
        <v>3.8863415480370526E-2</v>
      </c>
    </row>
    <row r="263" spans="1:15">
      <c r="A263" t="s">
        <v>323</v>
      </c>
      <c r="B263" t="s">
        <v>344</v>
      </c>
      <c r="C263">
        <v>3.8143136968505E-2</v>
      </c>
      <c r="D263" t="s">
        <v>345</v>
      </c>
      <c r="E263">
        <v>126.07937907535258</v>
      </c>
      <c r="F263" t="s">
        <v>245</v>
      </c>
      <c r="G263" t="s">
        <v>357</v>
      </c>
      <c r="H263" t="s">
        <v>356</v>
      </c>
      <c r="I263" t="s">
        <v>348</v>
      </c>
      <c r="J263" t="s">
        <v>356</v>
      </c>
      <c r="K263" t="s">
        <v>176</v>
      </c>
      <c r="L263" t="s">
        <v>365</v>
      </c>
      <c r="M263">
        <f t="shared" si="13"/>
        <v>4</v>
      </c>
      <c r="N263">
        <f t="shared" si="14"/>
        <v>0.15257254787402</v>
      </c>
      <c r="O263">
        <f t="shared" si="15"/>
        <v>4.0345401304112828E-2</v>
      </c>
    </row>
    <row r="264" spans="1:15">
      <c r="A264" t="s">
        <v>323</v>
      </c>
      <c r="B264" t="s">
        <v>344</v>
      </c>
      <c r="C264">
        <v>3.6326146008566998E-2</v>
      </c>
      <c r="D264" t="s">
        <v>345</v>
      </c>
      <c r="E264">
        <v>117.14656512474141</v>
      </c>
      <c r="F264" t="s">
        <v>245</v>
      </c>
      <c r="G264" t="s">
        <v>357</v>
      </c>
      <c r="H264" t="s">
        <v>356</v>
      </c>
      <c r="I264" t="s">
        <v>348</v>
      </c>
      <c r="J264" t="s">
        <v>356</v>
      </c>
      <c r="K264" t="s">
        <v>176</v>
      </c>
      <c r="L264" t="s">
        <v>365</v>
      </c>
      <c r="M264">
        <f t="shared" si="13"/>
        <v>4</v>
      </c>
      <c r="N264">
        <f t="shared" si="14"/>
        <v>0.14530458403426799</v>
      </c>
      <c r="O264">
        <f t="shared" si="15"/>
        <v>3.7486900839917257E-2</v>
      </c>
    </row>
    <row r="265" spans="1:15">
      <c r="A265" t="s">
        <v>323</v>
      </c>
      <c r="B265" t="s">
        <v>344</v>
      </c>
      <c r="C265">
        <v>3.8662484601414998E-2</v>
      </c>
      <c r="D265" t="s">
        <v>345</v>
      </c>
      <c r="E265">
        <v>117.40115608683251</v>
      </c>
      <c r="F265" t="s">
        <v>245</v>
      </c>
      <c r="G265" t="s">
        <v>357</v>
      </c>
      <c r="H265" t="s">
        <v>356</v>
      </c>
      <c r="I265" t="s">
        <v>348</v>
      </c>
      <c r="J265" t="s">
        <v>356</v>
      </c>
      <c r="K265" t="s">
        <v>176</v>
      </c>
      <c r="L265" t="s">
        <v>365</v>
      </c>
      <c r="M265">
        <f t="shared" si="13"/>
        <v>4</v>
      </c>
      <c r="N265">
        <f t="shared" si="14"/>
        <v>0.15464993840565999</v>
      </c>
      <c r="O265">
        <f t="shared" si="15"/>
        <v>3.7568369947786409E-2</v>
      </c>
    </row>
    <row r="266" spans="1:15">
      <c r="A266" t="s">
        <v>323</v>
      </c>
      <c r="B266" t="s">
        <v>344</v>
      </c>
      <c r="C266">
        <v>3.3334194564032998E-2</v>
      </c>
      <c r="D266" t="s">
        <v>345</v>
      </c>
      <c r="E266">
        <v>115.05237735303351</v>
      </c>
      <c r="F266" t="s">
        <v>245</v>
      </c>
      <c r="G266" t="s">
        <v>357</v>
      </c>
      <c r="H266" t="s">
        <v>356</v>
      </c>
      <c r="I266" t="s">
        <v>348</v>
      </c>
      <c r="J266" t="s">
        <v>356</v>
      </c>
      <c r="K266" t="s">
        <v>176</v>
      </c>
      <c r="L266" t="s">
        <v>365</v>
      </c>
      <c r="M266">
        <f t="shared" si="13"/>
        <v>4</v>
      </c>
      <c r="N266">
        <f t="shared" si="14"/>
        <v>0.13333677825613199</v>
      </c>
      <c r="O266">
        <f t="shared" si="15"/>
        <v>3.6816760752970724E-2</v>
      </c>
    </row>
    <row r="267" spans="1:15">
      <c r="A267" t="s">
        <v>323</v>
      </c>
      <c r="B267" t="s">
        <v>344</v>
      </c>
      <c r="C267">
        <v>3.6039133538346001E-2</v>
      </c>
      <c r="D267" t="s">
        <v>345</v>
      </c>
      <c r="E267">
        <v>110.36516045941218</v>
      </c>
      <c r="F267" t="s">
        <v>245</v>
      </c>
      <c r="G267" t="s">
        <v>357</v>
      </c>
      <c r="H267" t="s">
        <v>356</v>
      </c>
      <c r="I267" t="s">
        <v>348</v>
      </c>
      <c r="J267" t="s">
        <v>356</v>
      </c>
      <c r="K267" t="s">
        <v>176</v>
      </c>
      <c r="L267" t="s">
        <v>365</v>
      </c>
      <c r="M267">
        <f t="shared" si="13"/>
        <v>4</v>
      </c>
      <c r="N267">
        <f t="shared" si="14"/>
        <v>0.144156534153384</v>
      </c>
      <c r="O267">
        <f t="shared" si="15"/>
        <v>3.5316851347011902E-2</v>
      </c>
    </row>
    <row r="268" spans="1:15">
      <c r="A268" t="s">
        <v>323</v>
      </c>
      <c r="B268" t="s">
        <v>344</v>
      </c>
      <c r="C268">
        <v>3.6216780221596002E-2</v>
      </c>
      <c r="D268" t="s">
        <v>345</v>
      </c>
      <c r="E268">
        <v>105.60891867140055</v>
      </c>
      <c r="F268" t="s">
        <v>245</v>
      </c>
      <c r="G268" t="s">
        <v>357</v>
      </c>
      <c r="H268" t="s">
        <v>356</v>
      </c>
      <c r="I268" t="s">
        <v>348</v>
      </c>
      <c r="J268" t="s">
        <v>356</v>
      </c>
      <c r="K268" t="s">
        <v>176</v>
      </c>
      <c r="L268" t="s">
        <v>365</v>
      </c>
      <c r="M268">
        <f t="shared" si="13"/>
        <v>4</v>
      </c>
      <c r="N268">
        <f t="shared" si="14"/>
        <v>0.14486712088638401</v>
      </c>
      <c r="O268">
        <f t="shared" si="15"/>
        <v>3.3794853974848181E-2</v>
      </c>
    </row>
    <row r="269" spans="1:15">
      <c r="A269" t="s">
        <v>323</v>
      </c>
      <c r="B269" t="s">
        <v>344</v>
      </c>
      <c r="C269">
        <v>3.4017147339273003E-2</v>
      </c>
      <c r="D269" t="s">
        <v>345</v>
      </c>
      <c r="E269">
        <v>103.38732355242699</v>
      </c>
      <c r="F269" t="s">
        <v>245</v>
      </c>
      <c r="G269" t="s">
        <v>357</v>
      </c>
      <c r="H269" t="s">
        <v>356</v>
      </c>
      <c r="I269" t="s">
        <v>348</v>
      </c>
      <c r="J269" t="s">
        <v>356</v>
      </c>
      <c r="K269" t="s">
        <v>176</v>
      </c>
      <c r="L269" t="s">
        <v>365</v>
      </c>
      <c r="M269">
        <f t="shared" si="13"/>
        <v>4</v>
      </c>
      <c r="N269">
        <f t="shared" si="14"/>
        <v>0.13606858935709201</v>
      </c>
      <c r="O269">
        <f t="shared" si="15"/>
        <v>3.3083943536776642E-2</v>
      </c>
    </row>
    <row r="270" spans="1:15">
      <c r="A270" t="s">
        <v>323</v>
      </c>
      <c r="B270" t="s">
        <v>344</v>
      </c>
      <c r="C270">
        <v>0.112735209894158</v>
      </c>
      <c r="D270" t="s">
        <v>345</v>
      </c>
      <c r="E270">
        <v>312.89468760357443</v>
      </c>
      <c r="F270" t="s">
        <v>245</v>
      </c>
      <c r="G270" t="s">
        <v>357</v>
      </c>
      <c r="H270" t="s">
        <v>356</v>
      </c>
      <c r="I270" t="s">
        <v>348</v>
      </c>
      <c r="J270" t="s">
        <v>356</v>
      </c>
      <c r="K270" t="s">
        <v>176</v>
      </c>
      <c r="L270" t="s">
        <v>365</v>
      </c>
      <c r="M270">
        <f t="shared" si="13"/>
        <v>4</v>
      </c>
      <c r="N270">
        <f t="shared" si="14"/>
        <v>0.450940839576632</v>
      </c>
      <c r="O270">
        <f t="shared" si="15"/>
        <v>0.10012630003314382</v>
      </c>
    </row>
    <row r="271" spans="1:15">
      <c r="A271" t="s">
        <v>323</v>
      </c>
      <c r="B271" t="s">
        <v>344</v>
      </c>
      <c r="C271">
        <v>0.15765362207170899</v>
      </c>
      <c r="D271" t="s">
        <v>345</v>
      </c>
      <c r="E271">
        <v>406.21616888837713</v>
      </c>
      <c r="F271" t="s">
        <v>245</v>
      </c>
      <c r="G271" t="s">
        <v>357</v>
      </c>
      <c r="H271" t="s">
        <v>356</v>
      </c>
      <c r="I271" t="s">
        <v>348</v>
      </c>
      <c r="J271" t="s">
        <v>356</v>
      </c>
      <c r="K271" t="s">
        <v>176</v>
      </c>
      <c r="L271" t="s">
        <v>365</v>
      </c>
      <c r="M271">
        <f t="shared" si="13"/>
        <v>4</v>
      </c>
      <c r="N271">
        <f t="shared" si="14"/>
        <v>0.63061448828683597</v>
      </c>
      <c r="O271">
        <f t="shared" si="15"/>
        <v>0.12998917404428068</v>
      </c>
    </row>
    <row r="272" spans="1:15">
      <c r="A272" t="s">
        <v>323</v>
      </c>
      <c r="B272" t="s">
        <v>344</v>
      </c>
      <c r="C272">
        <v>0.111559984853981</v>
      </c>
      <c r="D272" t="s">
        <v>345</v>
      </c>
      <c r="E272">
        <v>300.36352742850994</v>
      </c>
      <c r="F272" t="s">
        <v>245</v>
      </c>
      <c r="G272" t="s">
        <v>357</v>
      </c>
      <c r="H272" t="s">
        <v>356</v>
      </c>
      <c r="I272" t="s">
        <v>348</v>
      </c>
      <c r="J272" t="s">
        <v>356</v>
      </c>
      <c r="K272" t="s">
        <v>176</v>
      </c>
      <c r="L272" t="s">
        <v>365</v>
      </c>
      <c r="M272">
        <f t="shared" si="13"/>
        <v>4</v>
      </c>
      <c r="N272">
        <f t="shared" si="14"/>
        <v>0.44623993941592399</v>
      </c>
      <c r="O272">
        <f t="shared" si="15"/>
        <v>9.6116328777123186E-2</v>
      </c>
    </row>
    <row r="273" spans="1:15">
      <c r="A273" t="s">
        <v>323</v>
      </c>
      <c r="B273" t="s">
        <v>344</v>
      </c>
      <c r="C273">
        <v>5.5233771326625998E-2</v>
      </c>
      <c r="D273" t="s">
        <v>345</v>
      </c>
      <c r="E273">
        <v>212.23851755941109</v>
      </c>
      <c r="F273" t="s">
        <v>245</v>
      </c>
      <c r="G273" t="s">
        <v>357</v>
      </c>
      <c r="H273" t="s">
        <v>356</v>
      </c>
      <c r="I273" t="s">
        <v>348</v>
      </c>
      <c r="J273" t="s">
        <v>356</v>
      </c>
      <c r="K273" t="s">
        <v>176</v>
      </c>
      <c r="L273" t="s">
        <v>365</v>
      </c>
      <c r="M273">
        <f t="shared" si="13"/>
        <v>4</v>
      </c>
      <c r="N273">
        <f t="shared" si="14"/>
        <v>0.22093508530650399</v>
      </c>
      <c r="O273">
        <f t="shared" si="15"/>
        <v>6.7916325619011564E-2</v>
      </c>
    </row>
    <row r="274" spans="1:15">
      <c r="A274" t="s">
        <v>323</v>
      </c>
      <c r="B274" t="s">
        <v>344</v>
      </c>
      <c r="C274">
        <v>0.13317655894135599</v>
      </c>
      <c r="D274" t="s">
        <v>345</v>
      </c>
      <c r="E274">
        <v>464.70008196035207</v>
      </c>
      <c r="F274" t="s">
        <v>245</v>
      </c>
      <c r="G274" t="s">
        <v>357</v>
      </c>
      <c r="H274" t="s">
        <v>356</v>
      </c>
      <c r="I274" t="s">
        <v>348</v>
      </c>
      <c r="J274" t="s">
        <v>356</v>
      </c>
      <c r="K274" t="s">
        <v>176</v>
      </c>
      <c r="L274" t="s">
        <v>365</v>
      </c>
      <c r="M274">
        <f t="shared" si="13"/>
        <v>4</v>
      </c>
      <c r="N274">
        <f t="shared" si="14"/>
        <v>0.53270623576542397</v>
      </c>
      <c r="O274">
        <f t="shared" si="15"/>
        <v>0.14870402622731266</v>
      </c>
    </row>
    <row r="275" spans="1:15">
      <c r="A275" t="s">
        <v>323</v>
      </c>
      <c r="B275" t="s">
        <v>344</v>
      </c>
      <c r="C275">
        <v>2.8948730403213E-2</v>
      </c>
      <c r="D275" t="s">
        <v>345</v>
      </c>
      <c r="E275">
        <v>117.51575525368085</v>
      </c>
      <c r="F275" t="s">
        <v>245</v>
      </c>
      <c r="G275" t="s">
        <v>357</v>
      </c>
      <c r="H275" t="s">
        <v>356</v>
      </c>
      <c r="I275" t="s">
        <v>348</v>
      </c>
      <c r="J275" t="s">
        <v>356</v>
      </c>
      <c r="K275" t="s">
        <v>176</v>
      </c>
      <c r="L275" t="s">
        <v>365</v>
      </c>
      <c r="M275">
        <f t="shared" si="13"/>
        <v>4</v>
      </c>
      <c r="N275">
        <f t="shared" si="14"/>
        <v>0.115794921612852</v>
      </c>
      <c r="O275">
        <f t="shared" si="15"/>
        <v>3.7605041681177877E-2</v>
      </c>
    </row>
    <row r="276" spans="1:15">
      <c r="A276" t="s">
        <v>323</v>
      </c>
      <c r="B276" t="s">
        <v>344</v>
      </c>
      <c r="C276">
        <v>3.3743969609302003E-2</v>
      </c>
      <c r="D276" t="s">
        <v>345</v>
      </c>
      <c r="E276">
        <v>113.05561757753658</v>
      </c>
      <c r="F276" t="s">
        <v>245</v>
      </c>
      <c r="G276" t="s">
        <v>357</v>
      </c>
      <c r="H276" t="s">
        <v>356</v>
      </c>
      <c r="I276" t="s">
        <v>348</v>
      </c>
      <c r="J276" t="s">
        <v>356</v>
      </c>
      <c r="K276" t="s">
        <v>176</v>
      </c>
      <c r="L276" t="s">
        <v>365</v>
      </c>
      <c r="M276">
        <f t="shared" si="13"/>
        <v>4</v>
      </c>
      <c r="N276">
        <f t="shared" si="14"/>
        <v>0.13497587843720801</v>
      </c>
      <c r="O276">
        <f t="shared" si="15"/>
        <v>3.6177797624811707E-2</v>
      </c>
    </row>
    <row r="277" spans="1:15">
      <c r="A277" t="s">
        <v>323</v>
      </c>
      <c r="B277" t="s">
        <v>344</v>
      </c>
      <c r="C277">
        <v>1.8757267597761001E-2</v>
      </c>
      <c r="D277" t="s">
        <v>345</v>
      </c>
      <c r="E277">
        <v>72.459426226577875</v>
      </c>
      <c r="F277" t="s">
        <v>245</v>
      </c>
      <c r="G277" t="s">
        <v>357</v>
      </c>
      <c r="H277" t="s">
        <v>356</v>
      </c>
      <c r="I277" t="s">
        <v>348</v>
      </c>
      <c r="J277" t="s">
        <v>356</v>
      </c>
      <c r="K277" t="s">
        <v>176</v>
      </c>
      <c r="L277" t="s">
        <v>365</v>
      </c>
      <c r="M277">
        <f t="shared" si="13"/>
        <v>4</v>
      </c>
      <c r="N277">
        <f t="shared" si="14"/>
        <v>7.5029070391044006E-2</v>
      </c>
      <c r="O277">
        <f t="shared" si="15"/>
        <v>2.3187016392504922E-2</v>
      </c>
    </row>
    <row r="278" spans="1:15">
      <c r="A278" t="s">
        <v>323</v>
      </c>
      <c r="B278" t="s">
        <v>344</v>
      </c>
      <c r="C278">
        <v>1.1321986372974E-2</v>
      </c>
      <c r="D278" t="s">
        <v>345</v>
      </c>
      <c r="E278">
        <v>54.698187482938337</v>
      </c>
      <c r="F278" t="s">
        <v>245</v>
      </c>
      <c r="G278" t="s">
        <v>357</v>
      </c>
      <c r="H278" t="s">
        <v>356</v>
      </c>
      <c r="I278" t="s">
        <v>348</v>
      </c>
      <c r="J278" t="s">
        <v>356</v>
      </c>
      <c r="K278" t="s">
        <v>176</v>
      </c>
      <c r="L278" t="s">
        <v>365</v>
      </c>
      <c r="M278">
        <f t="shared" si="13"/>
        <v>4</v>
      </c>
      <c r="N278">
        <f t="shared" si="14"/>
        <v>4.5287945491895999E-2</v>
      </c>
      <c r="O278">
        <f t="shared" si="15"/>
        <v>1.7503419994540269E-2</v>
      </c>
    </row>
    <row r="279" spans="1:15">
      <c r="A279" t="s">
        <v>323</v>
      </c>
      <c r="B279" t="s">
        <v>344</v>
      </c>
      <c r="C279">
        <v>3.3641502073009998E-2</v>
      </c>
      <c r="D279" t="s">
        <v>345</v>
      </c>
      <c r="E279">
        <v>116.23362243131598</v>
      </c>
      <c r="F279" t="s">
        <v>245</v>
      </c>
      <c r="G279" t="s">
        <v>357</v>
      </c>
      <c r="H279" t="s">
        <v>356</v>
      </c>
      <c r="I279" t="s">
        <v>348</v>
      </c>
      <c r="J279" t="s">
        <v>356</v>
      </c>
      <c r="K279" t="s">
        <v>176</v>
      </c>
      <c r="L279" t="s">
        <v>365</v>
      </c>
      <c r="M279">
        <f t="shared" si="13"/>
        <v>4</v>
      </c>
      <c r="N279">
        <f t="shared" si="14"/>
        <v>0.13456600829203999</v>
      </c>
      <c r="O279">
        <f t="shared" si="15"/>
        <v>3.7194759178021113E-2</v>
      </c>
    </row>
    <row r="280" spans="1:15">
      <c r="A280" t="s">
        <v>323</v>
      </c>
      <c r="B280" t="s">
        <v>344</v>
      </c>
      <c r="C280">
        <v>3.0222673392435999E-2</v>
      </c>
      <c r="D280" t="s">
        <v>345</v>
      </c>
      <c r="E280">
        <v>112.68092400622345</v>
      </c>
      <c r="F280" t="s">
        <v>245</v>
      </c>
      <c r="G280" t="s">
        <v>357</v>
      </c>
      <c r="H280" t="s">
        <v>356</v>
      </c>
      <c r="I280" t="s">
        <v>348</v>
      </c>
      <c r="J280" t="s">
        <v>356</v>
      </c>
      <c r="K280" t="s">
        <v>176</v>
      </c>
      <c r="L280" t="s">
        <v>365</v>
      </c>
      <c r="M280">
        <f t="shared" si="13"/>
        <v>4</v>
      </c>
      <c r="N280">
        <f t="shared" si="14"/>
        <v>0.120890693569744</v>
      </c>
      <c r="O280">
        <f t="shared" si="15"/>
        <v>3.6057895681991504E-2</v>
      </c>
    </row>
    <row r="281" spans="1:15">
      <c r="A281" t="s">
        <v>323</v>
      </c>
      <c r="B281" t="s">
        <v>344</v>
      </c>
      <c r="C281">
        <v>3.3627816779122001E-2</v>
      </c>
      <c r="D281" t="s">
        <v>345</v>
      </c>
      <c r="E281">
        <v>124.0089212787657</v>
      </c>
      <c r="F281" t="s">
        <v>245</v>
      </c>
      <c r="G281" t="s">
        <v>357</v>
      </c>
      <c r="H281" t="s">
        <v>356</v>
      </c>
      <c r="I281" t="s">
        <v>348</v>
      </c>
      <c r="J281" t="s">
        <v>356</v>
      </c>
      <c r="K281" t="s">
        <v>176</v>
      </c>
      <c r="L281" t="s">
        <v>365</v>
      </c>
      <c r="M281">
        <f t="shared" si="13"/>
        <v>4</v>
      </c>
      <c r="N281">
        <f t="shared" si="14"/>
        <v>0.134511267116488</v>
      </c>
      <c r="O281">
        <f t="shared" si="15"/>
        <v>3.9682854809205026E-2</v>
      </c>
    </row>
    <row r="282" spans="1:15">
      <c r="A282" t="s">
        <v>323</v>
      </c>
      <c r="B282" t="s">
        <v>344</v>
      </c>
      <c r="C282">
        <v>3.0096346830522001E-2</v>
      </c>
      <c r="D282" t="s">
        <v>345</v>
      </c>
      <c r="E282">
        <v>123.01395519710829</v>
      </c>
      <c r="F282" t="s">
        <v>245</v>
      </c>
      <c r="G282" t="s">
        <v>357</v>
      </c>
      <c r="H282" t="s">
        <v>356</v>
      </c>
      <c r="I282" t="s">
        <v>348</v>
      </c>
      <c r="J282" t="s">
        <v>356</v>
      </c>
      <c r="K282" t="s">
        <v>176</v>
      </c>
      <c r="L282" t="s">
        <v>365</v>
      </c>
      <c r="M282">
        <f t="shared" si="13"/>
        <v>4</v>
      </c>
      <c r="N282">
        <f t="shared" si="14"/>
        <v>0.12038538732208801</v>
      </c>
      <c r="O282">
        <f t="shared" si="15"/>
        <v>3.9364465663074659E-2</v>
      </c>
    </row>
    <row r="283" spans="1:15">
      <c r="A283" t="s">
        <v>323</v>
      </c>
      <c r="B283" t="s">
        <v>344</v>
      </c>
      <c r="C283">
        <v>2.9375683725751001E-2</v>
      </c>
      <c r="D283" t="s">
        <v>345</v>
      </c>
      <c r="E283">
        <v>125.57539464438486</v>
      </c>
      <c r="F283" t="s">
        <v>245</v>
      </c>
      <c r="G283" t="s">
        <v>357</v>
      </c>
      <c r="H283" t="s">
        <v>356</v>
      </c>
      <c r="I283" t="s">
        <v>348</v>
      </c>
      <c r="J283" t="s">
        <v>356</v>
      </c>
      <c r="K283" t="s">
        <v>176</v>
      </c>
      <c r="L283" t="s">
        <v>365</v>
      </c>
      <c r="M283">
        <f t="shared" si="13"/>
        <v>4</v>
      </c>
      <c r="N283">
        <f t="shared" si="14"/>
        <v>0.117502734903004</v>
      </c>
      <c r="O283">
        <f t="shared" si="15"/>
        <v>4.0184126286203159E-2</v>
      </c>
    </row>
    <row r="284" spans="1:15">
      <c r="A284" t="s">
        <v>323</v>
      </c>
      <c r="B284" t="s">
        <v>344</v>
      </c>
      <c r="C284">
        <v>8.9790635765960008E-3</v>
      </c>
      <c r="D284" t="s">
        <v>345</v>
      </c>
      <c r="E284">
        <v>49.484254224110359</v>
      </c>
      <c r="F284" t="s">
        <v>245</v>
      </c>
      <c r="G284" t="s">
        <v>357</v>
      </c>
      <c r="H284" t="s">
        <v>356</v>
      </c>
      <c r="I284" t="s">
        <v>348</v>
      </c>
      <c r="J284" t="s">
        <v>356</v>
      </c>
      <c r="K284" t="s">
        <v>176</v>
      </c>
      <c r="L284" t="s">
        <v>365</v>
      </c>
      <c r="M284">
        <f t="shared" si="13"/>
        <v>4</v>
      </c>
      <c r="N284">
        <f t="shared" si="14"/>
        <v>3.5916254306384003E-2</v>
      </c>
      <c r="O284">
        <f t="shared" si="15"/>
        <v>1.5834961351715315E-2</v>
      </c>
    </row>
    <row r="285" spans="1:15">
      <c r="A285" t="s">
        <v>323</v>
      </c>
      <c r="B285" t="s">
        <v>344</v>
      </c>
      <c r="C285">
        <v>4.0231628992887E-2</v>
      </c>
      <c r="D285" t="s">
        <v>345</v>
      </c>
      <c r="E285">
        <v>131.28142345532615</v>
      </c>
      <c r="F285" t="s">
        <v>245</v>
      </c>
      <c r="G285" t="s">
        <v>357</v>
      </c>
      <c r="H285" t="s">
        <v>356</v>
      </c>
      <c r="I285" t="s">
        <v>348</v>
      </c>
      <c r="J285" t="s">
        <v>356</v>
      </c>
      <c r="K285" t="s">
        <v>176</v>
      </c>
      <c r="L285" t="s">
        <v>365</v>
      </c>
      <c r="M285">
        <f t="shared" si="13"/>
        <v>4</v>
      </c>
      <c r="N285">
        <f t="shared" si="14"/>
        <v>0.160926515971548</v>
      </c>
      <c r="O285">
        <f t="shared" si="15"/>
        <v>4.2010055505704372E-2</v>
      </c>
    </row>
    <row r="286" spans="1:15">
      <c r="A286" t="s">
        <v>323</v>
      </c>
      <c r="B286" t="s">
        <v>344</v>
      </c>
      <c r="C286">
        <v>7.6390914215650002E-2</v>
      </c>
      <c r="D286" t="s">
        <v>345</v>
      </c>
      <c r="E286">
        <v>253.79598394396027</v>
      </c>
      <c r="F286" t="s">
        <v>245</v>
      </c>
      <c r="G286" t="s">
        <v>357</v>
      </c>
      <c r="H286" t="s">
        <v>356</v>
      </c>
      <c r="I286" t="s">
        <v>348</v>
      </c>
      <c r="J286" t="s">
        <v>356</v>
      </c>
      <c r="K286" t="s">
        <v>176</v>
      </c>
      <c r="L286" t="s">
        <v>365</v>
      </c>
      <c r="M286">
        <f t="shared" si="13"/>
        <v>4</v>
      </c>
      <c r="N286">
        <f t="shared" si="14"/>
        <v>0.30556365686260001</v>
      </c>
      <c r="O286">
        <f t="shared" si="15"/>
        <v>8.1214714862067286E-2</v>
      </c>
    </row>
    <row r="287" spans="1:15">
      <c r="A287" t="s">
        <v>323</v>
      </c>
      <c r="B287" t="s">
        <v>344</v>
      </c>
      <c r="C287">
        <v>2.1473587624914001E-2</v>
      </c>
      <c r="D287" t="s">
        <v>345</v>
      </c>
      <c r="E287">
        <v>119.60973576634069</v>
      </c>
      <c r="F287" t="s">
        <v>245</v>
      </c>
      <c r="G287" t="s">
        <v>357</v>
      </c>
      <c r="H287" t="s">
        <v>356</v>
      </c>
      <c r="I287" t="s">
        <v>348</v>
      </c>
      <c r="J287" t="s">
        <v>356</v>
      </c>
      <c r="K287" t="s">
        <v>176</v>
      </c>
      <c r="L287" t="s">
        <v>365</v>
      </c>
      <c r="M287">
        <f t="shared" si="13"/>
        <v>4</v>
      </c>
      <c r="N287">
        <f t="shared" si="14"/>
        <v>8.5894350499656005E-2</v>
      </c>
      <c r="O287">
        <f t="shared" si="15"/>
        <v>3.8275115445229026E-2</v>
      </c>
    </row>
    <row r="288" spans="1:15">
      <c r="A288" t="s">
        <v>67</v>
      </c>
      <c r="B288" t="s">
        <v>344</v>
      </c>
      <c r="C288">
        <v>1.4034004553370999E-2</v>
      </c>
      <c r="D288" t="s">
        <v>345</v>
      </c>
      <c r="E288">
        <v>135.70141709069719</v>
      </c>
      <c r="F288" t="s">
        <v>245</v>
      </c>
      <c r="G288" t="s">
        <v>357</v>
      </c>
      <c r="H288" t="s">
        <v>352</v>
      </c>
      <c r="I288" t="s">
        <v>348</v>
      </c>
      <c r="J288" t="s">
        <v>352</v>
      </c>
      <c r="K288" t="s">
        <v>18</v>
      </c>
      <c r="L288" t="s">
        <v>365</v>
      </c>
      <c r="M288">
        <f t="shared" si="13"/>
        <v>4</v>
      </c>
      <c r="N288">
        <f t="shared" si="14"/>
        <v>5.6136018213483997E-2</v>
      </c>
      <c r="O288">
        <f t="shared" si="15"/>
        <v>4.3424453469023107E-2</v>
      </c>
    </row>
    <row r="289" spans="1:15">
      <c r="A289" t="s">
        <v>67</v>
      </c>
      <c r="B289" t="s">
        <v>344</v>
      </c>
      <c r="C289">
        <v>4.4145421995613998E-2</v>
      </c>
      <c r="D289" t="s">
        <v>345</v>
      </c>
      <c r="E289">
        <v>199.22713166292056</v>
      </c>
      <c r="F289" t="s">
        <v>245</v>
      </c>
      <c r="G289" t="s">
        <v>357</v>
      </c>
      <c r="H289" t="s">
        <v>352</v>
      </c>
      <c r="I289" t="s">
        <v>348</v>
      </c>
      <c r="J289" t="s">
        <v>352</v>
      </c>
      <c r="K289" t="s">
        <v>18</v>
      </c>
      <c r="L289" t="s">
        <v>365</v>
      </c>
      <c r="M289">
        <f t="shared" si="13"/>
        <v>4</v>
      </c>
      <c r="N289">
        <f t="shared" si="14"/>
        <v>0.17658168798245599</v>
      </c>
      <c r="O289">
        <f t="shared" si="15"/>
        <v>6.3752682132134572E-2</v>
      </c>
    </row>
    <row r="290" spans="1:15">
      <c r="A290" t="s">
        <v>67</v>
      </c>
      <c r="B290" t="s">
        <v>344</v>
      </c>
      <c r="C290">
        <v>1.9230162216471999E-2</v>
      </c>
      <c r="D290" t="s">
        <v>345</v>
      </c>
      <c r="E290">
        <v>84.161802814813655</v>
      </c>
      <c r="F290" t="s">
        <v>245</v>
      </c>
      <c r="G290" t="s">
        <v>357</v>
      </c>
      <c r="H290" t="s">
        <v>352</v>
      </c>
      <c r="I290" t="s">
        <v>348</v>
      </c>
      <c r="J290" t="s">
        <v>352</v>
      </c>
      <c r="K290" t="s">
        <v>18</v>
      </c>
      <c r="L290" t="s">
        <v>365</v>
      </c>
      <c r="M290">
        <f t="shared" si="13"/>
        <v>4</v>
      </c>
      <c r="N290">
        <f t="shared" si="14"/>
        <v>7.6920648865887994E-2</v>
      </c>
      <c r="O290">
        <f t="shared" si="15"/>
        <v>2.6931776900740369E-2</v>
      </c>
    </row>
    <row r="291" spans="1:15">
      <c r="A291" t="s">
        <v>67</v>
      </c>
      <c r="B291" t="s">
        <v>344</v>
      </c>
      <c r="C291">
        <v>2.3162087125991999E-2</v>
      </c>
      <c r="D291" t="s">
        <v>345</v>
      </c>
      <c r="E291">
        <v>90.934318167440622</v>
      </c>
      <c r="F291" t="s">
        <v>245</v>
      </c>
      <c r="G291" t="s">
        <v>357</v>
      </c>
      <c r="H291" t="s">
        <v>352</v>
      </c>
      <c r="I291" t="s">
        <v>348</v>
      </c>
      <c r="J291" t="s">
        <v>352</v>
      </c>
      <c r="K291" t="s">
        <v>18</v>
      </c>
      <c r="L291" t="s">
        <v>365</v>
      </c>
      <c r="M291">
        <f t="shared" si="13"/>
        <v>4</v>
      </c>
      <c r="N291">
        <f t="shared" si="14"/>
        <v>9.2648348503967998E-2</v>
      </c>
      <c r="O291">
        <f t="shared" si="15"/>
        <v>2.9098981813581004E-2</v>
      </c>
    </row>
    <row r="292" spans="1:15">
      <c r="A292" t="s">
        <v>67</v>
      </c>
      <c r="B292" t="s">
        <v>344</v>
      </c>
      <c r="C292">
        <v>1.5995145972968E-2</v>
      </c>
      <c r="D292" t="s">
        <v>345</v>
      </c>
      <c r="E292">
        <v>70.252619823276234</v>
      </c>
      <c r="F292" t="s">
        <v>245</v>
      </c>
      <c r="G292" t="s">
        <v>357</v>
      </c>
      <c r="H292" t="s">
        <v>352</v>
      </c>
      <c r="I292" t="s">
        <v>348</v>
      </c>
      <c r="J292" t="s">
        <v>352</v>
      </c>
      <c r="K292" t="s">
        <v>18</v>
      </c>
      <c r="L292" t="s">
        <v>365</v>
      </c>
      <c r="M292">
        <f t="shared" si="13"/>
        <v>4</v>
      </c>
      <c r="N292">
        <f t="shared" si="14"/>
        <v>6.3980583891872E-2</v>
      </c>
      <c r="O292">
        <f t="shared" si="15"/>
        <v>2.2480838343448398E-2</v>
      </c>
    </row>
    <row r="293" spans="1:15">
      <c r="A293" t="s">
        <v>44</v>
      </c>
      <c r="B293" t="s">
        <v>344</v>
      </c>
      <c r="C293">
        <v>3.4481272058427E-2</v>
      </c>
      <c r="D293" t="s">
        <v>345</v>
      </c>
      <c r="E293">
        <v>106.00767012465603</v>
      </c>
      <c r="F293" t="s">
        <v>245</v>
      </c>
      <c r="G293" t="s">
        <v>357</v>
      </c>
      <c r="H293" t="s">
        <v>352</v>
      </c>
      <c r="I293" t="s">
        <v>348</v>
      </c>
      <c r="J293" t="s">
        <v>352</v>
      </c>
      <c r="K293" t="s">
        <v>18</v>
      </c>
      <c r="L293" t="s">
        <v>365</v>
      </c>
      <c r="M293">
        <f t="shared" si="13"/>
        <v>4</v>
      </c>
      <c r="N293">
        <f t="shared" si="14"/>
        <v>0.137925088233708</v>
      </c>
      <c r="O293">
        <f t="shared" si="15"/>
        <v>3.3922454439889928E-2</v>
      </c>
    </row>
    <row r="294" spans="1:15">
      <c r="A294" t="s">
        <v>44</v>
      </c>
      <c r="B294" t="s">
        <v>344</v>
      </c>
      <c r="C294">
        <v>2.787533459785E-2</v>
      </c>
      <c r="D294" t="s">
        <v>345</v>
      </c>
      <c r="E294">
        <v>102.21792264766763</v>
      </c>
      <c r="F294" t="s">
        <v>245</v>
      </c>
      <c r="G294" t="s">
        <v>357</v>
      </c>
      <c r="H294" t="s">
        <v>352</v>
      </c>
      <c r="I294" t="s">
        <v>348</v>
      </c>
      <c r="J294" t="s">
        <v>352</v>
      </c>
      <c r="K294" t="s">
        <v>18</v>
      </c>
      <c r="L294" t="s">
        <v>365</v>
      </c>
      <c r="M294">
        <f t="shared" si="13"/>
        <v>4</v>
      </c>
      <c r="N294">
        <f t="shared" si="14"/>
        <v>0.1115013383914</v>
      </c>
      <c r="O294">
        <f t="shared" si="15"/>
        <v>3.2709735247253645E-2</v>
      </c>
    </row>
    <row r="295" spans="1:15">
      <c r="A295" t="s">
        <v>44</v>
      </c>
      <c r="B295" t="s">
        <v>344</v>
      </c>
      <c r="C295">
        <v>1.0155343061919999E-2</v>
      </c>
      <c r="D295" t="s">
        <v>345</v>
      </c>
      <c r="E295">
        <v>47.132575424013567</v>
      </c>
      <c r="F295" t="s">
        <v>245</v>
      </c>
      <c r="G295" t="s">
        <v>357</v>
      </c>
      <c r="H295" t="s">
        <v>352</v>
      </c>
      <c r="I295" t="s">
        <v>348</v>
      </c>
      <c r="J295" t="s">
        <v>352</v>
      </c>
      <c r="K295" t="s">
        <v>18</v>
      </c>
      <c r="L295" t="s">
        <v>365</v>
      </c>
      <c r="M295">
        <f t="shared" si="13"/>
        <v>4</v>
      </c>
      <c r="N295">
        <f t="shared" si="14"/>
        <v>4.0621372247679997E-2</v>
      </c>
      <c r="O295">
        <f t="shared" si="15"/>
        <v>1.5082424135684343E-2</v>
      </c>
    </row>
    <row r="296" spans="1:15">
      <c r="A296" t="s">
        <v>290</v>
      </c>
      <c r="B296" t="s">
        <v>344</v>
      </c>
      <c r="C296">
        <v>0.84773949128489601</v>
      </c>
      <c r="D296" t="s">
        <v>345</v>
      </c>
      <c r="E296">
        <v>501.87798901143248</v>
      </c>
      <c r="F296" t="s">
        <v>245</v>
      </c>
      <c r="G296" t="s">
        <v>346</v>
      </c>
      <c r="H296" t="s">
        <v>352</v>
      </c>
      <c r="I296" t="s">
        <v>348</v>
      </c>
      <c r="J296" t="s">
        <v>352</v>
      </c>
      <c r="K296" t="s">
        <v>18</v>
      </c>
      <c r="L296" t="s">
        <v>365</v>
      </c>
      <c r="M296">
        <f t="shared" si="13"/>
        <v>4</v>
      </c>
      <c r="N296">
        <f t="shared" si="14"/>
        <v>3.390957965139584</v>
      </c>
      <c r="O296">
        <f t="shared" si="15"/>
        <v>0.16060095648365841</v>
      </c>
    </row>
    <row r="297" spans="1:15">
      <c r="A297" t="s">
        <v>249</v>
      </c>
      <c r="B297" t="s">
        <v>344</v>
      </c>
      <c r="C297">
        <v>0.33292108293496098</v>
      </c>
      <c r="D297" t="s">
        <v>345</v>
      </c>
      <c r="E297">
        <v>260.5742289891902</v>
      </c>
      <c r="F297" t="s">
        <v>245</v>
      </c>
      <c r="G297" t="s">
        <v>346</v>
      </c>
      <c r="H297" t="s">
        <v>347</v>
      </c>
      <c r="I297" t="s">
        <v>348</v>
      </c>
      <c r="J297" t="s">
        <v>347</v>
      </c>
      <c r="K297" t="s">
        <v>61</v>
      </c>
      <c r="L297" t="s">
        <v>365</v>
      </c>
      <c r="M297">
        <f t="shared" si="13"/>
        <v>4</v>
      </c>
      <c r="N297">
        <f t="shared" si="14"/>
        <v>1.3316843317398439</v>
      </c>
      <c r="O297">
        <f t="shared" si="15"/>
        <v>8.3383753276540865E-2</v>
      </c>
    </row>
    <row r="298" spans="1:15">
      <c r="A298" t="s">
        <v>371</v>
      </c>
      <c r="B298" t="s">
        <v>344</v>
      </c>
      <c r="C298">
        <v>1.5266515610460061</v>
      </c>
      <c r="D298" t="s">
        <v>345</v>
      </c>
      <c r="E298">
        <v>520.67858841035809</v>
      </c>
      <c r="F298" t="s">
        <v>245</v>
      </c>
      <c r="G298" t="s">
        <v>346</v>
      </c>
      <c r="H298" t="s">
        <v>356</v>
      </c>
      <c r="I298" t="s">
        <v>348</v>
      </c>
      <c r="J298" t="s">
        <v>356</v>
      </c>
      <c r="K298" t="s">
        <v>176</v>
      </c>
      <c r="L298" t="s">
        <v>365</v>
      </c>
      <c r="M298">
        <f t="shared" si="13"/>
        <v>4</v>
      </c>
      <c r="N298">
        <f t="shared" si="14"/>
        <v>6.1066062441840243</v>
      </c>
      <c r="O298">
        <f t="shared" si="15"/>
        <v>0.1666171482913146</v>
      </c>
    </row>
    <row r="299" spans="1:15">
      <c r="A299" t="s">
        <v>71</v>
      </c>
      <c r="B299" t="s">
        <v>344</v>
      </c>
      <c r="C299">
        <v>5.7654347779942001E-2</v>
      </c>
      <c r="D299" t="s">
        <v>345</v>
      </c>
      <c r="E299">
        <v>100.37159219498474</v>
      </c>
      <c r="F299" t="s">
        <v>245</v>
      </c>
      <c r="G299" t="s">
        <v>357</v>
      </c>
      <c r="H299" t="s">
        <v>351</v>
      </c>
      <c r="I299" t="s">
        <v>348</v>
      </c>
      <c r="J299" t="s">
        <v>351</v>
      </c>
      <c r="K299" t="s">
        <v>12</v>
      </c>
      <c r="L299" t="s">
        <v>365</v>
      </c>
      <c r="M299">
        <f t="shared" si="13"/>
        <v>4</v>
      </c>
      <c r="N299">
        <f t="shared" si="14"/>
        <v>0.23061739111976801</v>
      </c>
      <c r="O299">
        <f t="shared" si="15"/>
        <v>3.211890950239512E-2</v>
      </c>
    </row>
    <row r="300" spans="1:15">
      <c r="A300" t="s">
        <v>27</v>
      </c>
      <c r="B300" t="s">
        <v>344</v>
      </c>
      <c r="C300">
        <v>4.4963880415436003E-2</v>
      </c>
      <c r="D300" t="s">
        <v>345</v>
      </c>
      <c r="E300">
        <v>164.26033769324016</v>
      </c>
      <c r="F300" t="s">
        <v>245</v>
      </c>
      <c r="G300" t="s">
        <v>357</v>
      </c>
      <c r="H300" t="s">
        <v>352</v>
      </c>
      <c r="I300" t="s">
        <v>348</v>
      </c>
      <c r="J300" t="s">
        <v>352</v>
      </c>
      <c r="K300" t="s">
        <v>18</v>
      </c>
      <c r="L300" t="s">
        <v>365</v>
      </c>
      <c r="M300">
        <f t="shared" si="13"/>
        <v>4</v>
      </c>
      <c r="N300">
        <f t="shared" si="14"/>
        <v>0.17985552166174401</v>
      </c>
      <c r="O300">
        <f t="shared" si="15"/>
        <v>5.2563308061836858E-2</v>
      </c>
    </row>
    <row r="301" spans="1:15">
      <c r="A301" t="s">
        <v>312</v>
      </c>
      <c r="B301" t="s">
        <v>344</v>
      </c>
      <c r="C301">
        <v>1.8652452832243999E-2</v>
      </c>
      <c r="D301" t="s">
        <v>345</v>
      </c>
      <c r="E301">
        <v>55.320998417101144</v>
      </c>
      <c r="F301" t="s">
        <v>245</v>
      </c>
      <c r="G301" t="s">
        <v>346</v>
      </c>
      <c r="H301" t="s">
        <v>352</v>
      </c>
      <c r="I301" t="s">
        <v>348</v>
      </c>
      <c r="J301" t="s">
        <v>352</v>
      </c>
      <c r="K301" t="s">
        <v>18</v>
      </c>
      <c r="L301" t="s">
        <v>365</v>
      </c>
      <c r="M301">
        <f t="shared" si="13"/>
        <v>4</v>
      </c>
      <c r="N301">
        <f t="shared" si="14"/>
        <v>7.4609811328975997E-2</v>
      </c>
      <c r="O301">
        <f t="shared" si="15"/>
        <v>1.7702719493472366E-2</v>
      </c>
    </row>
    <row r="302" spans="1:15">
      <c r="A302" t="s">
        <v>312</v>
      </c>
      <c r="B302" t="s">
        <v>344</v>
      </c>
      <c r="C302">
        <v>4.7350201354182997E-2</v>
      </c>
      <c r="D302" t="s">
        <v>345</v>
      </c>
      <c r="E302">
        <v>137.14138753094838</v>
      </c>
      <c r="F302" t="s">
        <v>245</v>
      </c>
      <c r="G302" t="s">
        <v>346</v>
      </c>
      <c r="H302" t="s">
        <v>352</v>
      </c>
      <c r="I302" t="s">
        <v>348</v>
      </c>
      <c r="J302" t="s">
        <v>352</v>
      </c>
      <c r="K302" t="s">
        <v>18</v>
      </c>
      <c r="L302" t="s">
        <v>365</v>
      </c>
      <c r="M302">
        <f t="shared" si="13"/>
        <v>4</v>
      </c>
      <c r="N302">
        <f t="shared" si="14"/>
        <v>0.18940080541673199</v>
      </c>
      <c r="O302">
        <f t="shared" si="15"/>
        <v>4.3885244009903485E-2</v>
      </c>
    </row>
    <row r="303" spans="1:15">
      <c r="A303" t="s">
        <v>312</v>
      </c>
      <c r="B303" t="s">
        <v>344</v>
      </c>
      <c r="C303">
        <v>1.6057132096489998E-2</v>
      </c>
      <c r="D303" t="s">
        <v>345</v>
      </c>
      <c r="E303">
        <v>52.012547972813721</v>
      </c>
      <c r="F303" t="s">
        <v>245</v>
      </c>
      <c r="G303" t="s">
        <v>346</v>
      </c>
      <c r="H303" t="s">
        <v>352</v>
      </c>
      <c r="I303" t="s">
        <v>348</v>
      </c>
      <c r="J303" t="s">
        <v>352</v>
      </c>
      <c r="K303" t="s">
        <v>18</v>
      </c>
      <c r="L303" t="s">
        <v>365</v>
      </c>
      <c r="M303">
        <f t="shared" si="13"/>
        <v>4</v>
      </c>
      <c r="N303">
        <f t="shared" si="14"/>
        <v>6.4228528385959993E-2</v>
      </c>
      <c r="O303">
        <f t="shared" si="15"/>
        <v>1.664401535130039E-2</v>
      </c>
    </row>
    <row r="304" spans="1:15">
      <c r="A304" t="s">
        <v>372</v>
      </c>
      <c r="B304" t="s">
        <v>344</v>
      </c>
      <c r="C304">
        <v>5.4365820566573998E-2</v>
      </c>
      <c r="D304" t="s">
        <v>345</v>
      </c>
      <c r="E304">
        <v>109.89982033337805</v>
      </c>
      <c r="F304" t="s">
        <v>245</v>
      </c>
      <c r="G304" t="s">
        <v>346</v>
      </c>
      <c r="H304" t="s">
        <v>352</v>
      </c>
      <c r="I304" t="s">
        <v>348</v>
      </c>
      <c r="J304" t="s">
        <v>352</v>
      </c>
      <c r="K304" t="s">
        <v>18</v>
      </c>
      <c r="L304" t="s">
        <v>365</v>
      </c>
      <c r="M304">
        <f t="shared" si="13"/>
        <v>4</v>
      </c>
      <c r="N304">
        <f t="shared" si="14"/>
        <v>0.21746328226629599</v>
      </c>
      <c r="O304">
        <f t="shared" si="15"/>
        <v>3.5167942506680976E-2</v>
      </c>
    </row>
    <row r="305" spans="1:15">
      <c r="A305" t="s">
        <v>372</v>
      </c>
      <c r="B305" t="s">
        <v>344</v>
      </c>
      <c r="C305">
        <v>4.6564041986090002E-2</v>
      </c>
      <c r="D305" t="s">
        <v>345</v>
      </c>
      <c r="E305">
        <v>106.18401900768069</v>
      </c>
      <c r="F305" t="s">
        <v>245</v>
      </c>
      <c r="G305" t="s">
        <v>346</v>
      </c>
      <c r="H305" t="s">
        <v>352</v>
      </c>
      <c r="I305" t="s">
        <v>348</v>
      </c>
      <c r="J305" t="s">
        <v>352</v>
      </c>
      <c r="K305" t="s">
        <v>18</v>
      </c>
      <c r="L305" t="s">
        <v>365</v>
      </c>
      <c r="M305">
        <f t="shared" si="13"/>
        <v>4</v>
      </c>
      <c r="N305">
        <f t="shared" si="14"/>
        <v>0.18625616794436001</v>
      </c>
      <c r="O305">
        <f t="shared" si="15"/>
        <v>3.3978886082457825E-2</v>
      </c>
    </row>
    <row r="306" spans="1:15">
      <c r="A306" t="s">
        <v>285</v>
      </c>
      <c r="B306" t="s">
        <v>344</v>
      </c>
      <c r="C306">
        <v>4.2127634879056998E-2</v>
      </c>
      <c r="D306" t="s">
        <v>345</v>
      </c>
      <c r="E306">
        <v>159.25133462628426</v>
      </c>
      <c r="F306" t="s">
        <v>245</v>
      </c>
      <c r="G306" t="s">
        <v>346</v>
      </c>
      <c r="H306" t="s">
        <v>356</v>
      </c>
      <c r="I306" t="s">
        <v>348</v>
      </c>
      <c r="J306" t="s">
        <v>356</v>
      </c>
      <c r="K306" t="s">
        <v>176</v>
      </c>
      <c r="L306" t="s">
        <v>365</v>
      </c>
      <c r="M306">
        <f t="shared" si="13"/>
        <v>4</v>
      </c>
      <c r="N306">
        <f t="shared" si="14"/>
        <v>0.16851053951622799</v>
      </c>
      <c r="O306">
        <f t="shared" si="15"/>
        <v>5.0960427080410965E-2</v>
      </c>
    </row>
    <row r="307" spans="1:15">
      <c r="A307" t="s">
        <v>256</v>
      </c>
      <c r="B307" t="s">
        <v>344</v>
      </c>
      <c r="C307">
        <v>2.0045892224539001E-2</v>
      </c>
      <c r="D307" t="s">
        <v>345</v>
      </c>
      <c r="E307">
        <v>93.782114619177406</v>
      </c>
      <c r="F307" t="s">
        <v>268</v>
      </c>
      <c r="G307" t="s">
        <v>357</v>
      </c>
      <c r="H307" t="s">
        <v>362</v>
      </c>
      <c r="I307" t="s">
        <v>348</v>
      </c>
      <c r="J307" t="s">
        <v>362</v>
      </c>
      <c r="K307" t="s">
        <v>362</v>
      </c>
      <c r="L307" t="s">
        <v>365</v>
      </c>
      <c r="M307">
        <f t="shared" si="13"/>
        <v>4</v>
      </c>
      <c r="N307">
        <f t="shared" si="14"/>
        <v>8.0183568898156005E-2</v>
      </c>
      <c r="O307">
        <f t="shared" si="15"/>
        <v>3.0010276678136775E-2</v>
      </c>
    </row>
    <row r="308" spans="1:15">
      <c r="A308" t="s">
        <v>256</v>
      </c>
      <c r="B308" t="s">
        <v>344</v>
      </c>
      <c r="C308">
        <v>9.7752945958399992E-3</v>
      </c>
      <c r="D308" t="s">
        <v>345</v>
      </c>
      <c r="E308">
        <v>56.27951152444453</v>
      </c>
      <c r="F308" t="s">
        <v>268</v>
      </c>
      <c r="G308" t="s">
        <v>357</v>
      </c>
      <c r="H308" t="s">
        <v>362</v>
      </c>
      <c r="I308" t="s">
        <v>348</v>
      </c>
      <c r="J308" t="s">
        <v>362</v>
      </c>
      <c r="K308" t="s">
        <v>362</v>
      </c>
      <c r="L308" t="s">
        <v>365</v>
      </c>
      <c r="M308">
        <f t="shared" si="13"/>
        <v>4</v>
      </c>
      <c r="N308">
        <f t="shared" si="14"/>
        <v>3.9101178383359997E-2</v>
      </c>
      <c r="O308">
        <f t="shared" si="15"/>
        <v>1.8009443687822251E-2</v>
      </c>
    </row>
    <row r="309" spans="1:15">
      <c r="A309" t="s">
        <v>256</v>
      </c>
      <c r="B309" t="s">
        <v>344</v>
      </c>
      <c r="C309">
        <v>7.9055353022779995E-3</v>
      </c>
      <c r="D309" t="s">
        <v>345</v>
      </c>
      <c r="E309">
        <v>52.309957408210259</v>
      </c>
      <c r="F309" t="s">
        <v>268</v>
      </c>
      <c r="G309" t="s">
        <v>357</v>
      </c>
      <c r="H309" t="s">
        <v>362</v>
      </c>
      <c r="I309" t="s">
        <v>348</v>
      </c>
      <c r="J309" t="s">
        <v>362</v>
      </c>
      <c r="K309" t="s">
        <v>362</v>
      </c>
      <c r="L309" t="s">
        <v>365</v>
      </c>
      <c r="M309">
        <f t="shared" si="13"/>
        <v>4</v>
      </c>
      <c r="N309">
        <f t="shared" si="14"/>
        <v>3.1622141209111998E-2</v>
      </c>
      <c r="O309">
        <f t="shared" si="15"/>
        <v>1.6739186370627282E-2</v>
      </c>
    </row>
    <row r="310" spans="1:15">
      <c r="A310" t="s">
        <v>256</v>
      </c>
      <c r="B310" t="s">
        <v>344</v>
      </c>
      <c r="C310">
        <v>5.1971760184864997E-2</v>
      </c>
      <c r="D310" t="s">
        <v>345</v>
      </c>
      <c r="E310">
        <v>101.76424726842065</v>
      </c>
      <c r="F310" t="s">
        <v>268</v>
      </c>
      <c r="G310" t="s">
        <v>357</v>
      </c>
      <c r="H310" t="s">
        <v>362</v>
      </c>
      <c r="I310" t="s">
        <v>348</v>
      </c>
      <c r="J310" t="s">
        <v>362</v>
      </c>
      <c r="K310" t="s">
        <v>362</v>
      </c>
      <c r="L310" t="s">
        <v>365</v>
      </c>
      <c r="M310">
        <f t="shared" si="13"/>
        <v>4</v>
      </c>
      <c r="N310">
        <f t="shared" si="14"/>
        <v>0.20788704073945999</v>
      </c>
      <c r="O310">
        <f t="shared" si="15"/>
        <v>3.2564559125894607E-2</v>
      </c>
    </row>
    <row r="311" spans="1:15">
      <c r="A311" t="s">
        <v>256</v>
      </c>
      <c r="B311" t="s">
        <v>344</v>
      </c>
      <c r="C311">
        <v>5.1986582364723997E-2</v>
      </c>
      <c r="D311" t="s">
        <v>345</v>
      </c>
      <c r="E311">
        <v>100.69820365136783</v>
      </c>
      <c r="F311" t="s">
        <v>268</v>
      </c>
      <c r="G311" t="s">
        <v>357</v>
      </c>
      <c r="H311" t="s">
        <v>362</v>
      </c>
      <c r="I311" t="s">
        <v>348</v>
      </c>
      <c r="J311" t="s">
        <v>362</v>
      </c>
      <c r="K311" t="s">
        <v>362</v>
      </c>
      <c r="L311" t="s">
        <v>365</v>
      </c>
      <c r="M311">
        <f t="shared" si="13"/>
        <v>4</v>
      </c>
      <c r="N311">
        <f t="shared" si="14"/>
        <v>0.20794632945889599</v>
      </c>
      <c r="O311">
        <f t="shared" si="15"/>
        <v>3.2223425168437708E-2</v>
      </c>
    </row>
    <row r="312" spans="1:15">
      <c r="A312" t="s">
        <v>256</v>
      </c>
      <c r="B312" t="s">
        <v>344</v>
      </c>
      <c r="C312">
        <v>8.2641816177990005E-2</v>
      </c>
      <c r="D312" t="s">
        <v>345</v>
      </c>
      <c r="E312">
        <v>141.17270087773556</v>
      </c>
      <c r="F312" t="s">
        <v>268</v>
      </c>
      <c r="G312" t="s">
        <v>357</v>
      </c>
      <c r="H312" t="s">
        <v>362</v>
      </c>
      <c r="I312" t="s">
        <v>348</v>
      </c>
      <c r="J312" t="s">
        <v>362</v>
      </c>
      <c r="K312" t="s">
        <v>362</v>
      </c>
      <c r="L312" t="s">
        <v>365</v>
      </c>
      <c r="M312">
        <f t="shared" si="13"/>
        <v>4</v>
      </c>
      <c r="N312">
        <f t="shared" si="14"/>
        <v>0.33056726471196002</v>
      </c>
      <c r="O312">
        <f t="shared" si="15"/>
        <v>4.5175264280875385E-2</v>
      </c>
    </row>
    <row r="313" spans="1:15">
      <c r="A313" t="s">
        <v>256</v>
      </c>
      <c r="B313" t="s">
        <v>344</v>
      </c>
      <c r="C313">
        <v>5.6096979235978998E-2</v>
      </c>
      <c r="D313" t="s">
        <v>345</v>
      </c>
      <c r="E313">
        <v>157.1115665154085</v>
      </c>
      <c r="F313" t="s">
        <v>268</v>
      </c>
      <c r="G313" t="s">
        <v>357</v>
      </c>
      <c r="H313" t="s">
        <v>362</v>
      </c>
      <c r="I313" t="s">
        <v>348</v>
      </c>
      <c r="J313" t="s">
        <v>362</v>
      </c>
      <c r="K313" t="s">
        <v>362</v>
      </c>
      <c r="L313" t="s">
        <v>365</v>
      </c>
      <c r="M313">
        <f t="shared" si="13"/>
        <v>4</v>
      </c>
      <c r="N313">
        <f t="shared" si="14"/>
        <v>0.22438791694391599</v>
      </c>
      <c r="O313">
        <f t="shared" si="15"/>
        <v>5.0275701284930724E-2</v>
      </c>
    </row>
    <row r="314" spans="1:15">
      <c r="A314" t="s">
        <v>256</v>
      </c>
      <c r="B314" t="s">
        <v>344</v>
      </c>
      <c r="C314">
        <v>1.9340462349009999E-3</v>
      </c>
      <c r="D314" t="s">
        <v>345</v>
      </c>
      <c r="E314">
        <v>21.671024409746487</v>
      </c>
      <c r="F314" t="s">
        <v>268</v>
      </c>
      <c r="G314" t="s">
        <v>357</v>
      </c>
      <c r="H314" t="s">
        <v>362</v>
      </c>
      <c r="I314" t="s">
        <v>348</v>
      </c>
      <c r="J314" t="s">
        <v>362</v>
      </c>
      <c r="K314" t="s">
        <v>362</v>
      </c>
      <c r="L314" t="s">
        <v>365</v>
      </c>
      <c r="M314">
        <f t="shared" si="13"/>
        <v>4</v>
      </c>
      <c r="N314">
        <f t="shared" si="14"/>
        <v>7.7361849396039998E-3</v>
      </c>
      <c r="O314">
        <f t="shared" si="15"/>
        <v>6.934727811118876E-3</v>
      </c>
    </row>
    <row r="315" spans="1:15">
      <c r="A315" t="s">
        <v>256</v>
      </c>
      <c r="B315" t="s">
        <v>344</v>
      </c>
      <c r="C315">
        <v>1.1610391849640001E-3</v>
      </c>
      <c r="D315" t="s">
        <v>345</v>
      </c>
      <c r="E315">
        <v>19.007008232662162</v>
      </c>
      <c r="F315" t="s">
        <v>268</v>
      </c>
      <c r="G315" t="s">
        <v>357</v>
      </c>
      <c r="H315" t="s">
        <v>362</v>
      </c>
      <c r="I315" t="s">
        <v>348</v>
      </c>
      <c r="J315" t="s">
        <v>362</v>
      </c>
      <c r="K315" t="s">
        <v>362</v>
      </c>
      <c r="L315" t="s">
        <v>365</v>
      </c>
      <c r="M315">
        <f t="shared" si="13"/>
        <v>4</v>
      </c>
      <c r="N315">
        <f t="shared" si="14"/>
        <v>4.6441567398560002E-3</v>
      </c>
      <c r="O315">
        <f t="shared" si="15"/>
        <v>6.0822426344518928E-3</v>
      </c>
    </row>
    <row r="316" spans="1:15">
      <c r="A316" t="s">
        <v>256</v>
      </c>
      <c r="B316" t="s">
        <v>344</v>
      </c>
      <c r="C316">
        <v>2.2483133418760002E-3</v>
      </c>
      <c r="D316" t="s">
        <v>345</v>
      </c>
      <c r="E316">
        <v>24.814074948182345</v>
      </c>
      <c r="F316" t="s">
        <v>268</v>
      </c>
      <c r="G316" t="s">
        <v>357</v>
      </c>
      <c r="H316" t="s">
        <v>362</v>
      </c>
      <c r="I316" t="s">
        <v>348</v>
      </c>
      <c r="J316" t="s">
        <v>362</v>
      </c>
      <c r="K316" t="s">
        <v>362</v>
      </c>
      <c r="L316" t="s">
        <v>365</v>
      </c>
      <c r="M316">
        <f t="shared" si="13"/>
        <v>4</v>
      </c>
      <c r="N316">
        <f t="shared" si="14"/>
        <v>8.9932533675040009E-3</v>
      </c>
      <c r="O316">
        <f t="shared" si="15"/>
        <v>7.9405039834183518E-3</v>
      </c>
    </row>
    <row r="317" spans="1:15">
      <c r="A317" t="s">
        <v>256</v>
      </c>
      <c r="B317" t="s">
        <v>344</v>
      </c>
      <c r="C317">
        <v>1.6265044053340001E-3</v>
      </c>
      <c r="D317" t="s">
        <v>345</v>
      </c>
      <c r="E317">
        <v>21.323011699238553</v>
      </c>
      <c r="F317" t="s">
        <v>268</v>
      </c>
      <c r="G317" t="s">
        <v>357</v>
      </c>
      <c r="H317" t="s">
        <v>362</v>
      </c>
      <c r="I317" t="s">
        <v>348</v>
      </c>
      <c r="J317" t="s">
        <v>362</v>
      </c>
      <c r="K317" t="s">
        <v>362</v>
      </c>
      <c r="L317" t="s">
        <v>365</v>
      </c>
      <c r="M317">
        <f t="shared" si="13"/>
        <v>4</v>
      </c>
      <c r="N317">
        <f t="shared" si="14"/>
        <v>6.5060176213360002E-3</v>
      </c>
      <c r="O317">
        <f t="shared" si="15"/>
        <v>6.8233637437563376E-3</v>
      </c>
    </row>
    <row r="318" spans="1:15">
      <c r="A318" t="s">
        <v>256</v>
      </c>
      <c r="B318" t="s">
        <v>344</v>
      </c>
      <c r="C318">
        <v>2.8469162218754999E-2</v>
      </c>
      <c r="D318" t="s">
        <v>345</v>
      </c>
      <c r="E318">
        <v>77.109920610672233</v>
      </c>
      <c r="F318" t="s">
        <v>268</v>
      </c>
      <c r="G318" t="s">
        <v>357</v>
      </c>
      <c r="H318" t="s">
        <v>362</v>
      </c>
      <c r="I318" t="s">
        <v>348</v>
      </c>
      <c r="J318" t="s">
        <v>362</v>
      </c>
      <c r="K318" t="s">
        <v>362</v>
      </c>
      <c r="L318" t="s">
        <v>365</v>
      </c>
      <c r="M318">
        <f t="shared" si="13"/>
        <v>4</v>
      </c>
      <c r="N318">
        <f t="shared" si="14"/>
        <v>0.11387664887502</v>
      </c>
      <c r="O318">
        <f t="shared" si="15"/>
        <v>2.4675174595415114E-2</v>
      </c>
    </row>
    <row r="319" spans="1:15">
      <c r="A319" t="s">
        <v>256</v>
      </c>
      <c r="B319" t="s">
        <v>344</v>
      </c>
      <c r="C319">
        <v>2.7896443642187001E-2</v>
      </c>
      <c r="D319" t="s">
        <v>345</v>
      </c>
      <c r="E319">
        <v>75.331841273725914</v>
      </c>
      <c r="F319" t="s">
        <v>268</v>
      </c>
      <c r="G319" t="s">
        <v>357</v>
      </c>
      <c r="H319" t="s">
        <v>362</v>
      </c>
      <c r="I319" t="s">
        <v>348</v>
      </c>
      <c r="J319" t="s">
        <v>362</v>
      </c>
      <c r="K319" t="s">
        <v>362</v>
      </c>
      <c r="L319" t="s">
        <v>365</v>
      </c>
      <c r="M319">
        <f t="shared" si="13"/>
        <v>4</v>
      </c>
      <c r="N319">
        <f t="shared" si="14"/>
        <v>0.11158577456874801</v>
      </c>
      <c r="O319">
        <f t="shared" si="15"/>
        <v>2.4106189207592294E-2</v>
      </c>
    </row>
    <row r="320" spans="1:15">
      <c r="A320" t="s">
        <v>256</v>
      </c>
      <c r="B320" t="s">
        <v>344</v>
      </c>
      <c r="C320">
        <v>1.102682057446E-2</v>
      </c>
      <c r="D320" t="s">
        <v>345</v>
      </c>
      <c r="E320">
        <v>53.38418960269231</v>
      </c>
      <c r="F320" t="s">
        <v>268</v>
      </c>
      <c r="G320" t="s">
        <v>357</v>
      </c>
      <c r="H320" t="s">
        <v>362</v>
      </c>
      <c r="I320" t="s">
        <v>348</v>
      </c>
      <c r="J320" t="s">
        <v>362</v>
      </c>
      <c r="K320" t="s">
        <v>362</v>
      </c>
      <c r="L320" t="s">
        <v>365</v>
      </c>
      <c r="M320">
        <f t="shared" si="13"/>
        <v>4</v>
      </c>
      <c r="N320">
        <f t="shared" si="14"/>
        <v>4.410728229784E-2</v>
      </c>
      <c r="O320">
        <f t="shared" si="15"/>
        <v>1.7082940672861539E-2</v>
      </c>
    </row>
    <row r="321" spans="1:15">
      <c r="A321" t="s">
        <v>294</v>
      </c>
      <c r="B321" t="s">
        <v>344</v>
      </c>
      <c r="C321">
        <v>0.17024917564106501</v>
      </c>
      <c r="D321" t="s">
        <v>345</v>
      </c>
      <c r="E321">
        <v>165.09366968487279</v>
      </c>
      <c r="F321" t="s">
        <v>245</v>
      </c>
      <c r="G321" t="s">
        <v>346</v>
      </c>
      <c r="H321" t="s">
        <v>356</v>
      </c>
      <c r="I321" t="s">
        <v>348</v>
      </c>
      <c r="J321" t="s">
        <v>356</v>
      </c>
      <c r="K321" t="s">
        <v>176</v>
      </c>
      <c r="L321" t="s">
        <v>365</v>
      </c>
      <c r="M321">
        <f t="shared" si="13"/>
        <v>4</v>
      </c>
      <c r="N321">
        <f t="shared" si="14"/>
        <v>0.68099670256426004</v>
      </c>
      <c r="O321">
        <f t="shared" si="15"/>
        <v>5.2829974299159303E-2</v>
      </c>
    </row>
    <row r="322" spans="1:15">
      <c r="A322" t="s">
        <v>320</v>
      </c>
      <c r="B322" t="s">
        <v>344</v>
      </c>
      <c r="C322">
        <v>6.6302860729707994E-2</v>
      </c>
      <c r="D322" t="s">
        <v>345</v>
      </c>
      <c r="E322">
        <v>106.63002808244855</v>
      </c>
      <c r="F322" t="s">
        <v>245</v>
      </c>
      <c r="G322" t="s">
        <v>346</v>
      </c>
      <c r="H322" t="s">
        <v>352</v>
      </c>
      <c r="I322" t="s">
        <v>348</v>
      </c>
      <c r="J322" t="s">
        <v>352</v>
      </c>
      <c r="K322" t="s">
        <v>18</v>
      </c>
      <c r="L322" t="s">
        <v>365</v>
      </c>
      <c r="M322">
        <f t="shared" si="13"/>
        <v>4</v>
      </c>
      <c r="N322">
        <f t="shared" si="14"/>
        <v>0.26521144291883197</v>
      </c>
      <c r="O322">
        <f t="shared" si="15"/>
        <v>3.4121608986383535E-2</v>
      </c>
    </row>
    <row r="323" spans="1:15">
      <c r="A323" t="s">
        <v>320</v>
      </c>
      <c r="B323" t="s">
        <v>344</v>
      </c>
      <c r="C323">
        <v>0.108033640894071</v>
      </c>
      <c r="D323" t="s">
        <v>345</v>
      </c>
      <c r="E323">
        <v>131.54985909027172</v>
      </c>
      <c r="F323" t="s">
        <v>245</v>
      </c>
      <c r="G323" t="s">
        <v>346</v>
      </c>
      <c r="H323" t="s">
        <v>352</v>
      </c>
      <c r="I323" t="s">
        <v>348</v>
      </c>
      <c r="J323" t="s">
        <v>352</v>
      </c>
      <c r="K323" t="s">
        <v>18</v>
      </c>
      <c r="L323" t="s">
        <v>365</v>
      </c>
      <c r="M323">
        <f t="shared" ref="M323:M386" si="16">LEFT(D323,2)*1</f>
        <v>4</v>
      </c>
      <c r="N323">
        <f t="shared" ref="N323:N386" si="17">M323*C323</f>
        <v>0.43213456357628399</v>
      </c>
      <c r="O323">
        <f t="shared" ref="O323:O386" si="18">M323*E323*0.8/10000</f>
        <v>4.2095954908886957E-2</v>
      </c>
    </row>
    <row r="324" spans="1:15">
      <c r="A324" t="s">
        <v>298</v>
      </c>
      <c r="B324" t="s">
        <v>344</v>
      </c>
      <c r="C324">
        <v>0.17797125247501999</v>
      </c>
      <c r="D324" t="s">
        <v>345</v>
      </c>
      <c r="E324">
        <v>190.02674110289072</v>
      </c>
      <c r="F324" t="s">
        <v>245</v>
      </c>
      <c r="G324" t="s">
        <v>346</v>
      </c>
      <c r="H324" t="s">
        <v>352</v>
      </c>
      <c r="I324" t="s">
        <v>348</v>
      </c>
      <c r="J324" t="s">
        <v>352</v>
      </c>
      <c r="K324" t="s">
        <v>18</v>
      </c>
      <c r="L324" t="s">
        <v>365</v>
      </c>
      <c r="M324">
        <f t="shared" si="16"/>
        <v>4</v>
      </c>
      <c r="N324">
        <f t="shared" si="17"/>
        <v>0.71188500990007997</v>
      </c>
      <c r="O324">
        <f t="shared" si="18"/>
        <v>6.080855715292504E-2</v>
      </c>
    </row>
    <row r="325" spans="1:15">
      <c r="A325" t="s">
        <v>250</v>
      </c>
      <c r="B325" t="s">
        <v>344</v>
      </c>
      <c r="C325">
        <v>0.21644931466803</v>
      </c>
      <c r="D325" t="s">
        <v>345</v>
      </c>
      <c r="E325">
        <v>187.97870678209753</v>
      </c>
      <c r="F325" t="s">
        <v>245</v>
      </c>
      <c r="G325" t="s">
        <v>346</v>
      </c>
      <c r="H325" t="s">
        <v>351</v>
      </c>
      <c r="I325" t="s">
        <v>348</v>
      </c>
      <c r="J325" t="s">
        <v>351</v>
      </c>
      <c r="K325" t="s">
        <v>12</v>
      </c>
      <c r="L325" t="s">
        <v>365</v>
      </c>
      <c r="M325">
        <f t="shared" si="16"/>
        <v>4</v>
      </c>
      <c r="N325">
        <f t="shared" si="17"/>
        <v>0.86579725867211998</v>
      </c>
      <c r="O325">
        <f t="shared" si="18"/>
        <v>6.0153186170271218E-2</v>
      </c>
    </row>
    <row r="326" spans="1:15">
      <c r="A326" t="s">
        <v>283</v>
      </c>
      <c r="B326" t="s">
        <v>344</v>
      </c>
      <c r="C326">
        <v>0.30894761737161203</v>
      </c>
      <c r="D326" t="s">
        <v>345</v>
      </c>
      <c r="E326">
        <v>233.67507360827122</v>
      </c>
      <c r="F326" t="s">
        <v>245</v>
      </c>
      <c r="G326" t="s">
        <v>346</v>
      </c>
      <c r="H326" t="s">
        <v>351</v>
      </c>
      <c r="I326" t="s">
        <v>348</v>
      </c>
      <c r="J326" t="s">
        <v>351</v>
      </c>
      <c r="K326" t="s">
        <v>12</v>
      </c>
      <c r="L326" t="s">
        <v>365</v>
      </c>
      <c r="M326">
        <f t="shared" si="16"/>
        <v>4</v>
      </c>
      <c r="N326">
        <f t="shared" si="17"/>
        <v>1.2357904694864481</v>
      </c>
      <c r="O326">
        <f t="shared" si="18"/>
        <v>7.4776023554646798E-2</v>
      </c>
    </row>
    <row r="327" spans="1:15">
      <c r="A327" t="s">
        <v>373</v>
      </c>
      <c r="B327" t="s">
        <v>344</v>
      </c>
      <c r="C327">
        <v>8.0281782068446994E-2</v>
      </c>
      <c r="D327" t="s">
        <v>345</v>
      </c>
      <c r="E327">
        <v>119.99651336428101</v>
      </c>
      <c r="F327" t="s">
        <v>245</v>
      </c>
      <c r="G327" t="s">
        <v>346</v>
      </c>
      <c r="H327" t="s">
        <v>351</v>
      </c>
      <c r="I327" t="s">
        <v>348</v>
      </c>
      <c r="J327" t="s">
        <v>351</v>
      </c>
      <c r="K327" t="s">
        <v>12</v>
      </c>
      <c r="L327" t="s">
        <v>365</v>
      </c>
      <c r="M327">
        <f t="shared" si="16"/>
        <v>4</v>
      </c>
      <c r="N327">
        <f t="shared" si="17"/>
        <v>0.32112712827378798</v>
      </c>
      <c r="O327">
        <f t="shared" si="18"/>
        <v>3.8398884276569928E-2</v>
      </c>
    </row>
    <row r="328" spans="1:15">
      <c r="A328" t="s">
        <v>374</v>
      </c>
      <c r="B328" t="s">
        <v>344</v>
      </c>
      <c r="C328">
        <v>0.60828907352183503</v>
      </c>
      <c r="D328" t="s">
        <v>345</v>
      </c>
      <c r="E328">
        <v>348.19727506747353</v>
      </c>
      <c r="F328" t="s">
        <v>245</v>
      </c>
      <c r="G328" t="s">
        <v>346</v>
      </c>
      <c r="H328" t="s">
        <v>351</v>
      </c>
      <c r="I328" t="s">
        <v>348</v>
      </c>
      <c r="J328" t="s">
        <v>351</v>
      </c>
      <c r="K328" t="s">
        <v>12</v>
      </c>
      <c r="L328" t="s">
        <v>365</v>
      </c>
      <c r="M328">
        <f t="shared" si="16"/>
        <v>4</v>
      </c>
      <c r="N328">
        <f t="shared" si="17"/>
        <v>2.4331562940873401</v>
      </c>
      <c r="O328">
        <f t="shared" si="18"/>
        <v>0.11142312802159154</v>
      </c>
    </row>
    <row r="329" spans="1:15">
      <c r="A329" t="s">
        <v>374</v>
      </c>
      <c r="B329" t="s">
        <v>344</v>
      </c>
      <c r="C329">
        <v>0.171833089150777</v>
      </c>
      <c r="D329" t="s">
        <v>345</v>
      </c>
      <c r="E329">
        <v>166.76089350436476</v>
      </c>
      <c r="F329" t="s">
        <v>245</v>
      </c>
      <c r="G329" t="s">
        <v>346</v>
      </c>
      <c r="H329" t="s">
        <v>351</v>
      </c>
      <c r="I329" t="s">
        <v>348</v>
      </c>
      <c r="J329" t="s">
        <v>351</v>
      </c>
      <c r="K329" t="s">
        <v>12</v>
      </c>
      <c r="L329" t="s">
        <v>365</v>
      </c>
      <c r="M329">
        <f t="shared" si="16"/>
        <v>4</v>
      </c>
      <c r="N329">
        <f t="shared" si="17"/>
        <v>0.68733235660310799</v>
      </c>
      <c r="O329">
        <f t="shared" si="18"/>
        <v>5.3363485921396725E-2</v>
      </c>
    </row>
    <row r="330" spans="1:15">
      <c r="A330" t="s">
        <v>374</v>
      </c>
      <c r="B330" t="s">
        <v>344</v>
      </c>
      <c r="C330">
        <v>0.57902109853183004</v>
      </c>
      <c r="D330" t="s">
        <v>345</v>
      </c>
      <c r="E330">
        <v>313.85157711433709</v>
      </c>
      <c r="F330" t="s">
        <v>245</v>
      </c>
      <c r="G330" t="s">
        <v>346</v>
      </c>
      <c r="H330" t="s">
        <v>351</v>
      </c>
      <c r="I330" t="s">
        <v>348</v>
      </c>
      <c r="J330" t="s">
        <v>351</v>
      </c>
      <c r="K330" t="s">
        <v>12</v>
      </c>
      <c r="L330" t="s">
        <v>365</v>
      </c>
      <c r="M330">
        <f t="shared" si="16"/>
        <v>4</v>
      </c>
      <c r="N330">
        <f t="shared" si="17"/>
        <v>2.3160843941273201</v>
      </c>
      <c r="O330">
        <f t="shared" si="18"/>
        <v>0.10043250467658787</v>
      </c>
    </row>
    <row r="331" spans="1:15">
      <c r="A331" t="s">
        <v>262</v>
      </c>
      <c r="B331" t="s">
        <v>344</v>
      </c>
      <c r="C331">
        <v>0.178450761375681</v>
      </c>
      <c r="D331" t="s">
        <v>345</v>
      </c>
      <c r="E331">
        <v>169.29182929202184</v>
      </c>
      <c r="F331" t="s">
        <v>245</v>
      </c>
      <c r="G331" t="s">
        <v>346</v>
      </c>
      <c r="H331" t="s">
        <v>352</v>
      </c>
      <c r="I331" t="s">
        <v>348</v>
      </c>
      <c r="J331" t="s">
        <v>352</v>
      </c>
      <c r="K331" t="s">
        <v>18</v>
      </c>
      <c r="L331" t="s">
        <v>365</v>
      </c>
      <c r="M331">
        <f t="shared" si="16"/>
        <v>4</v>
      </c>
      <c r="N331">
        <f t="shared" si="17"/>
        <v>0.713803045502724</v>
      </c>
      <c r="O331">
        <f t="shared" si="18"/>
        <v>5.4173385373446993E-2</v>
      </c>
    </row>
    <row r="332" spans="1:15">
      <c r="A332" t="s">
        <v>310</v>
      </c>
      <c r="B332" t="s">
        <v>344</v>
      </c>
      <c r="C332">
        <v>0.21695699789449999</v>
      </c>
      <c r="D332" t="s">
        <v>345</v>
      </c>
      <c r="E332">
        <v>186.44676831289911</v>
      </c>
      <c r="F332" t="s">
        <v>245</v>
      </c>
      <c r="G332" t="s">
        <v>346</v>
      </c>
      <c r="H332" t="s">
        <v>352</v>
      </c>
      <c r="I332" t="s">
        <v>348</v>
      </c>
      <c r="J332" t="s">
        <v>352</v>
      </c>
      <c r="K332" t="s">
        <v>18</v>
      </c>
      <c r="L332" t="s">
        <v>365</v>
      </c>
      <c r="M332">
        <f t="shared" si="16"/>
        <v>4</v>
      </c>
      <c r="N332">
        <f t="shared" si="17"/>
        <v>0.86782799157799995</v>
      </c>
      <c r="O332">
        <f t="shared" si="18"/>
        <v>5.966296586012771E-2</v>
      </c>
    </row>
    <row r="333" spans="1:15">
      <c r="A333" t="s">
        <v>310</v>
      </c>
      <c r="B333" t="s">
        <v>344</v>
      </c>
      <c r="C333">
        <v>7.8737857916699003E-2</v>
      </c>
      <c r="D333" t="s">
        <v>345</v>
      </c>
      <c r="E333">
        <v>122.51785860274261</v>
      </c>
      <c r="F333" t="s">
        <v>245</v>
      </c>
      <c r="G333" t="s">
        <v>346</v>
      </c>
      <c r="H333" t="s">
        <v>352</v>
      </c>
      <c r="I333" t="s">
        <v>348</v>
      </c>
      <c r="J333" t="s">
        <v>352</v>
      </c>
      <c r="K333" t="s">
        <v>18</v>
      </c>
      <c r="L333" t="s">
        <v>365</v>
      </c>
      <c r="M333">
        <f t="shared" si="16"/>
        <v>4</v>
      </c>
      <c r="N333">
        <f t="shared" si="17"/>
        <v>0.31495143166679601</v>
      </c>
      <c r="O333">
        <f t="shared" si="18"/>
        <v>3.9205714752877631E-2</v>
      </c>
    </row>
    <row r="334" spans="1:15">
      <c r="A334" t="s">
        <v>273</v>
      </c>
      <c r="B334" t="s">
        <v>344</v>
      </c>
      <c r="C334">
        <v>9.6185487100066996E-2</v>
      </c>
      <c r="D334" t="s">
        <v>345</v>
      </c>
      <c r="E334">
        <v>135.75955451506346</v>
      </c>
      <c r="F334" t="s">
        <v>245</v>
      </c>
      <c r="G334" t="s">
        <v>346</v>
      </c>
      <c r="H334" t="s">
        <v>352</v>
      </c>
      <c r="I334" t="s">
        <v>348</v>
      </c>
      <c r="J334" t="s">
        <v>352</v>
      </c>
      <c r="K334" t="s">
        <v>18</v>
      </c>
      <c r="L334" t="s">
        <v>365</v>
      </c>
      <c r="M334">
        <f t="shared" si="16"/>
        <v>4</v>
      </c>
      <c r="N334">
        <f t="shared" si="17"/>
        <v>0.38474194840026799</v>
      </c>
      <c r="O334">
        <f t="shared" si="18"/>
        <v>4.3443057444820306E-2</v>
      </c>
    </row>
    <row r="335" spans="1:15">
      <c r="A335" t="s">
        <v>375</v>
      </c>
      <c r="B335" t="s">
        <v>344</v>
      </c>
      <c r="C335">
        <v>3.7681560305572001E-2</v>
      </c>
      <c r="D335" t="s">
        <v>345</v>
      </c>
      <c r="E335">
        <v>80.494821136736647</v>
      </c>
      <c r="F335" t="s">
        <v>245</v>
      </c>
      <c r="G335" t="s">
        <v>346</v>
      </c>
      <c r="H335" t="s">
        <v>352</v>
      </c>
      <c r="I335" t="s">
        <v>348</v>
      </c>
      <c r="J335" t="s">
        <v>352</v>
      </c>
      <c r="K335" t="s">
        <v>18</v>
      </c>
      <c r="L335" t="s">
        <v>365</v>
      </c>
      <c r="M335">
        <f t="shared" si="16"/>
        <v>4</v>
      </c>
      <c r="N335">
        <f t="shared" si="17"/>
        <v>0.150726241222288</v>
      </c>
      <c r="O335">
        <f t="shared" si="18"/>
        <v>2.5758342763755729E-2</v>
      </c>
    </row>
    <row r="336" spans="1:15">
      <c r="A336" t="s">
        <v>375</v>
      </c>
      <c r="B336" t="s">
        <v>344</v>
      </c>
      <c r="C336">
        <v>4.0649067535270998E-2</v>
      </c>
      <c r="D336" t="s">
        <v>345</v>
      </c>
      <c r="E336">
        <v>86.967162235062645</v>
      </c>
      <c r="F336" t="s">
        <v>245</v>
      </c>
      <c r="G336" t="s">
        <v>346</v>
      </c>
      <c r="H336" t="s">
        <v>352</v>
      </c>
      <c r="I336" t="s">
        <v>348</v>
      </c>
      <c r="J336" t="s">
        <v>352</v>
      </c>
      <c r="K336" t="s">
        <v>18</v>
      </c>
      <c r="L336" t="s">
        <v>365</v>
      </c>
      <c r="M336">
        <f t="shared" si="16"/>
        <v>4</v>
      </c>
      <c r="N336">
        <f t="shared" si="17"/>
        <v>0.16259627014108399</v>
      </c>
      <c r="O336">
        <f t="shared" si="18"/>
        <v>2.7829491915220047E-2</v>
      </c>
    </row>
    <row r="337" spans="1:15">
      <c r="A337" t="s">
        <v>333</v>
      </c>
      <c r="B337" t="s">
        <v>344</v>
      </c>
      <c r="C337">
        <v>0.111380317181123</v>
      </c>
      <c r="D337" t="s">
        <v>345</v>
      </c>
      <c r="E337">
        <v>135.0663775480584</v>
      </c>
      <c r="F337" t="s">
        <v>245</v>
      </c>
      <c r="G337" t="s">
        <v>346</v>
      </c>
      <c r="H337" t="s">
        <v>352</v>
      </c>
      <c r="I337" t="s">
        <v>348</v>
      </c>
      <c r="J337" t="s">
        <v>352</v>
      </c>
      <c r="K337" t="s">
        <v>18</v>
      </c>
      <c r="L337" t="s">
        <v>365</v>
      </c>
      <c r="M337">
        <f t="shared" si="16"/>
        <v>4</v>
      </c>
      <c r="N337">
        <f t="shared" si="17"/>
        <v>0.44552126872449199</v>
      </c>
      <c r="O337">
        <f t="shared" si="18"/>
        <v>4.3221240815378689E-2</v>
      </c>
    </row>
    <row r="338" spans="1:15">
      <c r="A338" t="s">
        <v>296</v>
      </c>
      <c r="B338" t="s">
        <v>344</v>
      </c>
      <c r="C338">
        <v>0.10641708813133099</v>
      </c>
      <c r="D338" t="s">
        <v>345</v>
      </c>
      <c r="E338">
        <v>133.76138593469238</v>
      </c>
      <c r="F338" t="s">
        <v>245</v>
      </c>
      <c r="G338" t="s">
        <v>346</v>
      </c>
      <c r="H338" t="s">
        <v>352</v>
      </c>
      <c r="I338" t="s">
        <v>348</v>
      </c>
      <c r="J338" t="s">
        <v>352</v>
      </c>
      <c r="K338" t="s">
        <v>18</v>
      </c>
      <c r="L338" t="s">
        <v>365</v>
      </c>
      <c r="M338">
        <f t="shared" si="16"/>
        <v>4</v>
      </c>
      <c r="N338">
        <f t="shared" si="17"/>
        <v>0.42566835252532398</v>
      </c>
      <c r="O338">
        <f t="shared" si="18"/>
        <v>4.2803643499101568E-2</v>
      </c>
    </row>
    <row r="339" spans="1:15">
      <c r="A339" t="s">
        <v>318</v>
      </c>
      <c r="B339" t="s">
        <v>344</v>
      </c>
      <c r="C339">
        <v>0.263522036779611</v>
      </c>
      <c r="D339" t="s">
        <v>345</v>
      </c>
      <c r="E339">
        <v>211.1230693677054</v>
      </c>
      <c r="F339" t="s">
        <v>245</v>
      </c>
      <c r="G339" t="s">
        <v>346</v>
      </c>
      <c r="H339" t="s">
        <v>347</v>
      </c>
      <c r="I339" t="s">
        <v>348</v>
      </c>
      <c r="J339" t="s">
        <v>347</v>
      </c>
      <c r="K339" t="s">
        <v>61</v>
      </c>
      <c r="L339" t="s">
        <v>365</v>
      </c>
      <c r="M339">
        <f t="shared" si="16"/>
        <v>4</v>
      </c>
      <c r="N339">
        <f t="shared" si="17"/>
        <v>1.054088147118444</v>
      </c>
      <c r="O339">
        <f t="shared" si="18"/>
        <v>6.7559382197665732E-2</v>
      </c>
    </row>
    <row r="340" spans="1:15">
      <c r="A340" t="s">
        <v>279</v>
      </c>
      <c r="B340" t="s">
        <v>344</v>
      </c>
      <c r="C340">
        <v>0.185094724020646</v>
      </c>
      <c r="D340" t="s">
        <v>345</v>
      </c>
      <c r="E340">
        <v>185.91329720223683</v>
      </c>
      <c r="F340" t="s">
        <v>268</v>
      </c>
      <c r="G340" t="s">
        <v>346</v>
      </c>
      <c r="H340" t="s">
        <v>362</v>
      </c>
      <c r="I340" t="s">
        <v>348</v>
      </c>
      <c r="J340" t="s">
        <v>362</v>
      </c>
      <c r="K340" t="s">
        <v>362</v>
      </c>
      <c r="L340" t="s">
        <v>365</v>
      </c>
      <c r="M340">
        <f t="shared" si="16"/>
        <v>4</v>
      </c>
      <c r="N340">
        <f t="shared" si="17"/>
        <v>0.740378896082584</v>
      </c>
      <c r="O340">
        <f t="shared" si="18"/>
        <v>5.9492255104715785E-2</v>
      </c>
    </row>
    <row r="341" spans="1:15">
      <c r="A341" t="s">
        <v>279</v>
      </c>
      <c r="B341" t="s">
        <v>344</v>
      </c>
      <c r="C341">
        <v>9.3936539243093004E-2</v>
      </c>
      <c r="D341" t="s">
        <v>345</v>
      </c>
      <c r="E341">
        <v>163.53664618086577</v>
      </c>
      <c r="F341" t="s">
        <v>268</v>
      </c>
      <c r="G341" t="s">
        <v>346</v>
      </c>
      <c r="H341" t="s">
        <v>362</v>
      </c>
      <c r="I341" t="s">
        <v>348</v>
      </c>
      <c r="J341" t="s">
        <v>362</v>
      </c>
      <c r="K341" t="s">
        <v>362</v>
      </c>
      <c r="L341" t="s">
        <v>365</v>
      </c>
      <c r="M341">
        <f t="shared" si="16"/>
        <v>4</v>
      </c>
      <c r="N341">
        <f t="shared" si="17"/>
        <v>0.37574615697237201</v>
      </c>
      <c r="O341">
        <f t="shared" si="18"/>
        <v>5.2331726777877056E-2</v>
      </c>
    </row>
    <row r="342" spans="1:15">
      <c r="A342" t="s">
        <v>129</v>
      </c>
      <c r="B342" t="s">
        <v>344</v>
      </c>
      <c r="C342">
        <v>6.3310212556380004E-3</v>
      </c>
      <c r="D342" t="s">
        <v>345</v>
      </c>
      <c r="E342">
        <v>43.333296913374276</v>
      </c>
      <c r="F342" t="s">
        <v>245</v>
      </c>
      <c r="G342" t="s">
        <v>357</v>
      </c>
      <c r="H342" t="s">
        <v>351</v>
      </c>
      <c r="I342" t="s">
        <v>348</v>
      </c>
      <c r="J342" t="s">
        <v>351</v>
      </c>
      <c r="K342" t="s">
        <v>12</v>
      </c>
      <c r="L342" t="s">
        <v>365</v>
      </c>
      <c r="M342">
        <f t="shared" si="16"/>
        <v>4</v>
      </c>
      <c r="N342">
        <f t="shared" si="17"/>
        <v>2.5324085022552002E-2</v>
      </c>
      <c r="O342">
        <f t="shared" si="18"/>
        <v>1.386665501227977E-2</v>
      </c>
    </row>
    <row r="343" spans="1:15">
      <c r="A343" t="s">
        <v>254</v>
      </c>
      <c r="B343" t="s">
        <v>344</v>
      </c>
      <c r="C343">
        <v>3.148704782657E-3</v>
      </c>
      <c r="D343" t="s">
        <v>345</v>
      </c>
      <c r="E343">
        <v>34.662312591393466</v>
      </c>
      <c r="F343" t="s">
        <v>245</v>
      </c>
      <c r="G343" t="s">
        <v>357</v>
      </c>
      <c r="H343" t="s">
        <v>351</v>
      </c>
      <c r="I343" t="s">
        <v>348</v>
      </c>
      <c r="J343" t="s">
        <v>351</v>
      </c>
      <c r="K343" t="s">
        <v>12</v>
      </c>
      <c r="L343" t="s">
        <v>365</v>
      </c>
      <c r="M343">
        <f t="shared" si="16"/>
        <v>4</v>
      </c>
      <c r="N343">
        <f t="shared" si="17"/>
        <v>1.2594819130628E-2</v>
      </c>
      <c r="O343">
        <f t="shared" si="18"/>
        <v>1.1091940029245911E-2</v>
      </c>
    </row>
    <row r="344" spans="1:15">
      <c r="A344" t="s">
        <v>255</v>
      </c>
      <c r="B344" t="s">
        <v>344</v>
      </c>
      <c r="C344">
        <v>0.15544419395978501</v>
      </c>
      <c r="D344" t="s">
        <v>345</v>
      </c>
      <c r="E344">
        <v>387.98217264321227</v>
      </c>
      <c r="F344" t="s">
        <v>245</v>
      </c>
      <c r="G344" t="s">
        <v>357</v>
      </c>
      <c r="H344" t="s">
        <v>351</v>
      </c>
      <c r="I344" t="s">
        <v>348</v>
      </c>
      <c r="J344" t="s">
        <v>351</v>
      </c>
      <c r="K344" t="s">
        <v>12</v>
      </c>
      <c r="L344" t="s">
        <v>365</v>
      </c>
      <c r="M344">
        <f t="shared" si="16"/>
        <v>4</v>
      </c>
      <c r="N344">
        <f t="shared" si="17"/>
        <v>0.62177677583914004</v>
      </c>
      <c r="O344">
        <f t="shared" si="18"/>
        <v>0.12415429524582794</v>
      </c>
    </row>
    <row r="345" spans="1:15">
      <c r="A345" t="s">
        <v>255</v>
      </c>
      <c r="B345" t="s">
        <v>344</v>
      </c>
      <c r="C345">
        <v>1.5893992952203E-2</v>
      </c>
      <c r="D345" t="s">
        <v>345</v>
      </c>
      <c r="E345">
        <v>67.360231329800285</v>
      </c>
      <c r="F345" t="s">
        <v>245</v>
      </c>
      <c r="G345" t="s">
        <v>357</v>
      </c>
      <c r="H345" t="s">
        <v>351</v>
      </c>
      <c r="I345" t="s">
        <v>348</v>
      </c>
      <c r="J345" t="s">
        <v>351</v>
      </c>
      <c r="K345" t="s">
        <v>12</v>
      </c>
      <c r="L345" t="s">
        <v>365</v>
      </c>
      <c r="M345">
        <f t="shared" si="16"/>
        <v>4</v>
      </c>
      <c r="N345">
        <f t="shared" si="17"/>
        <v>6.3575971808811998E-2</v>
      </c>
      <c r="O345">
        <f t="shared" si="18"/>
        <v>2.1555274025536093E-2</v>
      </c>
    </row>
    <row r="346" spans="1:15">
      <c r="A346" t="s">
        <v>255</v>
      </c>
      <c r="B346" t="s">
        <v>344</v>
      </c>
      <c r="C346">
        <v>5.7265944294330002E-3</v>
      </c>
      <c r="D346" t="s">
        <v>345</v>
      </c>
      <c r="E346">
        <v>32.091899228662868</v>
      </c>
      <c r="F346" t="s">
        <v>245</v>
      </c>
      <c r="G346" t="s">
        <v>357</v>
      </c>
      <c r="H346" t="s">
        <v>351</v>
      </c>
      <c r="I346" t="s">
        <v>348</v>
      </c>
      <c r="J346" t="s">
        <v>351</v>
      </c>
      <c r="K346" t="s">
        <v>12</v>
      </c>
      <c r="L346" t="s">
        <v>365</v>
      </c>
      <c r="M346">
        <f t="shared" si="16"/>
        <v>4</v>
      </c>
      <c r="N346">
        <f t="shared" si="17"/>
        <v>2.2906377717732001E-2</v>
      </c>
      <c r="O346">
        <f t="shared" si="18"/>
        <v>1.0269407753172118E-2</v>
      </c>
    </row>
    <row r="347" spans="1:15">
      <c r="A347" t="s">
        <v>255</v>
      </c>
      <c r="B347" t="s">
        <v>344</v>
      </c>
      <c r="C347">
        <v>2.2820994058970001E-3</v>
      </c>
      <c r="D347" t="s">
        <v>345</v>
      </c>
      <c r="E347">
        <v>18.47090819814548</v>
      </c>
      <c r="F347" t="s">
        <v>245</v>
      </c>
      <c r="G347" t="s">
        <v>357</v>
      </c>
      <c r="H347" t="s">
        <v>351</v>
      </c>
      <c r="I347" t="s">
        <v>348</v>
      </c>
      <c r="J347" t="s">
        <v>351</v>
      </c>
      <c r="K347" t="s">
        <v>12</v>
      </c>
      <c r="L347" t="s">
        <v>365</v>
      </c>
      <c r="M347">
        <f t="shared" si="16"/>
        <v>4</v>
      </c>
      <c r="N347">
        <f t="shared" si="17"/>
        <v>9.1283976235880006E-3</v>
      </c>
      <c r="O347">
        <f t="shared" si="18"/>
        <v>5.9106906234065544E-3</v>
      </c>
    </row>
    <row r="348" spans="1:15">
      <c r="A348" t="s">
        <v>255</v>
      </c>
      <c r="B348" t="s">
        <v>344</v>
      </c>
      <c r="C348">
        <v>1.543647692547E-3</v>
      </c>
      <c r="D348" t="s">
        <v>345</v>
      </c>
      <c r="E348">
        <v>15.042967638165354</v>
      </c>
      <c r="F348" t="s">
        <v>245</v>
      </c>
      <c r="G348" t="s">
        <v>357</v>
      </c>
      <c r="H348" t="s">
        <v>351</v>
      </c>
      <c r="I348" t="s">
        <v>348</v>
      </c>
      <c r="J348" t="s">
        <v>351</v>
      </c>
      <c r="K348" t="s">
        <v>12</v>
      </c>
      <c r="L348" t="s">
        <v>365</v>
      </c>
      <c r="M348">
        <f t="shared" si="16"/>
        <v>4</v>
      </c>
      <c r="N348">
        <f t="shared" si="17"/>
        <v>6.1745907701879999E-3</v>
      </c>
      <c r="O348">
        <f t="shared" si="18"/>
        <v>4.813749644212913E-3</v>
      </c>
    </row>
    <row r="349" spans="1:15">
      <c r="A349" t="s">
        <v>255</v>
      </c>
      <c r="B349" t="s">
        <v>344</v>
      </c>
      <c r="C349">
        <v>4.1377259660830001E-3</v>
      </c>
      <c r="D349" t="s">
        <v>345</v>
      </c>
      <c r="E349">
        <v>25.595718355359931</v>
      </c>
      <c r="F349" t="s">
        <v>245</v>
      </c>
      <c r="G349" t="s">
        <v>357</v>
      </c>
      <c r="H349" t="s">
        <v>351</v>
      </c>
      <c r="I349" t="s">
        <v>348</v>
      </c>
      <c r="J349" t="s">
        <v>351</v>
      </c>
      <c r="K349" t="s">
        <v>12</v>
      </c>
      <c r="L349" t="s">
        <v>365</v>
      </c>
      <c r="M349">
        <f t="shared" si="16"/>
        <v>4</v>
      </c>
      <c r="N349">
        <f t="shared" si="17"/>
        <v>1.6550903864332001E-2</v>
      </c>
      <c r="O349">
        <f t="shared" si="18"/>
        <v>8.1906298737151779E-3</v>
      </c>
    </row>
    <row r="350" spans="1:15">
      <c r="A350" t="s">
        <v>255</v>
      </c>
      <c r="B350" t="s">
        <v>344</v>
      </c>
      <c r="C350">
        <v>1.4348896331927E-2</v>
      </c>
      <c r="D350" t="s">
        <v>345</v>
      </c>
      <c r="E350">
        <v>67.137777263604335</v>
      </c>
      <c r="F350" t="s">
        <v>245</v>
      </c>
      <c r="G350" t="s">
        <v>357</v>
      </c>
      <c r="H350" t="s">
        <v>351</v>
      </c>
      <c r="I350" t="s">
        <v>348</v>
      </c>
      <c r="J350" t="s">
        <v>351</v>
      </c>
      <c r="K350" t="s">
        <v>12</v>
      </c>
      <c r="L350" t="s">
        <v>365</v>
      </c>
      <c r="M350">
        <f t="shared" si="16"/>
        <v>4</v>
      </c>
      <c r="N350">
        <f t="shared" si="17"/>
        <v>5.7395585327707999E-2</v>
      </c>
      <c r="O350">
        <f t="shared" si="18"/>
        <v>2.1484088724353388E-2</v>
      </c>
    </row>
    <row r="351" spans="1:15">
      <c r="A351" t="s">
        <v>255</v>
      </c>
      <c r="B351" t="s">
        <v>344</v>
      </c>
      <c r="C351">
        <v>2.9923597461715998E-2</v>
      </c>
      <c r="D351" t="s">
        <v>345</v>
      </c>
      <c r="E351">
        <v>108.31390919436799</v>
      </c>
      <c r="F351" t="s">
        <v>245</v>
      </c>
      <c r="G351" t="s">
        <v>357</v>
      </c>
      <c r="H351" t="s">
        <v>351</v>
      </c>
      <c r="I351" t="s">
        <v>348</v>
      </c>
      <c r="J351" t="s">
        <v>351</v>
      </c>
      <c r="K351" t="s">
        <v>12</v>
      </c>
      <c r="L351" t="s">
        <v>365</v>
      </c>
      <c r="M351">
        <f t="shared" si="16"/>
        <v>4</v>
      </c>
      <c r="N351">
        <f t="shared" si="17"/>
        <v>0.11969438984686399</v>
      </c>
      <c r="O351">
        <f t="shared" si="18"/>
        <v>3.466045094219776E-2</v>
      </c>
    </row>
    <row r="352" spans="1:15">
      <c r="A352" t="s">
        <v>255</v>
      </c>
      <c r="B352" t="s">
        <v>344</v>
      </c>
      <c r="C352">
        <v>1.7341164928814001E-2</v>
      </c>
      <c r="D352" t="s">
        <v>345</v>
      </c>
      <c r="E352">
        <v>80.540019268537449</v>
      </c>
      <c r="F352" t="s">
        <v>245</v>
      </c>
      <c r="G352" t="s">
        <v>357</v>
      </c>
      <c r="H352" t="s">
        <v>351</v>
      </c>
      <c r="I352" t="s">
        <v>348</v>
      </c>
      <c r="J352" t="s">
        <v>351</v>
      </c>
      <c r="K352" t="s">
        <v>12</v>
      </c>
      <c r="L352" t="s">
        <v>365</v>
      </c>
      <c r="M352">
        <f t="shared" si="16"/>
        <v>4</v>
      </c>
      <c r="N352">
        <f t="shared" si="17"/>
        <v>6.9364659715256002E-2</v>
      </c>
      <c r="O352">
        <f t="shared" si="18"/>
        <v>2.5772806165931986E-2</v>
      </c>
    </row>
    <row r="353" spans="1:15">
      <c r="A353" t="s">
        <v>255</v>
      </c>
      <c r="B353" t="s">
        <v>344</v>
      </c>
      <c r="C353">
        <v>3.42906004935E-3</v>
      </c>
      <c r="D353" t="s">
        <v>345</v>
      </c>
      <c r="E353">
        <v>23.040180720432986</v>
      </c>
      <c r="F353" t="s">
        <v>245</v>
      </c>
      <c r="G353" t="s">
        <v>357</v>
      </c>
      <c r="H353" t="s">
        <v>351</v>
      </c>
      <c r="I353" t="s">
        <v>348</v>
      </c>
      <c r="J353" t="s">
        <v>351</v>
      </c>
      <c r="K353" t="s">
        <v>12</v>
      </c>
      <c r="L353" t="s">
        <v>365</v>
      </c>
      <c r="M353">
        <f t="shared" si="16"/>
        <v>4</v>
      </c>
      <c r="N353">
        <f t="shared" si="17"/>
        <v>1.37162401974E-2</v>
      </c>
      <c r="O353">
        <f t="shared" si="18"/>
        <v>7.3728578305385555E-3</v>
      </c>
    </row>
    <row r="354" spans="1:15">
      <c r="A354" t="s">
        <v>255</v>
      </c>
      <c r="B354" t="s">
        <v>344</v>
      </c>
      <c r="C354">
        <v>3.0632359042509001E-2</v>
      </c>
      <c r="D354" t="s">
        <v>345</v>
      </c>
      <c r="E354">
        <v>124.61992363730734</v>
      </c>
      <c r="F354" t="s">
        <v>245</v>
      </c>
      <c r="G354" t="s">
        <v>357</v>
      </c>
      <c r="H354" t="s">
        <v>351</v>
      </c>
      <c r="I354" t="s">
        <v>348</v>
      </c>
      <c r="J354" t="s">
        <v>351</v>
      </c>
      <c r="K354" t="s">
        <v>12</v>
      </c>
      <c r="L354" t="s">
        <v>365</v>
      </c>
      <c r="M354">
        <f t="shared" si="16"/>
        <v>4</v>
      </c>
      <c r="N354">
        <f t="shared" si="17"/>
        <v>0.122529436170036</v>
      </c>
      <c r="O354">
        <f t="shared" si="18"/>
        <v>3.9878375563938348E-2</v>
      </c>
    </row>
    <row r="355" spans="1:15">
      <c r="A355" t="s">
        <v>255</v>
      </c>
      <c r="B355" t="s">
        <v>344</v>
      </c>
      <c r="C355">
        <v>6.3139036831809997E-3</v>
      </c>
      <c r="D355" t="s">
        <v>345</v>
      </c>
      <c r="E355">
        <v>36.367753550784002</v>
      </c>
      <c r="F355" t="s">
        <v>245</v>
      </c>
      <c r="G355" t="s">
        <v>357</v>
      </c>
      <c r="H355" t="s">
        <v>351</v>
      </c>
      <c r="I355" t="s">
        <v>348</v>
      </c>
      <c r="J355" t="s">
        <v>351</v>
      </c>
      <c r="K355" t="s">
        <v>12</v>
      </c>
      <c r="L355" t="s">
        <v>365</v>
      </c>
      <c r="M355">
        <f t="shared" si="16"/>
        <v>4</v>
      </c>
      <c r="N355">
        <f t="shared" si="17"/>
        <v>2.5255614732723999E-2</v>
      </c>
      <c r="O355">
        <f t="shared" si="18"/>
        <v>1.1637681136250883E-2</v>
      </c>
    </row>
    <row r="356" spans="1:15">
      <c r="A356" t="s">
        <v>255</v>
      </c>
      <c r="B356" t="s">
        <v>344</v>
      </c>
      <c r="C356">
        <v>2.3899204133641001E-2</v>
      </c>
      <c r="D356" t="s">
        <v>345</v>
      </c>
      <c r="E356">
        <v>104.81239255550507</v>
      </c>
      <c r="F356" t="s">
        <v>245</v>
      </c>
      <c r="G356" t="s">
        <v>357</v>
      </c>
      <c r="H356" t="s">
        <v>351</v>
      </c>
      <c r="I356" t="s">
        <v>348</v>
      </c>
      <c r="J356" t="s">
        <v>351</v>
      </c>
      <c r="K356" t="s">
        <v>12</v>
      </c>
      <c r="L356" t="s">
        <v>365</v>
      </c>
      <c r="M356">
        <f t="shared" si="16"/>
        <v>4</v>
      </c>
      <c r="N356">
        <f t="shared" si="17"/>
        <v>9.5596816534564005E-2</v>
      </c>
      <c r="O356">
        <f t="shared" si="18"/>
        <v>3.3539965617761625E-2</v>
      </c>
    </row>
    <row r="357" spans="1:15">
      <c r="A357" t="s">
        <v>255</v>
      </c>
      <c r="B357" t="s">
        <v>344</v>
      </c>
      <c r="C357">
        <v>1.6359202158966999E-2</v>
      </c>
      <c r="D357" t="s">
        <v>345</v>
      </c>
      <c r="E357">
        <v>69.986947552395435</v>
      </c>
      <c r="F357" t="s">
        <v>245</v>
      </c>
      <c r="G357" t="s">
        <v>357</v>
      </c>
      <c r="H357" t="s">
        <v>351</v>
      </c>
      <c r="I357" t="s">
        <v>348</v>
      </c>
      <c r="J357" t="s">
        <v>351</v>
      </c>
      <c r="K357" t="s">
        <v>12</v>
      </c>
      <c r="L357" t="s">
        <v>365</v>
      </c>
      <c r="M357">
        <f t="shared" si="16"/>
        <v>4</v>
      </c>
      <c r="N357">
        <f t="shared" si="17"/>
        <v>6.5436808635867996E-2</v>
      </c>
      <c r="O357">
        <f t="shared" si="18"/>
        <v>2.2395823216766541E-2</v>
      </c>
    </row>
    <row r="358" spans="1:15">
      <c r="A358" t="s">
        <v>255</v>
      </c>
      <c r="B358" t="s">
        <v>344</v>
      </c>
      <c r="C358">
        <v>7.8338638538550005E-3</v>
      </c>
      <c r="D358" t="s">
        <v>345</v>
      </c>
      <c r="E358">
        <v>39.755244595074643</v>
      </c>
      <c r="F358" t="s">
        <v>245</v>
      </c>
      <c r="G358" t="s">
        <v>357</v>
      </c>
      <c r="H358" t="s">
        <v>351</v>
      </c>
      <c r="I358" t="s">
        <v>348</v>
      </c>
      <c r="J358" t="s">
        <v>351</v>
      </c>
      <c r="K358" t="s">
        <v>12</v>
      </c>
      <c r="L358" t="s">
        <v>365</v>
      </c>
      <c r="M358">
        <f t="shared" si="16"/>
        <v>4</v>
      </c>
      <c r="N358">
        <f t="shared" si="17"/>
        <v>3.1335455415420002E-2</v>
      </c>
      <c r="O358">
        <f t="shared" si="18"/>
        <v>1.2721678270423887E-2</v>
      </c>
    </row>
    <row r="359" spans="1:15">
      <c r="A359" t="s">
        <v>255</v>
      </c>
      <c r="B359" t="s">
        <v>344</v>
      </c>
      <c r="C359">
        <v>1.2681946958475999E-2</v>
      </c>
      <c r="D359" t="s">
        <v>345</v>
      </c>
      <c r="E359">
        <v>58.886972489061847</v>
      </c>
      <c r="F359" t="s">
        <v>245</v>
      </c>
      <c r="G359" t="s">
        <v>357</v>
      </c>
      <c r="H359" t="s">
        <v>351</v>
      </c>
      <c r="I359" t="s">
        <v>348</v>
      </c>
      <c r="J359" t="s">
        <v>351</v>
      </c>
      <c r="K359" t="s">
        <v>12</v>
      </c>
      <c r="L359" t="s">
        <v>365</v>
      </c>
      <c r="M359">
        <f t="shared" si="16"/>
        <v>4</v>
      </c>
      <c r="N359">
        <f t="shared" si="17"/>
        <v>5.0727787833903998E-2</v>
      </c>
      <c r="O359">
        <f t="shared" si="18"/>
        <v>1.8843831196499791E-2</v>
      </c>
    </row>
    <row r="360" spans="1:15">
      <c r="A360" t="s">
        <v>255</v>
      </c>
      <c r="B360" t="s">
        <v>344</v>
      </c>
      <c r="C360">
        <v>2.1687714240833E-2</v>
      </c>
      <c r="D360" t="s">
        <v>345</v>
      </c>
      <c r="E360">
        <v>88.442113320134752</v>
      </c>
      <c r="F360" t="s">
        <v>245</v>
      </c>
      <c r="G360" t="s">
        <v>357</v>
      </c>
      <c r="H360" t="s">
        <v>351</v>
      </c>
      <c r="I360" t="s">
        <v>348</v>
      </c>
      <c r="J360" t="s">
        <v>351</v>
      </c>
      <c r="K360" t="s">
        <v>12</v>
      </c>
      <c r="L360" t="s">
        <v>365</v>
      </c>
      <c r="M360">
        <f t="shared" si="16"/>
        <v>4</v>
      </c>
      <c r="N360">
        <f t="shared" si="17"/>
        <v>8.6750856963331999E-2</v>
      </c>
      <c r="O360">
        <f t="shared" si="18"/>
        <v>2.8301476262443122E-2</v>
      </c>
    </row>
    <row r="361" spans="1:15">
      <c r="A361" t="s">
        <v>255</v>
      </c>
      <c r="B361" t="s">
        <v>344</v>
      </c>
      <c r="C361">
        <v>3.5654332344876999E-2</v>
      </c>
      <c r="D361" t="s">
        <v>345</v>
      </c>
      <c r="E361">
        <v>142.55433988004285</v>
      </c>
      <c r="F361" t="s">
        <v>245</v>
      </c>
      <c r="G361" t="s">
        <v>357</v>
      </c>
      <c r="H361" t="s">
        <v>351</v>
      </c>
      <c r="I361" t="s">
        <v>348</v>
      </c>
      <c r="J361" t="s">
        <v>351</v>
      </c>
      <c r="K361" t="s">
        <v>12</v>
      </c>
      <c r="L361" t="s">
        <v>365</v>
      </c>
      <c r="M361">
        <f t="shared" si="16"/>
        <v>4</v>
      </c>
      <c r="N361">
        <f t="shared" si="17"/>
        <v>0.142617329379508</v>
      </c>
      <c r="O361">
        <f t="shared" si="18"/>
        <v>4.5617388761613711E-2</v>
      </c>
    </row>
    <row r="362" spans="1:15">
      <c r="A362" t="s">
        <v>255</v>
      </c>
      <c r="B362" t="s">
        <v>344</v>
      </c>
      <c r="C362">
        <v>1.4683514255777E-2</v>
      </c>
      <c r="D362" t="s">
        <v>345</v>
      </c>
      <c r="E362">
        <v>69.930917720932015</v>
      </c>
      <c r="F362" t="s">
        <v>245</v>
      </c>
      <c r="G362" t="s">
        <v>357</v>
      </c>
      <c r="H362" t="s">
        <v>351</v>
      </c>
      <c r="I362" t="s">
        <v>348</v>
      </c>
      <c r="J362" t="s">
        <v>351</v>
      </c>
      <c r="K362" t="s">
        <v>12</v>
      </c>
      <c r="L362" t="s">
        <v>365</v>
      </c>
      <c r="M362">
        <f t="shared" si="16"/>
        <v>4</v>
      </c>
      <c r="N362">
        <f t="shared" si="17"/>
        <v>5.8734057023108001E-2</v>
      </c>
      <c r="O362">
        <f t="shared" si="18"/>
        <v>2.2377893670698246E-2</v>
      </c>
    </row>
    <row r="363" spans="1:15">
      <c r="A363" t="s">
        <v>255</v>
      </c>
      <c r="B363" t="s">
        <v>344</v>
      </c>
      <c r="C363">
        <v>1.8126758839199002E-2</v>
      </c>
      <c r="D363" t="s">
        <v>345</v>
      </c>
      <c r="E363">
        <v>67.368832418307065</v>
      </c>
      <c r="F363" t="s">
        <v>245</v>
      </c>
      <c r="G363" t="s">
        <v>357</v>
      </c>
      <c r="H363" t="s">
        <v>351</v>
      </c>
      <c r="I363" t="s">
        <v>348</v>
      </c>
      <c r="J363" t="s">
        <v>351</v>
      </c>
      <c r="K363" t="s">
        <v>12</v>
      </c>
      <c r="L363" t="s">
        <v>365</v>
      </c>
      <c r="M363">
        <f t="shared" si="16"/>
        <v>4</v>
      </c>
      <c r="N363">
        <f t="shared" si="17"/>
        <v>7.2507035356796007E-2</v>
      </c>
      <c r="O363">
        <f t="shared" si="18"/>
        <v>2.1558026373858261E-2</v>
      </c>
    </row>
    <row r="364" spans="1:15">
      <c r="A364" t="s">
        <v>255</v>
      </c>
      <c r="B364" t="s">
        <v>344</v>
      </c>
      <c r="C364">
        <v>2.7740516860463998E-2</v>
      </c>
      <c r="D364" t="s">
        <v>345</v>
      </c>
      <c r="E364">
        <v>59.042663427437205</v>
      </c>
      <c r="F364" t="s">
        <v>245</v>
      </c>
      <c r="G364" t="s">
        <v>357</v>
      </c>
      <c r="H364" t="s">
        <v>351</v>
      </c>
      <c r="I364" t="s">
        <v>348</v>
      </c>
      <c r="J364" t="s">
        <v>351</v>
      </c>
      <c r="K364" t="s">
        <v>12</v>
      </c>
      <c r="L364" t="s">
        <v>365</v>
      </c>
      <c r="M364">
        <f t="shared" si="16"/>
        <v>4</v>
      </c>
      <c r="N364">
        <f t="shared" si="17"/>
        <v>0.11096206744185599</v>
      </c>
      <c r="O364">
        <f t="shared" si="18"/>
        <v>1.8893652296779907E-2</v>
      </c>
    </row>
    <row r="365" spans="1:15">
      <c r="A365" t="s">
        <v>255</v>
      </c>
      <c r="B365" t="s">
        <v>344</v>
      </c>
      <c r="C365">
        <v>1.9544761940435001E-2</v>
      </c>
      <c r="D365" t="s">
        <v>345</v>
      </c>
      <c r="E365">
        <v>78.128464355278354</v>
      </c>
      <c r="F365" t="s">
        <v>245</v>
      </c>
      <c r="G365" t="s">
        <v>357</v>
      </c>
      <c r="H365" t="s">
        <v>351</v>
      </c>
      <c r="I365" t="s">
        <v>348</v>
      </c>
      <c r="J365" t="s">
        <v>351</v>
      </c>
      <c r="K365" t="s">
        <v>12</v>
      </c>
      <c r="L365" t="s">
        <v>365</v>
      </c>
      <c r="M365">
        <f t="shared" si="16"/>
        <v>4</v>
      </c>
      <c r="N365">
        <f t="shared" si="17"/>
        <v>7.8179047761740006E-2</v>
      </c>
      <c r="O365">
        <f t="shared" si="18"/>
        <v>2.5001108593689075E-2</v>
      </c>
    </row>
    <row r="366" spans="1:15">
      <c r="A366" t="s">
        <v>255</v>
      </c>
      <c r="B366" t="s">
        <v>344</v>
      </c>
      <c r="C366">
        <v>1.0865308999578001E-2</v>
      </c>
      <c r="D366" t="s">
        <v>345</v>
      </c>
      <c r="E366">
        <v>36.951298298954768</v>
      </c>
      <c r="F366" t="s">
        <v>245</v>
      </c>
      <c r="G366" t="s">
        <v>357</v>
      </c>
      <c r="H366" t="s">
        <v>351</v>
      </c>
      <c r="I366" t="s">
        <v>348</v>
      </c>
      <c r="J366" t="s">
        <v>351</v>
      </c>
      <c r="K366" t="s">
        <v>12</v>
      </c>
      <c r="L366" t="s">
        <v>365</v>
      </c>
      <c r="M366">
        <f t="shared" si="16"/>
        <v>4</v>
      </c>
      <c r="N366">
        <f t="shared" si="17"/>
        <v>4.3461235998312003E-2</v>
      </c>
      <c r="O366">
        <f t="shared" si="18"/>
        <v>1.1824415455665526E-2</v>
      </c>
    </row>
    <row r="367" spans="1:15">
      <c r="A367" t="s">
        <v>255</v>
      </c>
      <c r="B367" t="s">
        <v>344</v>
      </c>
      <c r="C367">
        <v>7.2166350615929997E-3</v>
      </c>
      <c r="D367" t="s">
        <v>345</v>
      </c>
      <c r="E367">
        <v>30.114526084088482</v>
      </c>
      <c r="F367" t="s">
        <v>245</v>
      </c>
      <c r="G367" t="s">
        <v>357</v>
      </c>
      <c r="H367" t="s">
        <v>351</v>
      </c>
      <c r="I367" t="s">
        <v>348</v>
      </c>
      <c r="J367" t="s">
        <v>351</v>
      </c>
      <c r="K367" t="s">
        <v>12</v>
      </c>
      <c r="L367" t="s">
        <v>365</v>
      </c>
      <c r="M367">
        <f t="shared" si="16"/>
        <v>4</v>
      </c>
      <c r="N367">
        <f t="shared" si="17"/>
        <v>2.8866540246371999E-2</v>
      </c>
      <c r="O367">
        <f t="shared" si="18"/>
        <v>9.6366483469083157E-3</v>
      </c>
    </row>
    <row r="368" spans="1:15">
      <c r="A368" t="s">
        <v>255</v>
      </c>
      <c r="B368" t="s">
        <v>344</v>
      </c>
      <c r="C368">
        <v>3.1751914269376999E-2</v>
      </c>
      <c r="D368" t="s">
        <v>345</v>
      </c>
      <c r="E368">
        <v>163.88377422473903</v>
      </c>
      <c r="F368" t="s">
        <v>245</v>
      </c>
      <c r="G368" t="s">
        <v>357</v>
      </c>
      <c r="H368" t="s">
        <v>351</v>
      </c>
      <c r="I368" t="s">
        <v>348</v>
      </c>
      <c r="J368" t="s">
        <v>351</v>
      </c>
      <c r="K368" t="s">
        <v>12</v>
      </c>
      <c r="L368" t="s">
        <v>365</v>
      </c>
      <c r="M368">
        <f t="shared" si="16"/>
        <v>4</v>
      </c>
      <c r="N368">
        <f t="shared" si="17"/>
        <v>0.127007657077508</v>
      </c>
      <c r="O368">
        <f t="shared" si="18"/>
        <v>5.2442807751916495E-2</v>
      </c>
    </row>
    <row r="369" spans="1:15">
      <c r="A369" t="s">
        <v>255</v>
      </c>
      <c r="B369" t="s">
        <v>344</v>
      </c>
      <c r="C369">
        <v>1.6786015953350001E-3</v>
      </c>
      <c r="D369" t="s">
        <v>345</v>
      </c>
      <c r="E369">
        <v>14.523873581677613</v>
      </c>
      <c r="F369" t="s">
        <v>245</v>
      </c>
      <c r="G369" t="s">
        <v>357</v>
      </c>
      <c r="H369" t="s">
        <v>351</v>
      </c>
      <c r="I369" t="s">
        <v>348</v>
      </c>
      <c r="J369" t="s">
        <v>351</v>
      </c>
      <c r="K369" t="s">
        <v>12</v>
      </c>
      <c r="L369" t="s">
        <v>365</v>
      </c>
      <c r="M369">
        <f t="shared" si="16"/>
        <v>4</v>
      </c>
      <c r="N369">
        <f t="shared" si="17"/>
        <v>6.7144063813400004E-3</v>
      </c>
      <c r="O369">
        <f t="shared" si="18"/>
        <v>4.6476395461368366E-3</v>
      </c>
    </row>
    <row r="370" spans="1:15">
      <c r="A370" t="s">
        <v>255</v>
      </c>
      <c r="B370" t="s">
        <v>344</v>
      </c>
      <c r="C370">
        <v>7.2869254582910003E-3</v>
      </c>
      <c r="D370" t="s">
        <v>345</v>
      </c>
      <c r="E370">
        <v>40.250166370970177</v>
      </c>
      <c r="F370" t="s">
        <v>245</v>
      </c>
      <c r="G370" t="s">
        <v>357</v>
      </c>
      <c r="H370" t="s">
        <v>351</v>
      </c>
      <c r="I370" t="s">
        <v>348</v>
      </c>
      <c r="J370" t="s">
        <v>351</v>
      </c>
      <c r="K370" t="s">
        <v>12</v>
      </c>
      <c r="L370" t="s">
        <v>365</v>
      </c>
      <c r="M370">
        <f t="shared" si="16"/>
        <v>4</v>
      </c>
      <c r="N370">
        <f t="shared" si="17"/>
        <v>2.9147701833164001E-2</v>
      </c>
      <c r="O370">
        <f t="shared" si="18"/>
        <v>1.2880053238710457E-2</v>
      </c>
    </row>
    <row r="371" spans="1:15">
      <c r="A371" t="s">
        <v>255</v>
      </c>
      <c r="B371" t="s">
        <v>344</v>
      </c>
      <c r="C371">
        <v>5.146051756293E-3</v>
      </c>
      <c r="D371" t="s">
        <v>345</v>
      </c>
      <c r="E371">
        <v>29.789153343326706</v>
      </c>
      <c r="F371" t="s">
        <v>245</v>
      </c>
      <c r="G371" t="s">
        <v>357</v>
      </c>
      <c r="H371" t="s">
        <v>351</v>
      </c>
      <c r="I371" t="s">
        <v>348</v>
      </c>
      <c r="J371" t="s">
        <v>351</v>
      </c>
      <c r="K371" t="s">
        <v>12</v>
      </c>
      <c r="L371" t="s">
        <v>365</v>
      </c>
      <c r="M371">
        <f t="shared" si="16"/>
        <v>4</v>
      </c>
      <c r="N371">
        <f t="shared" si="17"/>
        <v>2.0584207025172E-2</v>
      </c>
      <c r="O371">
        <f t="shared" si="18"/>
        <v>9.5325290698645461E-3</v>
      </c>
    </row>
    <row r="372" spans="1:15">
      <c r="A372" t="s">
        <v>255</v>
      </c>
      <c r="B372" t="s">
        <v>344</v>
      </c>
      <c r="C372">
        <v>4.7132282605800001E-3</v>
      </c>
      <c r="D372" t="s">
        <v>345</v>
      </c>
      <c r="E372">
        <v>29.593665490264669</v>
      </c>
      <c r="F372" t="s">
        <v>245</v>
      </c>
      <c r="G372" t="s">
        <v>357</v>
      </c>
      <c r="H372" t="s">
        <v>351</v>
      </c>
      <c r="I372" t="s">
        <v>348</v>
      </c>
      <c r="J372" t="s">
        <v>351</v>
      </c>
      <c r="K372" t="s">
        <v>12</v>
      </c>
      <c r="L372" t="s">
        <v>365</v>
      </c>
      <c r="M372">
        <f t="shared" si="16"/>
        <v>4</v>
      </c>
      <c r="N372">
        <f t="shared" si="17"/>
        <v>1.8852913042320001E-2</v>
      </c>
      <c r="O372">
        <f t="shared" si="18"/>
        <v>9.4699729568846949E-3</v>
      </c>
    </row>
    <row r="373" spans="1:15">
      <c r="A373" t="s">
        <v>255</v>
      </c>
      <c r="B373" t="s">
        <v>344</v>
      </c>
      <c r="C373">
        <v>0.42276754549870799</v>
      </c>
      <c r="D373" t="s">
        <v>345</v>
      </c>
      <c r="E373">
        <v>318.60163769414316</v>
      </c>
      <c r="F373" t="s">
        <v>245</v>
      </c>
      <c r="G373" t="s">
        <v>357</v>
      </c>
      <c r="H373" t="s">
        <v>351</v>
      </c>
      <c r="I373" t="s">
        <v>348</v>
      </c>
      <c r="J373" t="s">
        <v>351</v>
      </c>
      <c r="K373" t="s">
        <v>12</v>
      </c>
      <c r="L373" t="s">
        <v>365</v>
      </c>
      <c r="M373">
        <f t="shared" si="16"/>
        <v>4</v>
      </c>
      <c r="N373">
        <f t="shared" si="17"/>
        <v>1.6910701819948319</v>
      </c>
      <c r="O373">
        <f t="shared" si="18"/>
        <v>0.10195252406212582</v>
      </c>
    </row>
    <row r="374" spans="1:15">
      <c r="A374" t="s">
        <v>255</v>
      </c>
      <c r="B374" t="s">
        <v>344</v>
      </c>
      <c r="C374">
        <v>8.5225105699842998E-2</v>
      </c>
      <c r="D374" t="s">
        <v>345</v>
      </c>
      <c r="E374">
        <v>137.00329766371755</v>
      </c>
      <c r="F374" t="s">
        <v>245</v>
      </c>
      <c r="G374" t="s">
        <v>357</v>
      </c>
      <c r="H374" t="s">
        <v>351</v>
      </c>
      <c r="I374" t="s">
        <v>348</v>
      </c>
      <c r="J374" t="s">
        <v>351</v>
      </c>
      <c r="K374" t="s">
        <v>12</v>
      </c>
      <c r="L374" t="s">
        <v>365</v>
      </c>
      <c r="M374">
        <f t="shared" si="16"/>
        <v>4</v>
      </c>
      <c r="N374">
        <f t="shared" si="17"/>
        <v>0.34090042279937199</v>
      </c>
      <c r="O374">
        <f t="shared" si="18"/>
        <v>4.384105525238962E-2</v>
      </c>
    </row>
    <row r="375" spans="1:15">
      <c r="A375" t="s">
        <v>255</v>
      </c>
      <c r="B375" t="s">
        <v>344</v>
      </c>
      <c r="C375">
        <v>7.0539391099653001E-2</v>
      </c>
      <c r="D375" t="s">
        <v>345</v>
      </c>
      <c r="E375">
        <v>148.33499801525099</v>
      </c>
      <c r="F375" t="s">
        <v>245</v>
      </c>
      <c r="G375" t="s">
        <v>357</v>
      </c>
      <c r="H375" t="s">
        <v>351</v>
      </c>
      <c r="I375" t="s">
        <v>348</v>
      </c>
      <c r="J375" t="s">
        <v>351</v>
      </c>
      <c r="K375" t="s">
        <v>12</v>
      </c>
      <c r="L375" t="s">
        <v>365</v>
      </c>
      <c r="M375">
        <f t="shared" si="16"/>
        <v>4</v>
      </c>
      <c r="N375">
        <f t="shared" si="17"/>
        <v>0.282157564398612</v>
      </c>
      <c r="O375">
        <f t="shared" si="18"/>
        <v>4.7467199364880322E-2</v>
      </c>
    </row>
    <row r="376" spans="1:15">
      <c r="A376" t="s">
        <v>255</v>
      </c>
      <c r="B376" t="s">
        <v>344</v>
      </c>
      <c r="C376">
        <v>3.5766570775043999E-2</v>
      </c>
      <c r="D376" t="s">
        <v>345</v>
      </c>
      <c r="E376">
        <v>104.74755813053065</v>
      </c>
      <c r="F376" t="s">
        <v>245</v>
      </c>
      <c r="G376" t="s">
        <v>357</v>
      </c>
      <c r="H376" t="s">
        <v>351</v>
      </c>
      <c r="I376" t="s">
        <v>348</v>
      </c>
      <c r="J376" t="s">
        <v>351</v>
      </c>
      <c r="K376" t="s">
        <v>12</v>
      </c>
      <c r="L376" t="s">
        <v>365</v>
      </c>
      <c r="M376">
        <f t="shared" si="16"/>
        <v>4</v>
      </c>
      <c r="N376">
        <f t="shared" si="17"/>
        <v>0.14306628310017599</v>
      </c>
      <c r="O376">
        <f t="shared" si="18"/>
        <v>3.3519218601769811E-2</v>
      </c>
    </row>
    <row r="377" spans="1:15">
      <c r="A377" t="s">
        <v>255</v>
      </c>
      <c r="B377" t="s">
        <v>344</v>
      </c>
      <c r="C377">
        <v>1.1549272404906E-2</v>
      </c>
      <c r="D377" t="s">
        <v>345</v>
      </c>
      <c r="E377">
        <v>142.68550527491564</v>
      </c>
      <c r="F377" t="s">
        <v>245</v>
      </c>
      <c r="G377" t="s">
        <v>357</v>
      </c>
      <c r="H377" t="s">
        <v>351</v>
      </c>
      <c r="I377" t="s">
        <v>348</v>
      </c>
      <c r="J377" t="s">
        <v>351</v>
      </c>
      <c r="K377" t="s">
        <v>12</v>
      </c>
      <c r="L377" t="s">
        <v>365</v>
      </c>
      <c r="M377">
        <f t="shared" si="16"/>
        <v>4</v>
      </c>
      <c r="N377">
        <f t="shared" si="17"/>
        <v>4.6197089619624002E-2</v>
      </c>
      <c r="O377">
        <f t="shared" si="18"/>
        <v>4.5659361687973007E-2</v>
      </c>
    </row>
    <row r="378" spans="1:15">
      <c r="A378" t="s">
        <v>255</v>
      </c>
      <c r="B378" t="s">
        <v>344</v>
      </c>
      <c r="C378">
        <v>0.21403517808038</v>
      </c>
      <c r="D378" t="s">
        <v>345</v>
      </c>
      <c r="E378">
        <v>329.15519862465766</v>
      </c>
      <c r="F378" t="s">
        <v>245</v>
      </c>
      <c r="G378" t="s">
        <v>357</v>
      </c>
      <c r="H378" t="s">
        <v>351</v>
      </c>
      <c r="I378" t="s">
        <v>348</v>
      </c>
      <c r="J378" t="s">
        <v>351</v>
      </c>
      <c r="K378" t="s">
        <v>12</v>
      </c>
      <c r="L378" t="s">
        <v>365</v>
      </c>
      <c r="M378">
        <f t="shared" si="16"/>
        <v>4</v>
      </c>
      <c r="N378">
        <f t="shared" si="17"/>
        <v>0.85614071232152</v>
      </c>
      <c r="O378">
        <f t="shared" si="18"/>
        <v>0.10532966355989044</v>
      </c>
    </row>
    <row r="379" spans="1:15">
      <c r="A379" t="s">
        <v>255</v>
      </c>
      <c r="B379" t="s">
        <v>344</v>
      </c>
      <c r="C379">
        <v>0.15126713211054499</v>
      </c>
      <c r="D379" t="s">
        <v>345</v>
      </c>
      <c r="E379">
        <v>261.64434035098026</v>
      </c>
      <c r="F379" t="s">
        <v>245</v>
      </c>
      <c r="G379" t="s">
        <v>357</v>
      </c>
      <c r="H379" t="s">
        <v>351</v>
      </c>
      <c r="I379" t="s">
        <v>348</v>
      </c>
      <c r="J379" t="s">
        <v>351</v>
      </c>
      <c r="K379" t="s">
        <v>12</v>
      </c>
      <c r="L379" t="s">
        <v>365</v>
      </c>
      <c r="M379">
        <f t="shared" si="16"/>
        <v>4</v>
      </c>
      <c r="N379">
        <f t="shared" si="17"/>
        <v>0.60506852844217995</v>
      </c>
      <c r="O379">
        <f t="shared" si="18"/>
        <v>8.3726188912313676E-2</v>
      </c>
    </row>
    <row r="380" spans="1:15">
      <c r="A380" t="s">
        <v>255</v>
      </c>
      <c r="B380" t="s">
        <v>344</v>
      </c>
      <c r="C380">
        <v>3.5553285646938E-2</v>
      </c>
      <c r="D380" t="s">
        <v>345</v>
      </c>
      <c r="E380">
        <v>164.79057392877107</v>
      </c>
      <c r="F380" t="s">
        <v>245</v>
      </c>
      <c r="G380" t="s">
        <v>357</v>
      </c>
      <c r="H380" t="s">
        <v>351</v>
      </c>
      <c r="I380" t="s">
        <v>348</v>
      </c>
      <c r="J380" t="s">
        <v>351</v>
      </c>
      <c r="K380" t="s">
        <v>12</v>
      </c>
      <c r="L380" t="s">
        <v>365</v>
      </c>
      <c r="M380">
        <f t="shared" si="16"/>
        <v>4</v>
      </c>
      <c r="N380">
        <f t="shared" si="17"/>
        <v>0.142213142587752</v>
      </c>
      <c r="O380">
        <f t="shared" si="18"/>
        <v>5.2732983657206738E-2</v>
      </c>
    </row>
    <row r="381" spans="1:15">
      <c r="A381" t="s">
        <v>255</v>
      </c>
      <c r="B381" t="s">
        <v>344</v>
      </c>
      <c r="C381">
        <v>7.4498646740299998E-4</v>
      </c>
      <c r="D381" t="s">
        <v>345</v>
      </c>
      <c r="E381">
        <v>11.347521217978843</v>
      </c>
      <c r="F381" t="s">
        <v>245</v>
      </c>
      <c r="G381" t="s">
        <v>357</v>
      </c>
      <c r="H381" t="s">
        <v>351</v>
      </c>
      <c r="I381" t="s">
        <v>348</v>
      </c>
      <c r="J381" t="s">
        <v>351</v>
      </c>
      <c r="K381" t="s">
        <v>12</v>
      </c>
      <c r="L381" t="s">
        <v>365</v>
      </c>
      <c r="M381">
        <f t="shared" si="16"/>
        <v>4</v>
      </c>
      <c r="N381">
        <f t="shared" si="17"/>
        <v>2.9799458696119999E-3</v>
      </c>
      <c r="O381">
        <f t="shared" si="18"/>
        <v>3.6312067897532295E-3</v>
      </c>
    </row>
    <row r="382" spans="1:15">
      <c r="A382" t="s">
        <v>20</v>
      </c>
      <c r="B382" t="s">
        <v>344</v>
      </c>
      <c r="C382">
        <v>1.4453600914418E-2</v>
      </c>
      <c r="D382" t="s">
        <v>345</v>
      </c>
      <c r="E382">
        <v>63.103745314659378</v>
      </c>
      <c r="F382" t="s">
        <v>245</v>
      </c>
      <c r="G382" t="s">
        <v>357</v>
      </c>
      <c r="H382" t="s">
        <v>351</v>
      </c>
      <c r="I382" t="s">
        <v>348</v>
      </c>
      <c r="J382" t="s">
        <v>351</v>
      </c>
      <c r="K382" t="s">
        <v>12</v>
      </c>
      <c r="L382" t="s">
        <v>365</v>
      </c>
      <c r="M382">
        <f t="shared" si="16"/>
        <v>4</v>
      </c>
      <c r="N382">
        <f t="shared" si="17"/>
        <v>5.7814403657672001E-2</v>
      </c>
      <c r="O382">
        <f t="shared" si="18"/>
        <v>2.0193198500691002E-2</v>
      </c>
    </row>
    <row r="383" spans="1:15">
      <c r="A383" t="s">
        <v>20</v>
      </c>
      <c r="B383" t="s">
        <v>344</v>
      </c>
      <c r="C383">
        <v>9.155073235267E-3</v>
      </c>
      <c r="D383" t="s">
        <v>345</v>
      </c>
      <c r="E383">
        <v>54.554527745936213</v>
      </c>
      <c r="F383" t="s">
        <v>245</v>
      </c>
      <c r="G383" t="s">
        <v>357</v>
      </c>
      <c r="H383" t="s">
        <v>351</v>
      </c>
      <c r="I383" t="s">
        <v>348</v>
      </c>
      <c r="J383" t="s">
        <v>351</v>
      </c>
      <c r="K383" t="s">
        <v>12</v>
      </c>
      <c r="L383" t="s">
        <v>365</v>
      </c>
      <c r="M383">
        <f t="shared" si="16"/>
        <v>4</v>
      </c>
      <c r="N383">
        <f t="shared" si="17"/>
        <v>3.6620292941068E-2</v>
      </c>
      <c r="O383">
        <f t="shared" si="18"/>
        <v>1.7457448878699589E-2</v>
      </c>
    </row>
    <row r="384" spans="1:15">
      <c r="A384" t="s">
        <v>20</v>
      </c>
      <c r="B384" t="s">
        <v>344</v>
      </c>
      <c r="C384">
        <v>2.0815451349880001E-3</v>
      </c>
      <c r="D384" t="s">
        <v>345</v>
      </c>
      <c r="E384">
        <v>16.173408669546379</v>
      </c>
      <c r="F384" t="s">
        <v>245</v>
      </c>
      <c r="G384" t="s">
        <v>357</v>
      </c>
      <c r="H384" t="s">
        <v>351</v>
      </c>
      <c r="I384" t="s">
        <v>348</v>
      </c>
      <c r="J384" t="s">
        <v>351</v>
      </c>
      <c r="K384" t="s">
        <v>12</v>
      </c>
      <c r="L384" t="s">
        <v>365</v>
      </c>
      <c r="M384">
        <f t="shared" si="16"/>
        <v>4</v>
      </c>
      <c r="N384">
        <f t="shared" si="17"/>
        <v>8.3261805399520005E-3</v>
      </c>
      <c r="O384">
        <f t="shared" si="18"/>
        <v>5.1754907742548421E-3</v>
      </c>
    </row>
    <row r="385" spans="1:15">
      <c r="A385" t="s">
        <v>20</v>
      </c>
      <c r="B385" t="s">
        <v>344</v>
      </c>
      <c r="C385">
        <v>2.8291274657136999E-2</v>
      </c>
      <c r="D385" t="s">
        <v>345</v>
      </c>
      <c r="E385">
        <v>93.005863015007122</v>
      </c>
      <c r="F385" t="s">
        <v>245</v>
      </c>
      <c r="G385" t="s">
        <v>357</v>
      </c>
      <c r="H385" t="s">
        <v>351</v>
      </c>
      <c r="I385" t="s">
        <v>348</v>
      </c>
      <c r="J385" t="s">
        <v>351</v>
      </c>
      <c r="K385" t="s">
        <v>12</v>
      </c>
      <c r="L385" t="s">
        <v>365</v>
      </c>
      <c r="M385">
        <f t="shared" si="16"/>
        <v>4</v>
      </c>
      <c r="N385">
        <f t="shared" si="17"/>
        <v>0.113165098628548</v>
      </c>
      <c r="O385">
        <f t="shared" si="18"/>
        <v>2.9761876164802283E-2</v>
      </c>
    </row>
    <row r="386" spans="1:15">
      <c r="A386" t="s">
        <v>20</v>
      </c>
      <c r="B386" t="s">
        <v>344</v>
      </c>
      <c r="C386">
        <v>4.7138736842168003E-2</v>
      </c>
      <c r="D386" t="s">
        <v>345</v>
      </c>
      <c r="E386">
        <v>141.85528394195416</v>
      </c>
      <c r="F386" t="s">
        <v>245</v>
      </c>
      <c r="G386" t="s">
        <v>357</v>
      </c>
      <c r="H386" t="s">
        <v>351</v>
      </c>
      <c r="I386" t="s">
        <v>348</v>
      </c>
      <c r="J386" t="s">
        <v>351</v>
      </c>
      <c r="K386" t="s">
        <v>12</v>
      </c>
      <c r="L386" t="s">
        <v>365</v>
      </c>
      <c r="M386">
        <f t="shared" si="16"/>
        <v>4</v>
      </c>
      <c r="N386">
        <f t="shared" si="17"/>
        <v>0.18855494736867201</v>
      </c>
      <c r="O386">
        <f t="shared" si="18"/>
        <v>4.5393690861425327E-2</v>
      </c>
    </row>
    <row r="387" spans="1:15">
      <c r="A387" t="s">
        <v>20</v>
      </c>
      <c r="B387" t="s">
        <v>344</v>
      </c>
      <c r="C387">
        <v>5.4131430211100999E-2</v>
      </c>
      <c r="D387" t="s">
        <v>345</v>
      </c>
      <c r="E387">
        <v>452.56518016330512</v>
      </c>
      <c r="F387" t="s">
        <v>245</v>
      </c>
      <c r="G387" t="s">
        <v>357</v>
      </c>
      <c r="H387" t="s">
        <v>351</v>
      </c>
      <c r="I387" t="s">
        <v>348</v>
      </c>
      <c r="J387" t="s">
        <v>351</v>
      </c>
      <c r="K387" t="s">
        <v>12</v>
      </c>
      <c r="L387" t="s">
        <v>365</v>
      </c>
      <c r="M387">
        <f t="shared" ref="M387:M450" si="19">LEFT(D387,2)*1</f>
        <v>4</v>
      </c>
      <c r="N387">
        <f t="shared" ref="N387:N450" si="20">M387*C387</f>
        <v>0.216525720844404</v>
      </c>
      <c r="O387">
        <f t="shared" ref="O387:O450" si="21">M387*E387*0.8/10000</f>
        <v>0.14482085765225766</v>
      </c>
    </row>
    <row r="388" spans="1:15">
      <c r="A388" t="s">
        <v>20</v>
      </c>
      <c r="B388" t="s">
        <v>344</v>
      </c>
      <c r="C388">
        <v>1.679076647592E-3</v>
      </c>
      <c r="D388" t="s">
        <v>345</v>
      </c>
      <c r="E388">
        <v>16.570636918765356</v>
      </c>
      <c r="F388" t="s">
        <v>245</v>
      </c>
      <c r="G388" t="s">
        <v>357</v>
      </c>
      <c r="H388" t="s">
        <v>351</v>
      </c>
      <c r="I388" t="s">
        <v>348</v>
      </c>
      <c r="J388" t="s">
        <v>351</v>
      </c>
      <c r="K388" t="s">
        <v>12</v>
      </c>
      <c r="L388" t="s">
        <v>365</v>
      </c>
      <c r="M388">
        <f t="shared" si="19"/>
        <v>4</v>
      </c>
      <c r="N388">
        <f t="shared" si="20"/>
        <v>6.7163065903680002E-3</v>
      </c>
      <c r="O388">
        <f t="shared" si="21"/>
        <v>5.3026038140049142E-3</v>
      </c>
    </row>
    <row r="389" spans="1:15">
      <c r="A389" t="s">
        <v>20</v>
      </c>
      <c r="B389" t="s">
        <v>344</v>
      </c>
      <c r="C389">
        <v>1.1638922569188999E-2</v>
      </c>
      <c r="D389" t="s">
        <v>345</v>
      </c>
      <c r="E389">
        <v>60.714173329886933</v>
      </c>
      <c r="F389" t="s">
        <v>245</v>
      </c>
      <c r="G389" t="s">
        <v>357</v>
      </c>
      <c r="H389" t="s">
        <v>351</v>
      </c>
      <c r="I389" t="s">
        <v>348</v>
      </c>
      <c r="J389" t="s">
        <v>351</v>
      </c>
      <c r="K389" t="s">
        <v>12</v>
      </c>
      <c r="L389" t="s">
        <v>365</v>
      </c>
      <c r="M389">
        <f t="shared" si="19"/>
        <v>4</v>
      </c>
      <c r="N389">
        <f t="shared" si="20"/>
        <v>4.6555690276755997E-2</v>
      </c>
      <c r="O389">
        <f t="shared" si="21"/>
        <v>1.942853546556382E-2</v>
      </c>
    </row>
    <row r="390" spans="1:15">
      <c r="A390" t="s">
        <v>20</v>
      </c>
      <c r="B390" t="s">
        <v>344</v>
      </c>
      <c r="C390">
        <v>1.6314263255416999E-2</v>
      </c>
      <c r="D390" t="s">
        <v>345</v>
      </c>
      <c r="E390">
        <v>90.863884941500146</v>
      </c>
      <c r="F390" t="s">
        <v>245</v>
      </c>
      <c r="G390" t="s">
        <v>357</v>
      </c>
      <c r="H390" t="s">
        <v>351</v>
      </c>
      <c r="I390" t="s">
        <v>348</v>
      </c>
      <c r="J390" t="s">
        <v>351</v>
      </c>
      <c r="K390" t="s">
        <v>12</v>
      </c>
      <c r="L390" t="s">
        <v>365</v>
      </c>
      <c r="M390">
        <f t="shared" si="19"/>
        <v>4</v>
      </c>
      <c r="N390">
        <f t="shared" si="20"/>
        <v>6.5257053021667996E-2</v>
      </c>
      <c r="O390">
        <f t="shared" si="21"/>
        <v>2.9076443181280047E-2</v>
      </c>
    </row>
    <row r="391" spans="1:15">
      <c r="A391" t="s">
        <v>327</v>
      </c>
      <c r="B391" t="s">
        <v>344</v>
      </c>
      <c r="C391">
        <v>9.0544080661700999E-2</v>
      </c>
      <c r="D391" t="s">
        <v>345</v>
      </c>
      <c r="E391">
        <v>370.13337792416166</v>
      </c>
      <c r="F391" t="s">
        <v>245</v>
      </c>
      <c r="G391" t="s">
        <v>357</v>
      </c>
      <c r="H391" t="s">
        <v>351</v>
      </c>
      <c r="I391" t="s">
        <v>348</v>
      </c>
      <c r="J391" t="s">
        <v>351</v>
      </c>
      <c r="K391" t="s">
        <v>12</v>
      </c>
      <c r="L391" t="s">
        <v>365</v>
      </c>
      <c r="M391">
        <f t="shared" si="19"/>
        <v>4</v>
      </c>
      <c r="N391">
        <f t="shared" si="20"/>
        <v>0.36217632264680399</v>
      </c>
      <c r="O391">
        <f t="shared" si="21"/>
        <v>0.11844268093573174</v>
      </c>
    </row>
    <row r="392" spans="1:15">
      <c r="A392" t="s">
        <v>253</v>
      </c>
      <c r="B392" t="s">
        <v>344</v>
      </c>
      <c r="C392">
        <v>2.3556130448601002E-2</v>
      </c>
      <c r="D392" t="s">
        <v>345</v>
      </c>
      <c r="E392">
        <v>80.340916350555673</v>
      </c>
      <c r="F392" t="s">
        <v>245</v>
      </c>
      <c r="G392" t="s">
        <v>357</v>
      </c>
      <c r="H392" t="s">
        <v>352</v>
      </c>
      <c r="I392" t="s">
        <v>348</v>
      </c>
      <c r="J392" t="s">
        <v>352</v>
      </c>
      <c r="K392" t="s">
        <v>18</v>
      </c>
      <c r="L392" t="s">
        <v>365</v>
      </c>
      <c r="M392">
        <f t="shared" si="19"/>
        <v>4</v>
      </c>
      <c r="N392">
        <f t="shared" si="20"/>
        <v>9.4224521794404006E-2</v>
      </c>
      <c r="O392">
        <f t="shared" si="21"/>
        <v>2.5709093232177814E-2</v>
      </c>
    </row>
    <row r="393" spans="1:15">
      <c r="A393" t="s">
        <v>253</v>
      </c>
      <c r="B393" t="s">
        <v>344</v>
      </c>
      <c r="C393">
        <v>0.16372477728446799</v>
      </c>
      <c r="D393" t="s">
        <v>345</v>
      </c>
      <c r="E393">
        <v>198.59484422902585</v>
      </c>
      <c r="F393" t="s">
        <v>245</v>
      </c>
      <c r="G393" t="s">
        <v>357</v>
      </c>
      <c r="H393" t="s">
        <v>352</v>
      </c>
      <c r="I393" t="s">
        <v>348</v>
      </c>
      <c r="J393" t="s">
        <v>352</v>
      </c>
      <c r="K393" t="s">
        <v>18</v>
      </c>
      <c r="L393" t="s">
        <v>365</v>
      </c>
      <c r="M393">
        <f t="shared" si="19"/>
        <v>4</v>
      </c>
      <c r="N393">
        <f t="shared" si="20"/>
        <v>0.65489910913787197</v>
      </c>
      <c r="O393">
        <f t="shared" si="21"/>
        <v>6.3550350153288276E-2</v>
      </c>
    </row>
    <row r="394" spans="1:15">
      <c r="A394" t="s">
        <v>253</v>
      </c>
      <c r="B394" t="s">
        <v>344</v>
      </c>
      <c r="C394">
        <v>5.7599641640597998E-2</v>
      </c>
      <c r="D394" t="s">
        <v>345</v>
      </c>
      <c r="E394">
        <v>154.97116652920786</v>
      </c>
      <c r="F394" t="s">
        <v>245</v>
      </c>
      <c r="G394" t="s">
        <v>357</v>
      </c>
      <c r="H394" t="s">
        <v>352</v>
      </c>
      <c r="I394" t="s">
        <v>348</v>
      </c>
      <c r="J394" t="s">
        <v>352</v>
      </c>
      <c r="K394" t="s">
        <v>18</v>
      </c>
      <c r="L394" t="s">
        <v>365</v>
      </c>
      <c r="M394">
        <f t="shared" si="19"/>
        <v>4</v>
      </c>
      <c r="N394">
        <f t="shared" si="20"/>
        <v>0.23039856656239199</v>
      </c>
      <c r="O394">
        <f t="shared" si="21"/>
        <v>4.9590773289346524E-2</v>
      </c>
    </row>
    <row r="395" spans="1:15">
      <c r="A395" t="s">
        <v>253</v>
      </c>
      <c r="B395" t="s">
        <v>344</v>
      </c>
      <c r="C395">
        <v>0.24726522573453</v>
      </c>
      <c r="D395" t="s">
        <v>345</v>
      </c>
      <c r="E395">
        <v>742.0097165194494</v>
      </c>
      <c r="F395" t="s">
        <v>245</v>
      </c>
      <c r="G395" t="s">
        <v>357</v>
      </c>
      <c r="H395" t="s">
        <v>352</v>
      </c>
      <c r="I395" t="s">
        <v>348</v>
      </c>
      <c r="J395" t="s">
        <v>352</v>
      </c>
      <c r="K395" t="s">
        <v>18</v>
      </c>
      <c r="L395" t="s">
        <v>365</v>
      </c>
      <c r="M395">
        <f t="shared" si="19"/>
        <v>4</v>
      </c>
      <c r="N395">
        <f t="shared" si="20"/>
        <v>0.98906090293811999</v>
      </c>
      <c r="O395">
        <f t="shared" si="21"/>
        <v>0.23744310928622381</v>
      </c>
    </row>
    <row r="396" spans="1:15">
      <c r="A396" t="s">
        <v>253</v>
      </c>
      <c r="B396" t="s">
        <v>344</v>
      </c>
      <c r="C396">
        <v>3.5838727487599998E-3</v>
      </c>
      <c r="D396" t="s">
        <v>345</v>
      </c>
      <c r="E396">
        <v>34.715702960609818</v>
      </c>
      <c r="F396" t="s">
        <v>245</v>
      </c>
      <c r="G396" t="s">
        <v>357</v>
      </c>
      <c r="H396" t="s">
        <v>352</v>
      </c>
      <c r="I396" t="s">
        <v>348</v>
      </c>
      <c r="J396" t="s">
        <v>352</v>
      </c>
      <c r="K396" t="s">
        <v>18</v>
      </c>
      <c r="L396" t="s">
        <v>365</v>
      </c>
      <c r="M396">
        <f t="shared" si="19"/>
        <v>4</v>
      </c>
      <c r="N396">
        <f t="shared" si="20"/>
        <v>1.4335490995039999E-2</v>
      </c>
      <c r="O396">
        <f t="shared" si="21"/>
        <v>1.1109024947395142E-2</v>
      </c>
    </row>
    <row r="397" spans="1:15">
      <c r="A397" t="s">
        <v>253</v>
      </c>
      <c r="B397" t="s">
        <v>344</v>
      </c>
      <c r="C397">
        <v>0.185055932844365</v>
      </c>
      <c r="D397" t="s">
        <v>345</v>
      </c>
      <c r="E397">
        <v>323.81671118377056</v>
      </c>
      <c r="F397" t="s">
        <v>245</v>
      </c>
      <c r="G397" t="s">
        <v>357</v>
      </c>
      <c r="H397" t="s">
        <v>352</v>
      </c>
      <c r="I397" t="s">
        <v>348</v>
      </c>
      <c r="J397" t="s">
        <v>352</v>
      </c>
      <c r="K397" t="s">
        <v>18</v>
      </c>
      <c r="L397" t="s">
        <v>365</v>
      </c>
      <c r="M397">
        <f t="shared" si="19"/>
        <v>4</v>
      </c>
      <c r="N397">
        <f t="shared" si="20"/>
        <v>0.74022373137746</v>
      </c>
      <c r="O397">
        <f t="shared" si="21"/>
        <v>0.10362134757880657</v>
      </c>
    </row>
    <row r="398" spans="1:15">
      <c r="A398" t="s">
        <v>253</v>
      </c>
      <c r="B398" t="s">
        <v>344</v>
      </c>
      <c r="C398">
        <v>4.1450215688851003E-2</v>
      </c>
      <c r="D398" t="s">
        <v>345</v>
      </c>
      <c r="E398">
        <v>96.067865271294579</v>
      </c>
      <c r="F398" t="s">
        <v>245</v>
      </c>
      <c r="G398" t="s">
        <v>357</v>
      </c>
      <c r="H398" t="s">
        <v>352</v>
      </c>
      <c r="I398" t="s">
        <v>348</v>
      </c>
      <c r="J398" t="s">
        <v>352</v>
      </c>
      <c r="K398" t="s">
        <v>18</v>
      </c>
      <c r="L398" t="s">
        <v>365</v>
      </c>
      <c r="M398">
        <f t="shared" si="19"/>
        <v>4</v>
      </c>
      <c r="N398">
        <f t="shared" si="20"/>
        <v>0.16580086275540401</v>
      </c>
      <c r="O398">
        <f t="shared" si="21"/>
        <v>3.0741716886814267E-2</v>
      </c>
    </row>
    <row r="399" spans="1:15">
      <c r="A399" t="s">
        <v>256</v>
      </c>
      <c r="B399" t="s">
        <v>344</v>
      </c>
      <c r="C399">
        <v>0.160452119895169</v>
      </c>
      <c r="D399" t="s">
        <v>345</v>
      </c>
      <c r="E399">
        <v>574.85664851200454</v>
      </c>
      <c r="F399" t="s">
        <v>245</v>
      </c>
      <c r="G399" t="s">
        <v>357</v>
      </c>
      <c r="H399" t="s">
        <v>358</v>
      </c>
      <c r="I399" t="s">
        <v>348</v>
      </c>
      <c r="J399" t="s">
        <v>358</v>
      </c>
      <c r="K399" t="s">
        <v>119</v>
      </c>
      <c r="L399" t="s">
        <v>365</v>
      </c>
      <c r="M399">
        <f t="shared" si="19"/>
        <v>4</v>
      </c>
      <c r="N399">
        <f t="shared" si="20"/>
        <v>0.64180847958067599</v>
      </c>
      <c r="O399">
        <f t="shared" si="21"/>
        <v>0.18395412752384147</v>
      </c>
    </row>
    <row r="400" spans="1:15">
      <c r="A400" t="s">
        <v>256</v>
      </c>
      <c r="B400" t="s">
        <v>344</v>
      </c>
      <c r="C400">
        <v>8.9404111223590002E-3</v>
      </c>
      <c r="D400" t="s">
        <v>345</v>
      </c>
      <c r="E400">
        <v>45.177487118399235</v>
      </c>
      <c r="F400" t="s">
        <v>245</v>
      </c>
      <c r="G400" t="s">
        <v>357</v>
      </c>
      <c r="H400" t="s">
        <v>358</v>
      </c>
      <c r="I400" t="s">
        <v>348</v>
      </c>
      <c r="J400" t="s">
        <v>358</v>
      </c>
      <c r="K400" t="s">
        <v>119</v>
      </c>
      <c r="L400" t="s">
        <v>365</v>
      </c>
      <c r="M400">
        <f t="shared" si="19"/>
        <v>4</v>
      </c>
      <c r="N400">
        <f t="shared" si="20"/>
        <v>3.5761644489436001E-2</v>
      </c>
      <c r="O400">
        <f t="shared" si="21"/>
        <v>1.4456795877887757E-2</v>
      </c>
    </row>
    <row r="401" spans="1:15">
      <c r="A401" t="s">
        <v>256</v>
      </c>
      <c r="B401" t="s">
        <v>344</v>
      </c>
      <c r="C401">
        <v>0.234557511848448</v>
      </c>
      <c r="D401" t="s">
        <v>345</v>
      </c>
      <c r="E401">
        <v>359.61801282441871</v>
      </c>
      <c r="F401" t="s">
        <v>245</v>
      </c>
      <c r="G401" t="s">
        <v>357</v>
      </c>
      <c r="H401" t="s">
        <v>358</v>
      </c>
      <c r="I401" t="s">
        <v>348</v>
      </c>
      <c r="J401" t="s">
        <v>358</v>
      </c>
      <c r="K401" t="s">
        <v>119</v>
      </c>
      <c r="L401" t="s">
        <v>365</v>
      </c>
      <c r="M401">
        <f t="shared" si="19"/>
        <v>4</v>
      </c>
      <c r="N401">
        <f t="shared" si="20"/>
        <v>0.93823004739379201</v>
      </c>
      <c r="O401">
        <f t="shared" si="21"/>
        <v>0.115077764103814</v>
      </c>
    </row>
    <row r="402" spans="1:15">
      <c r="A402" t="s">
        <v>256</v>
      </c>
      <c r="B402" t="s">
        <v>344</v>
      </c>
      <c r="C402">
        <v>0.84339474897158495</v>
      </c>
      <c r="D402" t="s">
        <v>345</v>
      </c>
      <c r="E402">
        <v>2512.6568417072453</v>
      </c>
      <c r="F402" t="s">
        <v>245</v>
      </c>
      <c r="G402" t="s">
        <v>357</v>
      </c>
      <c r="H402" t="s">
        <v>358</v>
      </c>
      <c r="I402" t="s">
        <v>348</v>
      </c>
      <c r="J402" t="s">
        <v>358</v>
      </c>
      <c r="K402" t="s">
        <v>119</v>
      </c>
      <c r="L402" t="s">
        <v>365</v>
      </c>
      <c r="M402">
        <f t="shared" si="19"/>
        <v>4</v>
      </c>
      <c r="N402">
        <f t="shared" si="20"/>
        <v>3.3735789958863398</v>
      </c>
      <c r="O402">
        <f t="shared" si="21"/>
        <v>0.80405018934631856</v>
      </c>
    </row>
    <row r="403" spans="1:15">
      <c r="A403" t="s">
        <v>256</v>
      </c>
      <c r="B403" t="s">
        <v>344</v>
      </c>
      <c r="C403">
        <v>0.161593246509116</v>
      </c>
      <c r="D403" t="s">
        <v>345</v>
      </c>
      <c r="E403">
        <v>168.34525463469316</v>
      </c>
      <c r="F403" t="s">
        <v>245</v>
      </c>
      <c r="G403" t="s">
        <v>357</v>
      </c>
      <c r="H403" t="s">
        <v>358</v>
      </c>
      <c r="I403" t="s">
        <v>348</v>
      </c>
      <c r="J403" t="s">
        <v>358</v>
      </c>
      <c r="K403" t="s">
        <v>119</v>
      </c>
      <c r="L403" t="s">
        <v>365</v>
      </c>
      <c r="M403">
        <f t="shared" si="19"/>
        <v>4</v>
      </c>
      <c r="N403">
        <f t="shared" si="20"/>
        <v>0.64637298603646398</v>
      </c>
      <c r="O403">
        <f t="shared" si="21"/>
        <v>5.3870481483101806E-2</v>
      </c>
    </row>
    <row r="404" spans="1:15">
      <c r="A404" t="s">
        <v>253</v>
      </c>
      <c r="B404" t="s">
        <v>344</v>
      </c>
      <c r="C404">
        <v>0.11304338687844399</v>
      </c>
      <c r="D404" t="s">
        <v>345</v>
      </c>
      <c r="E404">
        <v>305.93543572774507</v>
      </c>
      <c r="F404" t="s">
        <v>245</v>
      </c>
      <c r="G404" t="s">
        <v>357</v>
      </c>
      <c r="H404" t="s">
        <v>352</v>
      </c>
      <c r="I404" t="s">
        <v>348</v>
      </c>
      <c r="J404" t="s">
        <v>352</v>
      </c>
      <c r="K404" t="s">
        <v>18</v>
      </c>
      <c r="L404" t="s">
        <v>365</v>
      </c>
      <c r="M404">
        <f t="shared" si="19"/>
        <v>4</v>
      </c>
      <c r="N404">
        <f t="shared" si="20"/>
        <v>0.45217354751377598</v>
      </c>
      <c r="O404">
        <f t="shared" si="21"/>
        <v>9.7899339432878429E-2</v>
      </c>
    </row>
    <row r="405" spans="1:15">
      <c r="A405" t="s">
        <v>34</v>
      </c>
      <c r="B405" t="s">
        <v>344</v>
      </c>
      <c r="C405">
        <v>0.13612613764829801</v>
      </c>
      <c r="D405" t="s">
        <v>345</v>
      </c>
      <c r="E405">
        <v>398.58004906059131</v>
      </c>
      <c r="F405" t="s">
        <v>245</v>
      </c>
      <c r="G405" t="s">
        <v>357</v>
      </c>
      <c r="H405" t="s">
        <v>352</v>
      </c>
      <c r="I405" t="s">
        <v>348</v>
      </c>
      <c r="J405" t="s">
        <v>352</v>
      </c>
      <c r="K405" t="s">
        <v>18</v>
      </c>
      <c r="L405" t="s">
        <v>365</v>
      </c>
      <c r="M405">
        <f t="shared" si="19"/>
        <v>4</v>
      </c>
      <c r="N405">
        <f t="shared" si="20"/>
        <v>0.54450455059319203</v>
      </c>
      <c r="O405">
        <f t="shared" si="21"/>
        <v>0.12754561569938924</v>
      </c>
    </row>
    <row r="406" spans="1:15">
      <c r="A406" t="s">
        <v>175</v>
      </c>
      <c r="B406" t="s">
        <v>344</v>
      </c>
      <c r="C406">
        <v>0.17056313150872399</v>
      </c>
      <c r="D406" t="s">
        <v>345</v>
      </c>
      <c r="E406">
        <v>2036.0255783026041</v>
      </c>
      <c r="F406" t="s">
        <v>245</v>
      </c>
      <c r="G406" t="s">
        <v>357</v>
      </c>
      <c r="H406" t="s">
        <v>356</v>
      </c>
      <c r="I406" t="s">
        <v>348</v>
      </c>
      <c r="J406" t="s">
        <v>356</v>
      </c>
      <c r="K406" t="s">
        <v>176</v>
      </c>
      <c r="L406" t="s">
        <v>365</v>
      </c>
      <c r="M406">
        <f t="shared" si="19"/>
        <v>4</v>
      </c>
      <c r="N406">
        <f t="shared" si="20"/>
        <v>0.68225252603489595</v>
      </c>
      <c r="O406">
        <f t="shared" si="21"/>
        <v>0.65152818505683341</v>
      </c>
    </row>
    <row r="407" spans="1:15">
      <c r="A407" t="s">
        <v>57</v>
      </c>
      <c r="B407" t="s">
        <v>344</v>
      </c>
      <c r="C407">
        <v>0.123022812568174</v>
      </c>
      <c r="D407" t="s">
        <v>345</v>
      </c>
      <c r="E407">
        <v>306.49617268078663</v>
      </c>
      <c r="F407" t="s">
        <v>245</v>
      </c>
      <c r="G407" t="s">
        <v>357</v>
      </c>
      <c r="H407" t="s">
        <v>347</v>
      </c>
      <c r="I407" t="s">
        <v>348</v>
      </c>
      <c r="J407" t="s">
        <v>347</v>
      </c>
      <c r="K407" t="s">
        <v>61</v>
      </c>
      <c r="L407" t="s">
        <v>365</v>
      </c>
      <c r="M407">
        <f t="shared" si="19"/>
        <v>4</v>
      </c>
      <c r="N407">
        <f t="shared" si="20"/>
        <v>0.49209125027269601</v>
      </c>
      <c r="O407">
        <f t="shared" si="21"/>
        <v>9.8078775257851719E-2</v>
      </c>
    </row>
    <row r="408" spans="1:15">
      <c r="A408" t="s">
        <v>44</v>
      </c>
      <c r="B408" t="s">
        <v>344</v>
      </c>
      <c r="C408">
        <v>8.2293113923104996E-2</v>
      </c>
      <c r="D408" t="s">
        <v>345</v>
      </c>
      <c r="E408">
        <v>263.7534326522582</v>
      </c>
      <c r="F408" t="s">
        <v>245</v>
      </c>
      <c r="G408" t="s">
        <v>357</v>
      </c>
      <c r="H408" t="s">
        <v>352</v>
      </c>
      <c r="I408" t="s">
        <v>348</v>
      </c>
      <c r="J408" t="s">
        <v>352</v>
      </c>
      <c r="K408" t="s">
        <v>18</v>
      </c>
      <c r="L408" t="s">
        <v>365</v>
      </c>
      <c r="M408">
        <f t="shared" si="19"/>
        <v>4</v>
      </c>
      <c r="N408">
        <f t="shared" si="20"/>
        <v>0.32917245569241999</v>
      </c>
      <c r="O408">
        <f t="shared" si="21"/>
        <v>8.4401098448722636E-2</v>
      </c>
    </row>
    <row r="409" spans="1:15">
      <c r="A409" t="s">
        <v>264</v>
      </c>
      <c r="B409" t="s">
        <v>344</v>
      </c>
      <c r="C409">
        <v>0.240616192854996</v>
      </c>
      <c r="D409" t="s">
        <v>345</v>
      </c>
      <c r="E409">
        <v>211.5913509083444</v>
      </c>
      <c r="F409" t="s">
        <v>245</v>
      </c>
      <c r="G409" t="s">
        <v>346</v>
      </c>
      <c r="H409" t="s">
        <v>358</v>
      </c>
      <c r="I409" t="s">
        <v>348</v>
      </c>
      <c r="J409" t="s">
        <v>358</v>
      </c>
      <c r="K409" t="s">
        <v>119</v>
      </c>
      <c r="L409" t="s">
        <v>365</v>
      </c>
      <c r="M409">
        <f t="shared" si="19"/>
        <v>4</v>
      </c>
      <c r="N409">
        <f t="shared" si="20"/>
        <v>0.96246477141998399</v>
      </c>
      <c r="O409">
        <f t="shared" si="21"/>
        <v>6.7709232290670204E-2</v>
      </c>
    </row>
    <row r="410" spans="1:15">
      <c r="A410" t="s">
        <v>314</v>
      </c>
      <c r="B410" t="s">
        <v>139</v>
      </c>
      <c r="C410">
        <v>9.2311136222035003E-2</v>
      </c>
      <c r="D410" t="s">
        <v>350</v>
      </c>
      <c r="E410">
        <v>132.09994050363287</v>
      </c>
      <c r="F410" t="s">
        <v>245</v>
      </c>
      <c r="G410" t="s">
        <v>346</v>
      </c>
      <c r="H410" t="s">
        <v>351</v>
      </c>
      <c r="I410" t="s">
        <v>348</v>
      </c>
      <c r="J410" t="s">
        <v>351</v>
      </c>
      <c r="K410" t="s">
        <v>12</v>
      </c>
      <c r="L410" t="s">
        <v>365</v>
      </c>
      <c r="M410">
        <f t="shared" si="19"/>
        <v>12</v>
      </c>
      <c r="N410">
        <f t="shared" si="20"/>
        <v>1.10773363466442</v>
      </c>
      <c r="O410">
        <f t="shared" si="21"/>
        <v>0.12681594288348755</v>
      </c>
    </row>
    <row r="411" spans="1:15">
      <c r="A411" t="s">
        <v>309</v>
      </c>
      <c r="B411" t="s">
        <v>353</v>
      </c>
      <c r="C411">
        <v>0.125671682392582</v>
      </c>
      <c r="D411" t="s">
        <v>345</v>
      </c>
      <c r="E411">
        <v>150.74913803627325</v>
      </c>
      <c r="F411" t="s">
        <v>245</v>
      </c>
      <c r="G411" t="s">
        <v>346</v>
      </c>
      <c r="H411" t="s">
        <v>351</v>
      </c>
      <c r="I411" t="s">
        <v>348</v>
      </c>
      <c r="J411" t="s">
        <v>351</v>
      </c>
      <c r="K411" t="s">
        <v>12</v>
      </c>
      <c r="L411" t="s">
        <v>365</v>
      </c>
      <c r="M411">
        <f t="shared" si="19"/>
        <v>4</v>
      </c>
      <c r="N411">
        <f t="shared" si="20"/>
        <v>0.50268672957032801</v>
      </c>
      <c r="O411">
        <f t="shared" si="21"/>
        <v>4.8239724171607441E-2</v>
      </c>
    </row>
    <row r="412" spans="1:15">
      <c r="A412" t="s">
        <v>292</v>
      </c>
      <c r="B412" t="s">
        <v>353</v>
      </c>
      <c r="C412">
        <v>1.668351699136599</v>
      </c>
      <c r="D412" t="s">
        <v>345</v>
      </c>
      <c r="E412">
        <v>528.43798668723628</v>
      </c>
      <c r="F412" t="s">
        <v>245</v>
      </c>
      <c r="G412" t="s">
        <v>346</v>
      </c>
      <c r="H412" t="s">
        <v>351</v>
      </c>
      <c r="I412" t="s">
        <v>348</v>
      </c>
      <c r="J412" t="s">
        <v>351</v>
      </c>
      <c r="K412" t="s">
        <v>12</v>
      </c>
      <c r="L412" t="s">
        <v>365</v>
      </c>
      <c r="M412">
        <f t="shared" si="19"/>
        <v>4</v>
      </c>
      <c r="N412">
        <f t="shared" si="20"/>
        <v>6.6734067965463959</v>
      </c>
      <c r="O412">
        <f t="shared" si="21"/>
        <v>0.1691001557399156</v>
      </c>
    </row>
    <row r="413" spans="1:15">
      <c r="A413" t="s">
        <v>319</v>
      </c>
      <c r="B413" t="s">
        <v>353</v>
      </c>
      <c r="C413">
        <v>1.012485911176356</v>
      </c>
      <c r="D413" t="s">
        <v>345</v>
      </c>
      <c r="E413">
        <v>448.31519622111341</v>
      </c>
      <c r="F413" t="s">
        <v>245</v>
      </c>
      <c r="G413" t="s">
        <v>346</v>
      </c>
      <c r="H413" t="s">
        <v>351</v>
      </c>
      <c r="I413" t="s">
        <v>348</v>
      </c>
      <c r="J413" t="s">
        <v>351</v>
      </c>
      <c r="K413" t="s">
        <v>12</v>
      </c>
      <c r="L413" t="s">
        <v>365</v>
      </c>
      <c r="M413">
        <f t="shared" si="19"/>
        <v>4</v>
      </c>
      <c r="N413">
        <f t="shared" si="20"/>
        <v>4.049943644705424</v>
      </c>
      <c r="O413">
        <f t="shared" si="21"/>
        <v>0.14346086279075629</v>
      </c>
    </row>
    <row r="414" spans="1:15">
      <c r="A414" t="s">
        <v>291</v>
      </c>
      <c r="B414" t="s">
        <v>353</v>
      </c>
      <c r="C414">
        <v>0.50560277517268104</v>
      </c>
      <c r="D414" t="s">
        <v>345</v>
      </c>
      <c r="E414">
        <v>825.55913527646385</v>
      </c>
      <c r="F414" t="s">
        <v>245</v>
      </c>
      <c r="G414" t="s">
        <v>346</v>
      </c>
      <c r="H414" t="s">
        <v>352</v>
      </c>
      <c r="I414" t="s">
        <v>348</v>
      </c>
      <c r="J414" t="s">
        <v>352</v>
      </c>
      <c r="K414" t="s">
        <v>18</v>
      </c>
      <c r="L414" t="s">
        <v>365</v>
      </c>
      <c r="M414">
        <f t="shared" si="19"/>
        <v>4</v>
      </c>
      <c r="N414">
        <f t="shared" si="20"/>
        <v>2.0224111006907242</v>
      </c>
      <c r="O414">
        <f t="shared" si="21"/>
        <v>0.26417892328846848</v>
      </c>
    </row>
    <row r="415" spans="1:15">
      <c r="A415" t="s">
        <v>305</v>
      </c>
      <c r="B415" t="s">
        <v>353</v>
      </c>
      <c r="C415">
        <v>0.115462693978116</v>
      </c>
      <c r="D415" t="s">
        <v>345</v>
      </c>
      <c r="E415">
        <v>133.33104203095678</v>
      </c>
      <c r="F415" t="s">
        <v>245</v>
      </c>
      <c r="G415" t="s">
        <v>346</v>
      </c>
      <c r="H415" t="s">
        <v>352</v>
      </c>
      <c r="I415" t="s">
        <v>348</v>
      </c>
      <c r="J415" t="s">
        <v>352</v>
      </c>
      <c r="K415" t="s">
        <v>18</v>
      </c>
      <c r="L415" t="s">
        <v>365</v>
      </c>
      <c r="M415">
        <f t="shared" si="19"/>
        <v>4</v>
      </c>
      <c r="N415">
        <f t="shared" si="20"/>
        <v>0.46185077591246398</v>
      </c>
      <c r="O415">
        <f t="shared" si="21"/>
        <v>4.2665933449906171E-2</v>
      </c>
    </row>
    <row r="416" spans="1:15">
      <c r="A416" t="s">
        <v>315</v>
      </c>
      <c r="B416" t="s">
        <v>353</v>
      </c>
      <c r="C416">
        <v>0.80208362031186298</v>
      </c>
      <c r="D416" t="s">
        <v>355</v>
      </c>
      <c r="E416">
        <v>360.11732225941205</v>
      </c>
      <c r="F416" t="s">
        <v>245</v>
      </c>
      <c r="G416" t="s">
        <v>346</v>
      </c>
      <c r="H416" t="s">
        <v>351</v>
      </c>
      <c r="I416" t="s">
        <v>348</v>
      </c>
      <c r="J416" t="s">
        <v>351</v>
      </c>
      <c r="K416" t="s">
        <v>12</v>
      </c>
      <c r="L416" t="s">
        <v>365</v>
      </c>
      <c r="M416">
        <f t="shared" si="19"/>
        <v>6</v>
      </c>
      <c r="N416">
        <f t="shared" si="20"/>
        <v>4.8125017218711781</v>
      </c>
      <c r="O416">
        <f t="shared" si="21"/>
        <v>0.17285631468451779</v>
      </c>
    </row>
    <row r="417" spans="1:15">
      <c r="A417" t="s">
        <v>129</v>
      </c>
      <c r="B417" t="s">
        <v>353</v>
      </c>
      <c r="C417">
        <v>0.30606364373874501</v>
      </c>
      <c r="D417" t="s">
        <v>345</v>
      </c>
      <c r="E417">
        <v>888.13091436370314</v>
      </c>
      <c r="F417" t="s">
        <v>245</v>
      </c>
      <c r="G417" t="s">
        <v>357</v>
      </c>
      <c r="H417" t="s">
        <v>347</v>
      </c>
      <c r="I417" t="s">
        <v>348</v>
      </c>
      <c r="J417" t="s">
        <v>347</v>
      </c>
      <c r="K417" t="s">
        <v>61</v>
      </c>
      <c r="L417" t="s">
        <v>365</v>
      </c>
      <c r="M417">
        <f t="shared" si="19"/>
        <v>4</v>
      </c>
      <c r="N417">
        <f t="shared" si="20"/>
        <v>1.22425457495498</v>
      </c>
      <c r="O417">
        <f t="shared" si="21"/>
        <v>0.28420189259638501</v>
      </c>
    </row>
    <row r="418" spans="1:15">
      <c r="A418" t="s">
        <v>329</v>
      </c>
      <c r="B418" t="s">
        <v>353</v>
      </c>
      <c r="C418">
        <v>0.35073215198781099</v>
      </c>
      <c r="D418" t="s">
        <v>345</v>
      </c>
      <c r="E418">
        <v>331.27127930788834</v>
      </c>
      <c r="F418" t="s">
        <v>245</v>
      </c>
      <c r="G418" t="s">
        <v>346</v>
      </c>
      <c r="H418" t="s">
        <v>347</v>
      </c>
      <c r="I418" t="s">
        <v>348</v>
      </c>
      <c r="J418" t="s">
        <v>347</v>
      </c>
      <c r="K418" t="s">
        <v>61</v>
      </c>
      <c r="L418" t="s">
        <v>365</v>
      </c>
      <c r="M418">
        <f t="shared" si="19"/>
        <v>4</v>
      </c>
      <c r="N418">
        <f t="shared" si="20"/>
        <v>1.402928607951244</v>
      </c>
      <c r="O418">
        <f t="shared" si="21"/>
        <v>0.10600680937852427</v>
      </c>
    </row>
    <row r="419" spans="1:15">
      <c r="A419" t="s">
        <v>376</v>
      </c>
      <c r="B419" t="s">
        <v>353</v>
      </c>
      <c r="C419">
        <v>0.18529027408599999</v>
      </c>
      <c r="D419" t="s">
        <v>345</v>
      </c>
      <c r="E419">
        <v>263.35718137923317</v>
      </c>
      <c r="F419" t="s">
        <v>245</v>
      </c>
      <c r="G419" t="s">
        <v>346</v>
      </c>
      <c r="H419" t="s">
        <v>347</v>
      </c>
      <c r="I419" t="s">
        <v>348</v>
      </c>
      <c r="J419" t="s">
        <v>347</v>
      </c>
      <c r="K419" t="s">
        <v>61</v>
      </c>
      <c r="L419" t="s">
        <v>365</v>
      </c>
      <c r="M419">
        <f t="shared" si="19"/>
        <v>4</v>
      </c>
      <c r="N419">
        <f t="shared" si="20"/>
        <v>0.74116109634399996</v>
      </c>
      <c r="O419">
        <f t="shared" si="21"/>
        <v>8.4274298041354626E-2</v>
      </c>
    </row>
    <row r="420" spans="1:15">
      <c r="A420" t="s">
        <v>376</v>
      </c>
      <c r="B420" t="s">
        <v>353</v>
      </c>
      <c r="C420">
        <v>0.10225562554793401</v>
      </c>
      <c r="D420" t="s">
        <v>345</v>
      </c>
      <c r="E420">
        <v>128.17671178194587</v>
      </c>
      <c r="F420" t="s">
        <v>245</v>
      </c>
      <c r="G420" t="s">
        <v>346</v>
      </c>
      <c r="H420" t="s">
        <v>347</v>
      </c>
      <c r="I420" t="s">
        <v>348</v>
      </c>
      <c r="J420" t="s">
        <v>347</v>
      </c>
      <c r="K420" t="s">
        <v>61</v>
      </c>
      <c r="L420" t="s">
        <v>365</v>
      </c>
      <c r="M420">
        <f t="shared" si="19"/>
        <v>4</v>
      </c>
      <c r="N420">
        <f t="shared" si="20"/>
        <v>0.40902250219173603</v>
      </c>
      <c r="O420">
        <f t="shared" si="21"/>
        <v>4.1016547770222678E-2</v>
      </c>
    </row>
    <row r="421" spans="1:15">
      <c r="A421" t="s">
        <v>289</v>
      </c>
      <c r="B421" t="s">
        <v>344</v>
      </c>
      <c r="C421">
        <v>4.9579846492858001E-2</v>
      </c>
      <c r="D421" t="s">
        <v>345</v>
      </c>
      <c r="E421">
        <v>151.19571906916053</v>
      </c>
      <c r="F421" t="s">
        <v>245</v>
      </c>
      <c r="G421" t="s">
        <v>346</v>
      </c>
      <c r="H421" t="s">
        <v>347</v>
      </c>
      <c r="I421" t="s">
        <v>348</v>
      </c>
      <c r="J421" t="s">
        <v>347</v>
      </c>
      <c r="K421" t="s">
        <v>61</v>
      </c>
      <c r="L421" t="s">
        <v>365</v>
      </c>
      <c r="M421">
        <f t="shared" si="19"/>
        <v>4</v>
      </c>
      <c r="N421">
        <f t="shared" si="20"/>
        <v>0.19831938597143201</v>
      </c>
      <c r="O421">
        <f t="shared" si="21"/>
        <v>4.8382630102131376E-2</v>
      </c>
    </row>
    <row r="422" spans="1:15">
      <c r="A422" t="s">
        <v>123</v>
      </c>
      <c r="B422" t="s">
        <v>353</v>
      </c>
      <c r="C422">
        <v>3.3951801027925999E-2</v>
      </c>
      <c r="D422" t="s">
        <v>345</v>
      </c>
      <c r="E422">
        <v>87.419954998225535</v>
      </c>
      <c r="F422" t="s">
        <v>245</v>
      </c>
      <c r="G422" t="s">
        <v>357</v>
      </c>
      <c r="H422" t="s">
        <v>358</v>
      </c>
      <c r="I422" t="s">
        <v>348</v>
      </c>
      <c r="J422" t="s">
        <v>358</v>
      </c>
      <c r="K422" t="s">
        <v>119</v>
      </c>
      <c r="L422" t="s">
        <v>365</v>
      </c>
      <c r="M422">
        <f t="shared" si="19"/>
        <v>4</v>
      </c>
      <c r="N422">
        <f t="shared" si="20"/>
        <v>0.13580720411170399</v>
      </c>
      <c r="O422">
        <f t="shared" si="21"/>
        <v>2.7974385599432175E-2</v>
      </c>
    </row>
    <row r="423" spans="1:15">
      <c r="A423" t="s">
        <v>123</v>
      </c>
      <c r="B423" t="s">
        <v>353</v>
      </c>
      <c r="C423">
        <v>9.4495359286279994E-3</v>
      </c>
      <c r="D423" t="s">
        <v>345</v>
      </c>
      <c r="E423">
        <v>57.719194722987964</v>
      </c>
      <c r="F423" t="s">
        <v>245</v>
      </c>
      <c r="G423" t="s">
        <v>357</v>
      </c>
      <c r="H423" t="s">
        <v>358</v>
      </c>
      <c r="I423" t="s">
        <v>348</v>
      </c>
      <c r="J423" t="s">
        <v>358</v>
      </c>
      <c r="K423" t="s">
        <v>119</v>
      </c>
      <c r="L423" t="s">
        <v>365</v>
      </c>
      <c r="M423">
        <f t="shared" si="19"/>
        <v>4</v>
      </c>
      <c r="N423">
        <f t="shared" si="20"/>
        <v>3.7798143714511998E-2</v>
      </c>
      <c r="O423">
        <f t="shared" si="21"/>
        <v>1.8470142311356151E-2</v>
      </c>
    </row>
    <row r="424" spans="1:15">
      <c r="A424" t="s">
        <v>303</v>
      </c>
      <c r="B424" t="s">
        <v>353</v>
      </c>
      <c r="C424">
        <v>0.10151523463015</v>
      </c>
      <c r="D424" t="s">
        <v>345</v>
      </c>
      <c r="E424">
        <v>128.13989407399416</v>
      </c>
      <c r="F424" t="s">
        <v>245</v>
      </c>
      <c r="G424" t="s">
        <v>346</v>
      </c>
      <c r="H424" t="s">
        <v>358</v>
      </c>
      <c r="I424" t="s">
        <v>348</v>
      </c>
      <c r="J424" t="s">
        <v>358</v>
      </c>
      <c r="K424" t="s">
        <v>119</v>
      </c>
      <c r="L424" t="s">
        <v>365</v>
      </c>
      <c r="M424">
        <f t="shared" si="19"/>
        <v>4</v>
      </c>
      <c r="N424">
        <f t="shared" si="20"/>
        <v>0.40606093852059999</v>
      </c>
      <c r="O424">
        <f t="shared" si="21"/>
        <v>4.1004766103678134E-2</v>
      </c>
    </row>
    <row r="425" spans="1:15">
      <c r="A425" t="s">
        <v>279</v>
      </c>
      <c r="B425" t="s">
        <v>344</v>
      </c>
      <c r="C425">
        <v>0.435314962452864</v>
      </c>
      <c r="D425" t="s">
        <v>345</v>
      </c>
      <c r="E425">
        <v>275.58321959323075</v>
      </c>
      <c r="F425" t="s">
        <v>268</v>
      </c>
      <c r="G425" t="s">
        <v>346</v>
      </c>
      <c r="H425" t="s">
        <v>362</v>
      </c>
      <c r="I425" t="s">
        <v>348</v>
      </c>
      <c r="J425" t="s">
        <v>362</v>
      </c>
      <c r="K425" t="s">
        <v>362</v>
      </c>
      <c r="L425" t="s">
        <v>365</v>
      </c>
      <c r="M425">
        <f t="shared" si="19"/>
        <v>4</v>
      </c>
      <c r="N425">
        <f t="shared" si="20"/>
        <v>1.741259849811456</v>
      </c>
      <c r="O425">
        <f t="shared" si="21"/>
        <v>8.8186630269833852E-2</v>
      </c>
    </row>
    <row r="426" spans="1:15">
      <c r="A426" t="s">
        <v>284</v>
      </c>
      <c r="B426" t="s">
        <v>344</v>
      </c>
      <c r="C426">
        <v>0.50363797666730903</v>
      </c>
      <c r="D426" t="s">
        <v>345</v>
      </c>
      <c r="E426">
        <v>577.09772622676644</v>
      </c>
      <c r="F426" t="s">
        <v>245</v>
      </c>
      <c r="G426" t="s">
        <v>346</v>
      </c>
      <c r="H426" t="s">
        <v>358</v>
      </c>
      <c r="I426" t="s">
        <v>348</v>
      </c>
      <c r="J426" t="s">
        <v>358</v>
      </c>
      <c r="K426" t="s">
        <v>119</v>
      </c>
      <c r="L426" t="s">
        <v>365</v>
      </c>
      <c r="M426">
        <f t="shared" si="19"/>
        <v>4</v>
      </c>
      <c r="N426">
        <f t="shared" si="20"/>
        <v>2.0145519066692361</v>
      </c>
      <c r="O426">
        <f t="shared" si="21"/>
        <v>0.18467127239256526</v>
      </c>
    </row>
    <row r="427" spans="1:15">
      <c r="A427" t="s">
        <v>34</v>
      </c>
      <c r="B427" t="s">
        <v>353</v>
      </c>
      <c r="C427">
        <v>1.5656864963322002E-2</v>
      </c>
      <c r="D427" t="s">
        <v>345</v>
      </c>
      <c r="E427">
        <v>73.629733501986465</v>
      </c>
      <c r="F427" t="s">
        <v>245</v>
      </c>
      <c r="G427" t="s">
        <v>357</v>
      </c>
      <c r="H427" t="s">
        <v>352</v>
      </c>
      <c r="I427" t="s">
        <v>348</v>
      </c>
      <c r="J427" t="s">
        <v>352</v>
      </c>
      <c r="K427" t="s">
        <v>18</v>
      </c>
      <c r="L427" t="s">
        <v>365</v>
      </c>
      <c r="M427">
        <f t="shared" si="19"/>
        <v>4</v>
      </c>
      <c r="N427">
        <f t="shared" si="20"/>
        <v>6.2627459853288006E-2</v>
      </c>
      <c r="O427">
        <f t="shared" si="21"/>
        <v>2.3561514720635671E-2</v>
      </c>
    </row>
    <row r="428" spans="1:15">
      <c r="A428" t="s">
        <v>77</v>
      </c>
      <c r="B428" t="s">
        <v>344</v>
      </c>
      <c r="C428">
        <v>4.8190179275169999E-3</v>
      </c>
      <c r="D428" t="s">
        <v>345</v>
      </c>
      <c r="E428">
        <v>29.810187195001362</v>
      </c>
      <c r="F428" t="s">
        <v>245</v>
      </c>
      <c r="G428" t="s">
        <v>357</v>
      </c>
      <c r="H428" t="s">
        <v>351</v>
      </c>
      <c r="I428" t="s">
        <v>348</v>
      </c>
      <c r="J428" t="s">
        <v>351</v>
      </c>
      <c r="K428" t="s">
        <v>12</v>
      </c>
      <c r="L428" t="s">
        <v>365</v>
      </c>
      <c r="M428">
        <f t="shared" si="19"/>
        <v>4</v>
      </c>
      <c r="N428">
        <f t="shared" si="20"/>
        <v>1.9276071710068E-2</v>
      </c>
      <c r="O428">
        <f t="shared" si="21"/>
        <v>9.5392599024004369E-3</v>
      </c>
    </row>
    <row r="429" spans="1:15">
      <c r="A429" t="s">
        <v>324</v>
      </c>
      <c r="B429" t="s">
        <v>139</v>
      </c>
      <c r="C429">
        <v>0.14905125191257601</v>
      </c>
      <c r="D429" t="s">
        <v>350</v>
      </c>
      <c r="E429">
        <v>309.61197532166267</v>
      </c>
      <c r="F429" t="s">
        <v>245</v>
      </c>
      <c r="G429" t="s">
        <v>346</v>
      </c>
      <c r="H429" t="s">
        <v>347</v>
      </c>
      <c r="I429" t="s">
        <v>348</v>
      </c>
      <c r="J429" t="s">
        <v>347</v>
      </c>
      <c r="K429" t="s">
        <v>61</v>
      </c>
      <c r="L429" t="s">
        <v>365</v>
      </c>
      <c r="M429">
        <f t="shared" si="19"/>
        <v>12</v>
      </c>
      <c r="N429">
        <f t="shared" si="20"/>
        <v>1.7886150229509121</v>
      </c>
      <c r="O429">
        <f t="shared" si="21"/>
        <v>0.29722749630879619</v>
      </c>
    </row>
    <row r="430" spans="1:15">
      <c r="A430" t="s">
        <v>324</v>
      </c>
      <c r="B430" t="s">
        <v>139</v>
      </c>
      <c r="C430">
        <v>3.7631529075799999E-3</v>
      </c>
      <c r="D430" t="s">
        <v>350</v>
      </c>
      <c r="E430">
        <v>31.087617856139751</v>
      </c>
      <c r="F430" t="s">
        <v>245</v>
      </c>
      <c r="G430" t="s">
        <v>346</v>
      </c>
      <c r="H430" t="s">
        <v>347</v>
      </c>
      <c r="I430" t="s">
        <v>348</v>
      </c>
      <c r="J430" t="s">
        <v>347</v>
      </c>
      <c r="K430" t="s">
        <v>61</v>
      </c>
      <c r="L430" t="s">
        <v>365</v>
      </c>
      <c r="M430">
        <f t="shared" si="19"/>
        <v>12</v>
      </c>
      <c r="N430">
        <f t="shared" si="20"/>
        <v>4.5157834890960001E-2</v>
      </c>
      <c r="O430">
        <f t="shared" si="21"/>
        <v>2.9844113141894162E-2</v>
      </c>
    </row>
    <row r="431" spans="1:15">
      <c r="A431" t="s">
        <v>324</v>
      </c>
      <c r="B431" t="s">
        <v>139</v>
      </c>
      <c r="C431">
        <v>3.4464607946656997E-2</v>
      </c>
      <c r="D431" t="s">
        <v>350</v>
      </c>
      <c r="E431">
        <v>139.10080550478892</v>
      </c>
      <c r="F431" t="s">
        <v>245</v>
      </c>
      <c r="G431" t="s">
        <v>346</v>
      </c>
      <c r="H431" t="s">
        <v>347</v>
      </c>
      <c r="I431" t="s">
        <v>348</v>
      </c>
      <c r="J431" t="s">
        <v>347</v>
      </c>
      <c r="K431" t="s">
        <v>61</v>
      </c>
      <c r="L431" t="s">
        <v>365</v>
      </c>
      <c r="M431">
        <f t="shared" si="19"/>
        <v>12</v>
      </c>
      <c r="N431">
        <f t="shared" si="20"/>
        <v>0.41357529535988397</v>
      </c>
      <c r="O431">
        <f t="shared" si="21"/>
        <v>0.13353677328459737</v>
      </c>
    </row>
    <row r="432" spans="1:15">
      <c r="A432" t="s">
        <v>138</v>
      </c>
      <c r="B432" t="s">
        <v>377</v>
      </c>
      <c r="C432">
        <v>13.390259993085984</v>
      </c>
      <c r="D432" t="s">
        <v>350</v>
      </c>
      <c r="E432">
        <v>1566.4212148032202</v>
      </c>
      <c r="F432" t="s">
        <v>245</v>
      </c>
      <c r="G432" t="s">
        <v>346</v>
      </c>
      <c r="I432" t="s">
        <v>348</v>
      </c>
      <c r="J432" t="s">
        <v>347</v>
      </c>
      <c r="K432" t="s">
        <v>61</v>
      </c>
      <c r="M432">
        <f t="shared" si="19"/>
        <v>12</v>
      </c>
      <c r="N432">
        <f t="shared" si="20"/>
        <v>160.6831199170318</v>
      </c>
      <c r="O432">
        <f t="shared" si="21"/>
        <v>1.5037643662110916</v>
      </c>
    </row>
    <row r="433" spans="1:15">
      <c r="A433" t="s">
        <v>79</v>
      </c>
      <c r="B433" t="s">
        <v>353</v>
      </c>
      <c r="C433">
        <v>7.0484837227110006E-2</v>
      </c>
      <c r="D433" t="s">
        <v>345</v>
      </c>
      <c r="E433">
        <v>159.73250492736992</v>
      </c>
      <c r="F433" t="s">
        <v>245</v>
      </c>
      <c r="G433" t="s">
        <v>357</v>
      </c>
      <c r="H433" t="s">
        <v>352</v>
      </c>
      <c r="I433" t="s">
        <v>348</v>
      </c>
      <c r="J433" t="s">
        <v>352</v>
      </c>
      <c r="K433" t="s">
        <v>18</v>
      </c>
      <c r="L433" t="s">
        <v>365</v>
      </c>
      <c r="M433">
        <f t="shared" si="19"/>
        <v>4</v>
      </c>
      <c r="N433">
        <f t="shared" si="20"/>
        <v>0.28193934890844002</v>
      </c>
      <c r="O433">
        <f t="shared" si="21"/>
        <v>5.1114401576758374E-2</v>
      </c>
    </row>
    <row r="434" spans="1:15">
      <c r="A434" t="s">
        <v>79</v>
      </c>
      <c r="B434" t="s">
        <v>353</v>
      </c>
      <c r="C434">
        <v>2.1779306426873001E-2</v>
      </c>
      <c r="D434" t="s">
        <v>345</v>
      </c>
      <c r="E434">
        <v>79.823452008412843</v>
      </c>
      <c r="F434" t="s">
        <v>245</v>
      </c>
      <c r="G434" t="s">
        <v>357</v>
      </c>
      <c r="H434" t="s">
        <v>352</v>
      </c>
      <c r="I434" t="s">
        <v>348</v>
      </c>
      <c r="J434" t="s">
        <v>352</v>
      </c>
      <c r="K434" t="s">
        <v>18</v>
      </c>
      <c r="L434" t="s">
        <v>365</v>
      </c>
      <c r="M434">
        <f t="shared" si="19"/>
        <v>4</v>
      </c>
      <c r="N434">
        <f t="shared" si="20"/>
        <v>8.7117225707492002E-2</v>
      </c>
      <c r="O434">
        <f t="shared" si="21"/>
        <v>2.5543504642692109E-2</v>
      </c>
    </row>
    <row r="435" spans="1:15">
      <c r="A435" t="s">
        <v>79</v>
      </c>
      <c r="B435" t="s">
        <v>353</v>
      </c>
      <c r="C435">
        <v>3.7275076733519E-2</v>
      </c>
      <c r="D435" t="s">
        <v>345</v>
      </c>
      <c r="E435">
        <v>174.38086925074833</v>
      </c>
      <c r="F435" t="s">
        <v>245</v>
      </c>
      <c r="G435" t="s">
        <v>357</v>
      </c>
      <c r="H435" t="s">
        <v>352</v>
      </c>
      <c r="I435" t="s">
        <v>348</v>
      </c>
      <c r="J435" t="s">
        <v>352</v>
      </c>
      <c r="K435" t="s">
        <v>18</v>
      </c>
      <c r="L435" t="s">
        <v>365</v>
      </c>
      <c r="M435">
        <f t="shared" si="19"/>
        <v>4</v>
      </c>
      <c r="N435">
        <f t="shared" si="20"/>
        <v>0.149100306934076</v>
      </c>
      <c r="O435">
        <f t="shared" si="21"/>
        <v>5.5801878160239474E-2</v>
      </c>
    </row>
    <row r="436" spans="1:15">
      <c r="A436" t="s">
        <v>301</v>
      </c>
      <c r="B436" t="s">
        <v>353</v>
      </c>
      <c r="C436">
        <v>0.101331031563621</v>
      </c>
      <c r="D436" t="s">
        <v>345</v>
      </c>
      <c r="E436">
        <v>152.71047789632013</v>
      </c>
      <c r="F436" t="s">
        <v>245</v>
      </c>
      <c r="G436" t="s">
        <v>346</v>
      </c>
      <c r="H436" t="s">
        <v>352</v>
      </c>
      <c r="I436" t="s">
        <v>348</v>
      </c>
      <c r="J436" t="s">
        <v>352</v>
      </c>
      <c r="K436" t="s">
        <v>18</v>
      </c>
      <c r="L436" t="s">
        <v>365</v>
      </c>
      <c r="M436">
        <f t="shared" si="19"/>
        <v>4</v>
      </c>
      <c r="N436">
        <f t="shared" si="20"/>
        <v>0.405324126254484</v>
      </c>
      <c r="O436">
        <f t="shared" si="21"/>
        <v>4.8867352926822448E-2</v>
      </c>
    </row>
    <row r="437" spans="1:15">
      <c r="A437" t="s">
        <v>334</v>
      </c>
      <c r="B437" t="s">
        <v>353</v>
      </c>
      <c r="C437">
        <v>0.20622940135072601</v>
      </c>
      <c r="D437" t="s">
        <v>345</v>
      </c>
      <c r="E437">
        <v>394.4757666818906</v>
      </c>
      <c r="F437" t="s">
        <v>245</v>
      </c>
      <c r="G437" t="s">
        <v>346</v>
      </c>
      <c r="H437" t="s">
        <v>352</v>
      </c>
      <c r="I437" t="s">
        <v>348</v>
      </c>
      <c r="J437" t="s">
        <v>352</v>
      </c>
      <c r="K437" t="s">
        <v>18</v>
      </c>
      <c r="L437" t="s">
        <v>365</v>
      </c>
      <c r="M437">
        <f t="shared" si="19"/>
        <v>4</v>
      </c>
      <c r="N437">
        <f t="shared" si="20"/>
        <v>0.82491760540290404</v>
      </c>
      <c r="O437">
        <f t="shared" si="21"/>
        <v>0.12623224533820501</v>
      </c>
    </row>
    <row r="438" spans="1:15">
      <c r="A438" t="s">
        <v>313</v>
      </c>
      <c r="B438" t="s">
        <v>354</v>
      </c>
      <c r="C438">
        <v>0.69950982697433095</v>
      </c>
      <c r="D438" t="s">
        <v>355</v>
      </c>
      <c r="E438">
        <v>334.80640563754247</v>
      </c>
      <c r="F438" t="s">
        <v>245</v>
      </c>
      <c r="G438" t="s">
        <v>346</v>
      </c>
      <c r="H438" t="s">
        <v>351</v>
      </c>
      <c r="I438" t="s">
        <v>348</v>
      </c>
      <c r="J438" t="s">
        <v>351</v>
      </c>
      <c r="K438" t="s">
        <v>12</v>
      </c>
      <c r="L438" t="s">
        <v>365</v>
      </c>
      <c r="M438">
        <f t="shared" si="19"/>
        <v>6</v>
      </c>
      <c r="N438">
        <f t="shared" si="20"/>
        <v>4.1970589618459861</v>
      </c>
      <c r="O438">
        <f t="shared" si="21"/>
        <v>0.16070707470602039</v>
      </c>
    </row>
    <row r="439" spans="1:15">
      <c r="A439" t="s">
        <v>301</v>
      </c>
      <c r="B439" t="s">
        <v>353</v>
      </c>
      <c r="C439">
        <v>0.102200287318059</v>
      </c>
      <c r="D439" t="s">
        <v>345</v>
      </c>
      <c r="E439">
        <v>144.83434310963167</v>
      </c>
      <c r="F439" t="s">
        <v>245</v>
      </c>
      <c r="G439" t="s">
        <v>346</v>
      </c>
      <c r="H439" t="s">
        <v>352</v>
      </c>
      <c r="I439" t="s">
        <v>348</v>
      </c>
      <c r="J439" t="s">
        <v>352</v>
      </c>
      <c r="K439" t="s">
        <v>18</v>
      </c>
      <c r="L439" t="s">
        <v>365</v>
      </c>
      <c r="M439">
        <f t="shared" si="19"/>
        <v>4</v>
      </c>
      <c r="N439">
        <f t="shared" si="20"/>
        <v>0.40880114927223599</v>
      </c>
      <c r="O439">
        <f t="shared" si="21"/>
        <v>4.6346989795082137E-2</v>
      </c>
    </row>
    <row r="440" spans="1:15">
      <c r="A440" t="s">
        <v>175</v>
      </c>
      <c r="B440" t="s">
        <v>344</v>
      </c>
      <c r="C440">
        <v>7.0490309079767999E-2</v>
      </c>
      <c r="D440" t="s">
        <v>345</v>
      </c>
      <c r="E440">
        <v>224.65973876343008</v>
      </c>
      <c r="F440" t="s">
        <v>245</v>
      </c>
      <c r="G440" t="s">
        <v>357</v>
      </c>
      <c r="H440" t="s">
        <v>352</v>
      </c>
      <c r="I440" t="s">
        <v>348</v>
      </c>
      <c r="J440" t="s">
        <v>352</v>
      </c>
      <c r="K440" t="s">
        <v>18</v>
      </c>
      <c r="L440" t="s">
        <v>365</v>
      </c>
      <c r="M440">
        <f t="shared" si="19"/>
        <v>4</v>
      </c>
      <c r="N440">
        <f t="shared" si="20"/>
        <v>0.281961236319072</v>
      </c>
      <c r="O440">
        <f t="shared" si="21"/>
        <v>7.1891116404297628E-2</v>
      </c>
    </row>
    <row r="441" spans="1:15">
      <c r="A441" t="s">
        <v>285</v>
      </c>
      <c r="B441" t="s">
        <v>353</v>
      </c>
      <c r="C441">
        <v>0.117800741052884</v>
      </c>
      <c r="D441" t="s">
        <v>345</v>
      </c>
      <c r="E441">
        <v>132.93361774204999</v>
      </c>
      <c r="F441" t="s">
        <v>245</v>
      </c>
      <c r="G441" t="s">
        <v>346</v>
      </c>
      <c r="H441" t="s">
        <v>356</v>
      </c>
      <c r="I441" t="s">
        <v>348</v>
      </c>
      <c r="J441" t="s">
        <v>356</v>
      </c>
      <c r="K441" t="s">
        <v>176</v>
      </c>
      <c r="L441" t="s">
        <v>365</v>
      </c>
      <c r="M441">
        <f t="shared" si="19"/>
        <v>4</v>
      </c>
      <c r="N441">
        <f t="shared" si="20"/>
        <v>0.47120296421153601</v>
      </c>
      <c r="O441">
        <f t="shared" si="21"/>
        <v>4.2538757677455998E-2</v>
      </c>
    </row>
    <row r="442" spans="1:15">
      <c r="A442" t="s">
        <v>129</v>
      </c>
      <c r="B442" t="s">
        <v>353</v>
      </c>
      <c r="C442">
        <v>0.14892699948327301</v>
      </c>
      <c r="D442" t="s">
        <v>345</v>
      </c>
      <c r="E442">
        <v>409.00116787824908</v>
      </c>
      <c r="F442" t="s">
        <v>245</v>
      </c>
      <c r="G442" t="s">
        <v>357</v>
      </c>
      <c r="H442" t="s">
        <v>347</v>
      </c>
      <c r="I442" t="s">
        <v>348</v>
      </c>
      <c r="J442" t="s">
        <v>347</v>
      </c>
      <c r="K442" t="s">
        <v>61</v>
      </c>
      <c r="L442" t="s">
        <v>365</v>
      </c>
      <c r="M442">
        <f t="shared" si="19"/>
        <v>4</v>
      </c>
      <c r="N442">
        <f t="shared" si="20"/>
        <v>0.59570799793309204</v>
      </c>
      <c r="O442">
        <f t="shared" si="21"/>
        <v>0.13088037372103972</v>
      </c>
    </row>
    <row r="443" spans="1:15">
      <c r="A443" t="s">
        <v>129</v>
      </c>
      <c r="B443" t="s">
        <v>353</v>
      </c>
      <c r="C443">
        <v>1.3351157128172939</v>
      </c>
      <c r="D443" t="s">
        <v>345</v>
      </c>
      <c r="E443">
        <v>1206.6050025022098</v>
      </c>
      <c r="F443" t="s">
        <v>245</v>
      </c>
      <c r="G443" t="s">
        <v>357</v>
      </c>
      <c r="H443" t="s">
        <v>347</v>
      </c>
      <c r="I443" t="s">
        <v>348</v>
      </c>
      <c r="J443" t="s">
        <v>347</v>
      </c>
      <c r="K443" t="s">
        <v>61</v>
      </c>
      <c r="L443" t="s">
        <v>365</v>
      </c>
      <c r="M443">
        <f t="shared" si="19"/>
        <v>4</v>
      </c>
      <c r="N443">
        <f t="shared" si="20"/>
        <v>5.3404628512691756</v>
      </c>
      <c r="O443">
        <f t="shared" si="21"/>
        <v>0.38611360080070717</v>
      </c>
    </row>
    <row r="444" spans="1:15">
      <c r="A444" t="s">
        <v>303</v>
      </c>
      <c r="B444" t="s">
        <v>353</v>
      </c>
      <c r="C444">
        <v>0.120832864686664</v>
      </c>
      <c r="D444" t="s">
        <v>345</v>
      </c>
      <c r="E444">
        <v>139.99312492208327</v>
      </c>
      <c r="F444" t="s">
        <v>245</v>
      </c>
      <c r="G444" t="s">
        <v>346</v>
      </c>
      <c r="H444" t="s">
        <v>358</v>
      </c>
      <c r="I444" t="s">
        <v>348</v>
      </c>
      <c r="J444" t="s">
        <v>358</v>
      </c>
      <c r="K444" t="s">
        <v>119</v>
      </c>
      <c r="L444" t="s">
        <v>365</v>
      </c>
      <c r="M444">
        <f t="shared" si="19"/>
        <v>4</v>
      </c>
      <c r="N444">
        <f t="shared" si="20"/>
        <v>0.48333145874665601</v>
      </c>
      <c r="O444">
        <f t="shared" si="21"/>
        <v>4.4797799975066645E-2</v>
      </c>
    </row>
    <row r="445" spans="1:15">
      <c r="A445" t="s">
        <v>279</v>
      </c>
      <c r="B445" t="s">
        <v>344</v>
      </c>
      <c r="C445">
        <v>1.42078918211619</v>
      </c>
      <c r="D445" t="s">
        <v>345</v>
      </c>
      <c r="E445">
        <v>485.88926983683552</v>
      </c>
      <c r="F445" t="s">
        <v>268</v>
      </c>
      <c r="G445" t="s">
        <v>346</v>
      </c>
      <c r="H445" t="s">
        <v>362</v>
      </c>
      <c r="I445" t="s">
        <v>348</v>
      </c>
      <c r="J445" t="s">
        <v>362</v>
      </c>
      <c r="K445" t="s">
        <v>362</v>
      </c>
      <c r="L445" t="s">
        <v>365</v>
      </c>
      <c r="M445">
        <f t="shared" si="19"/>
        <v>4</v>
      </c>
      <c r="N445">
        <f t="shared" si="20"/>
        <v>5.6831567284647599</v>
      </c>
      <c r="O445">
        <f t="shared" si="21"/>
        <v>0.15548456634778737</v>
      </c>
    </row>
    <row r="446" spans="1:15">
      <c r="A446" t="s">
        <v>324</v>
      </c>
      <c r="B446" t="s">
        <v>139</v>
      </c>
      <c r="C446">
        <v>0.127100554733585</v>
      </c>
      <c r="D446" t="s">
        <v>350</v>
      </c>
      <c r="E446">
        <v>190.91420103137389</v>
      </c>
      <c r="F446" t="s">
        <v>245</v>
      </c>
      <c r="G446" t="s">
        <v>346</v>
      </c>
      <c r="H446" t="s">
        <v>347</v>
      </c>
      <c r="I446" t="s">
        <v>348</v>
      </c>
      <c r="J446" t="s">
        <v>347</v>
      </c>
      <c r="K446" t="s">
        <v>61</v>
      </c>
      <c r="L446" t="s">
        <v>365</v>
      </c>
      <c r="M446">
        <f t="shared" si="19"/>
        <v>12</v>
      </c>
      <c r="N446">
        <f t="shared" si="20"/>
        <v>1.52520665680302</v>
      </c>
      <c r="O446">
        <f t="shared" si="21"/>
        <v>0.18327763299011895</v>
      </c>
    </row>
    <row r="447" spans="1:15">
      <c r="A447" t="s">
        <v>378</v>
      </c>
      <c r="B447" t="s">
        <v>354</v>
      </c>
      <c r="C447">
        <v>0.151178344720589</v>
      </c>
      <c r="D447" t="s">
        <v>355</v>
      </c>
      <c r="E447">
        <v>161.17223921478046</v>
      </c>
      <c r="F447" t="s">
        <v>245</v>
      </c>
      <c r="G447" t="s">
        <v>346</v>
      </c>
      <c r="H447" t="s">
        <v>347</v>
      </c>
      <c r="I447" t="s">
        <v>348</v>
      </c>
      <c r="J447" t="s">
        <v>347</v>
      </c>
      <c r="K447" t="s">
        <v>61</v>
      </c>
      <c r="L447" t="s">
        <v>365</v>
      </c>
      <c r="M447">
        <f t="shared" si="19"/>
        <v>6</v>
      </c>
      <c r="N447">
        <f t="shared" si="20"/>
        <v>0.90707006832353398</v>
      </c>
      <c r="O447">
        <f t="shared" si="21"/>
        <v>7.7362674823094627E-2</v>
      </c>
    </row>
    <row r="448" spans="1:15">
      <c r="A448" t="s">
        <v>379</v>
      </c>
      <c r="B448" t="s">
        <v>344</v>
      </c>
      <c r="C448">
        <v>0.25161742939522302</v>
      </c>
      <c r="D448" t="s">
        <v>345</v>
      </c>
      <c r="E448">
        <v>202.29420049925696</v>
      </c>
      <c r="F448" t="s">
        <v>245</v>
      </c>
      <c r="G448" t="s">
        <v>346</v>
      </c>
      <c r="H448" t="s">
        <v>347</v>
      </c>
      <c r="I448" t="s">
        <v>348</v>
      </c>
      <c r="J448" t="s">
        <v>347</v>
      </c>
      <c r="K448" t="s">
        <v>61</v>
      </c>
      <c r="L448" t="s">
        <v>365</v>
      </c>
      <c r="M448">
        <f t="shared" si="19"/>
        <v>4</v>
      </c>
      <c r="N448">
        <f t="shared" si="20"/>
        <v>1.0064697175808921</v>
      </c>
      <c r="O448">
        <f t="shared" si="21"/>
        <v>6.4734144159762225E-2</v>
      </c>
    </row>
    <row r="449" spans="1:15">
      <c r="A449" t="s">
        <v>324</v>
      </c>
      <c r="B449" t="s">
        <v>139</v>
      </c>
      <c r="C449">
        <v>0.41440411803843602</v>
      </c>
      <c r="D449" t="s">
        <v>350</v>
      </c>
      <c r="E449">
        <v>279.4859309691854</v>
      </c>
      <c r="F449" t="s">
        <v>245</v>
      </c>
      <c r="G449" t="s">
        <v>346</v>
      </c>
      <c r="H449" t="s">
        <v>347</v>
      </c>
      <c r="I449" t="s">
        <v>348</v>
      </c>
      <c r="J449" t="s">
        <v>347</v>
      </c>
      <c r="K449" t="s">
        <v>61</v>
      </c>
      <c r="L449" t="s">
        <v>365</v>
      </c>
      <c r="M449">
        <f t="shared" si="19"/>
        <v>12</v>
      </c>
      <c r="N449">
        <f t="shared" si="20"/>
        <v>4.9728494164612318</v>
      </c>
      <c r="O449">
        <f t="shared" si="21"/>
        <v>0.26830649373041804</v>
      </c>
    </row>
    <row r="450" spans="1:15">
      <c r="A450" t="s">
        <v>324</v>
      </c>
      <c r="B450" t="s">
        <v>139</v>
      </c>
      <c r="C450">
        <v>0.41299123833336998</v>
      </c>
      <c r="D450" t="s">
        <v>350</v>
      </c>
      <c r="E450">
        <v>363.95846030702722</v>
      </c>
      <c r="F450" t="s">
        <v>245</v>
      </c>
      <c r="G450" t="s">
        <v>346</v>
      </c>
      <c r="H450" t="s">
        <v>347</v>
      </c>
      <c r="I450" t="s">
        <v>348</v>
      </c>
      <c r="J450" t="s">
        <v>347</v>
      </c>
      <c r="K450" t="s">
        <v>61</v>
      </c>
      <c r="L450" t="s">
        <v>365</v>
      </c>
      <c r="M450">
        <f t="shared" si="19"/>
        <v>12</v>
      </c>
      <c r="N450">
        <f t="shared" si="20"/>
        <v>4.9558948600004396</v>
      </c>
      <c r="O450">
        <f t="shared" si="21"/>
        <v>0.34940012189474612</v>
      </c>
    </row>
    <row r="451" spans="1:15">
      <c r="A451" t="s">
        <v>57</v>
      </c>
      <c r="B451" t="s">
        <v>344</v>
      </c>
      <c r="C451">
        <v>0.100341843984422</v>
      </c>
      <c r="D451" t="s">
        <v>345</v>
      </c>
      <c r="E451">
        <v>326.109141527085</v>
      </c>
      <c r="F451" t="s">
        <v>245</v>
      </c>
      <c r="G451" t="s">
        <v>357</v>
      </c>
      <c r="H451" t="s">
        <v>351</v>
      </c>
      <c r="I451" t="s">
        <v>348</v>
      </c>
      <c r="J451" t="s">
        <v>351</v>
      </c>
      <c r="K451" t="s">
        <v>12</v>
      </c>
      <c r="L451" t="s">
        <v>365</v>
      </c>
      <c r="M451">
        <f t="shared" ref="M451:M482" si="22">LEFT(D451,2)*1</f>
        <v>4</v>
      </c>
      <c r="N451">
        <f t="shared" ref="N451:N482" si="23">M451*C451</f>
        <v>0.40136737593768801</v>
      </c>
      <c r="O451">
        <f t="shared" ref="O451:O482" si="24">M451*E451*0.8/10000</f>
        <v>0.1043549252886672</v>
      </c>
    </row>
    <row r="452" spans="1:15">
      <c r="A452" t="s">
        <v>57</v>
      </c>
      <c r="B452" t="s">
        <v>344</v>
      </c>
      <c r="C452">
        <v>3.2437332530002999E-2</v>
      </c>
      <c r="D452" t="s">
        <v>345</v>
      </c>
      <c r="E452">
        <v>72.593487755284485</v>
      </c>
      <c r="F452" t="s">
        <v>245</v>
      </c>
      <c r="G452" t="s">
        <v>357</v>
      </c>
      <c r="H452" t="s">
        <v>351</v>
      </c>
      <c r="I452" t="s">
        <v>348</v>
      </c>
      <c r="J452" t="s">
        <v>351</v>
      </c>
      <c r="K452" t="s">
        <v>12</v>
      </c>
      <c r="L452" t="s">
        <v>365</v>
      </c>
      <c r="M452">
        <f t="shared" si="22"/>
        <v>4</v>
      </c>
      <c r="N452">
        <f t="shared" si="23"/>
        <v>0.129749330120012</v>
      </c>
      <c r="O452">
        <f t="shared" si="24"/>
        <v>2.3229916081691036E-2</v>
      </c>
    </row>
    <row r="453" spans="1:15">
      <c r="A453" t="s">
        <v>380</v>
      </c>
      <c r="B453" t="s">
        <v>344</v>
      </c>
      <c r="C453">
        <v>0.32638074961679803</v>
      </c>
      <c r="D453" t="s">
        <v>345</v>
      </c>
      <c r="E453">
        <v>421.47117128737449</v>
      </c>
      <c r="F453" t="s">
        <v>245</v>
      </c>
      <c r="G453" t="s">
        <v>357</v>
      </c>
      <c r="I453" t="s">
        <v>348</v>
      </c>
      <c r="J453" t="s">
        <v>347</v>
      </c>
      <c r="K453" t="s">
        <v>61</v>
      </c>
      <c r="M453">
        <f t="shared" si="22"/>
        <v>4</v>
      </c>
      <c r="N453">
        <f t="shared" si="23"/>
        <v>1.3055229984671921</v>
      </c>
      <c r="O453">
        <f t="shared" si="24"/>
        <v>0.13487077481195983</v>
      </c>
    </row>
    <row r="454" spans="1:15">
      <c r="A454" t="s">
        <v>57</v>
      </c>
      <c r="B454" t="s">
        <v>344</v>
      </c>
      <c r="C454">
        <v>0.121928285120205</v>
      </c>
      <c r="D454" t="s">
        <v>345</v>
      </c>
      <c r="E454">
        <v>298.3623287468597</v>
      </c>
      <c r="F454" t="s">
        <v>245</v>
      </c>
      <c r="G454" t="s">
        <v>357</v>
      </c>
      <c r="H454" t="s">
        <v>351</v>
      </c>
      <c r="I454" t="s">
        <v>348</v>
      </c>
      <c r="J454" t="s">
        <v>351</v>
      </c>
      <c r="K454" t="s">
        <v>61</v>
      </c>
      <c r="L454" t="s">
        <v>365</v>
      </c>
      <c r="M454">
        <f t="shared" si="22"/>
        <v>4</v>
      </c>
      <c r="N454">
        <f t="shared" si="23"/>
        <v>0.48771314048081998</v>
      </c>
      <c r="O454">
        <f t="shared" si="24"/>
        <v>9.5475945198995119E-2</v>
      </c>
    </row>
    <row r="455" spans="1:15">
      <c r="A455" t="s">
        <v>71</v>
      </c>
      <c r="B455" t="s">
        <v>344</v>
      </c>
      <c r="C455">
        <v>3.8492890765003999E-2</v>
      </c>
      <c r="D455" t="s">
        <v>345</v>
      </c>
      <c r="E455">
        <v>151.324508461043</v>
      </c>
      <c r="F455" t="s">
        <v>245</v>
      </c>
      <c r="G455" t="s">
        <v>357</v>
      </c>
      <c r="H455" t="s">
        <v>351</v>
      </c>
      <c r="I455" t="s">
        <v>348</v>
      </c>
      <c r="J455" t="s">
        <v>351</v>
      </c>
      <c r="K455" t="s">
        <v>12</v>
      </c>
      <c r="L455" t="s">
        <v>365</v>
      </c>
      <c r="M455">
        <f t="shared" si="22"/>
        <v>4</v>
      </c>
      <c r="N455">
        <f t="shared" si="23"/>
        <v>0.153971563060016</v>
      </c>
      <c r="O455">
        <f t="shared" si="24"/>
        <v>4.8423842707533762E-2</v>
      </c>
    </row>
    <row r="456" spans="1:15">
      <c r="A456" t="s">
        <v>47</v>
      </c>
      <c r="B456" t="s">
        <v>344</v>
      </c>
      <c r="C456">
        <v>8.1394595941087999E-2</v>
      </c>
      <c r="D456" t="s">
        <v>345</v>
      </c>
      <c r="E456">
        <v>216.94161120885786</v>
      </c>
      <c r="F456" t="s">
        <v>245</v>
      </c>
      <c r="G456" t="s">
        <v>357</v>
      </c>
      <c r="H456" t="s">
        <v>351</v>
      </c>
      <c r="I456" t="s">
        <v>348</v>
      </c>
      <c r="J456" t="s">
        <v>351</v>
      </c>
      <c r="K456" t="s">
        <v>12</v>
      </c>
      <c r="L456" t="s">
        <v>365</v>
      </c>
      <c r="M456">
        <f t="shared" si="22"/>
        <v>4</v>
      </c>
      <c r="N456">
        <f t="shared" si="23"/>
        <v>0.325578383764352</v>
      </c>
      <c r="O456">
        <f t="shared" si="24"/>
        <v>6.9421315586834523E-2</v>
      </c>
    </row>
    <row r="457" spans="1:15">
      <c r="A457" t="s">
        <v>57</v>
      </c>
      <c r="B457" t="s">
        <v>344</v>
      </c>
      <c r="C457">
        <v>2.2742790752111001E-2</v>
      </c>
      <c r="D457" t="s">
        <v>345</v>
      </c>
      <c r="E457">
        <v>63.591140589435859</v>
      </c>
      <c r="F457" t="s">
        <v>245</v>
      </c>
      <c r="G457" t="s">
        <v>357</v>
      </c>
      <c r="H457" t="s">
        <v>347</v>
      </c>
      <c r="I457" t="s">
        <v>348</v>
      </c>
      <c r="J457" t="s">
        <v>347</v>
      </c>
      <c r="K457" t="s">
        <v>61</v>
      </c>
      <c r="L457" t="s">
        <v>365</v>
      </c>
      <c r="M457">
        <f t="shared" si="22"/>
        <v>4</v>
      </c>
      <c r="N457">
        <f t="shared" si="23"/>
        <v>9.0971163008444003E-2</v>
      </c>
      <c r="O457">
        <f t="shared" si="24"/>
        <v>2.0349164988619474E-2</v>
      </c>
    </row>
    <row r="458" spans="1:15">
      <c r="A458" t="s">
        <v>57</v>
      </c>
      <c r="B458" t="s">
        <v>344</v>
      </c>
      <c r="C458">
        <v>0.21868275406638599</v>
      </c>
      <c r="D458" t="s">
        <v>345</v>
      </c>
      <c r="E458">
        <v>371.96317573359221</v>
      </c>
      <c r="F458" t="s">
        <v>245</v>
      </c>
      <c r="G458" t="s">
        <v>357</v>
      </c>
      <c r="I458" t="s">
        <v>348</v>
      </c>
      <c r="J458" t="s">
        <v>351</v>
      </c>
      <c r="K458" t="s">
        <v>12</v>
      </c>
      <c r="M458">
        <f t="shared" si="22"/>
        <v>4</v>
      </c>
      <c r="N458">
        <f t="shared" si="23"/>
        <v>0.87473101626554395</v>
      </c>
      <c r="O458">
        <f t="shared" si="24"/>
        <v>0.11902821623474952</v>
      </c>
    </row>
    <row r="459" spans="1:15">
      <c r="A459" t="s">
        <v>57</v>
      </c>
      <c r="B459" t="s">
        <v>344</v>
      </c>
      <c r="C459">
        <v>0.156477606466461</v>
      </c>
      <c r="D459" t="s">
        <v>345</v>
      </c>
      <c r="E459">
        <v>370.71496647143829</v>
      </c>
      <c r="F459" t="s">
        <v>245</v>
      </c>
      <c r="G459" t="s">
        <v>357</v>
      </c>
      <c r="H459" t="s">
        <v>351</v>
      </c>
      <c r="I459" t="s">
        <v>348</v>
      </c>
      <c r="J459" t="s">
        <v>347</v>
      </c>
      <c r="K459" t="s">
        <v>61</v>
      </c>
      <c r="M459">
        <f t="shared" si="22"/>
        <v>4</v>
      </c>
      <c r="N459">
        <f t="shared" si="23"/>
        <v>0.625910425865844</v>
      </c>
      <c r="O459">
        <f t="shared" si="24"/>
        <v>0.11862878927086026</v>
      </c>
    </row>
    <row r="460" spans="1:15">
      <c r="A460" t="s">
        <v>57</v>
      </c>
      <c r="B460" t="s">
        <v>344</v>
      </c>
      <c r="C460">
        <v>0.24060828563070399</v>
      </c>
      <c r="D460" t="s">
        <v>345</v>
      </c>
      <c r="E460">
        <v>364.79550066901112</v>
      </c>
      <c r="F460" t="s">
        <v>245</v>
      </c>
      <c r="G460" t="s">
        <v>357</v>
      </c>
      <c r="H460" t="s">
        <v>347</v>
      </c>
      <c r="I460" t="s">
        <v>348</v>
      </c>
      <c r="J460" t="s">
        <v>347</v>
      </c>
      <c r="K460" t="s">
        <v>61</v>
      </c>
      <c r="L460" t="s">
        <v>365</v>
      </c>
      <c r="M460">
        <f t="shared" si="22"/>
        <v>4</v>
      </c>
      <c r="N460">
        <f t="shared" si="23"/>
        <v>0.96243314252281598</v>
      </c>
      <c r="O460">
        <f t="shared" si="24"/>
        <v>0.11673456021408356</v>
      </c>
    </row>
    <row r="461" spans="1:15">
      <c r="A461" t="s">
        <v>57</v>
      </c>
      <c r="B461" t="s">
        <v>344</v>
      </c>
      <c r="C461">
        <v>0.245807117474655</v>
      </c>
      <c r="D461" t="s">
        <v>345</v>
      </c>
      <c r="E461">
        <v>313.34519275673154</v>
      </c>
      <c r="F461" t="s">
        <v>245</v>
      </c>
      <c r="G461" t="s">
        <v>357</v>
      </c>
      <c r="I461" t="s">
        <v>348</v>
      </c>
      <c r="J461" t="s">
        <v>347</v>
      </c>
      <c r="K461" t="s">
        <v>61</v>
      </c>
      <c r="M461">
        <f t="shared" si="22"/>
        <v>4</v>
      </c>
      <c r="N461">
        <f t="shared" si="23"/>
        <v>0.98322846989862001</v>
      </c>
      <c r="O461">
        <f t="shared" si="24"/>
        <v>0.1002704616821541</v>
      </c>
    </row>
    <row r="462" spans="1:15">
      <c r="A462" t="s">
        <v>57</v>
      </c>
      <c r="B462" t="s">
        <v>344</v>
      </c>
      <c r="C462">
        <v>1.6652710181459002E-2</v>
      </c>
      <c r="D462" t="s">
        <v>345</v>
      </c>
      <c r="E462">
        <v>45.745783063427176</v>
      </c>
      <c r="F462" t="s">
        <v>245</v>
      </c>
      <c r="G462" t="s">
        <v>357</v>
      </c>
      <c r="I462" t="s">
        <v>348</v>
      </c>
      <c r="J462" t="s">
        <v>347</v>
      </c>
      <c r="K462" t="s">
        <v>61</v>
      </c>
      <c r="M462">
        <f t="shared" si="22"/>
        <v>4</v>
      </c>
      <c r="N462">
        <f t="shared" si="23"/>
        <v>6.6610840725836007E-2</v>
      </c>
      <c r="O462">
        <f t="shared" si="24"/>
        <v>1.4638650580296697E-2</v>
      </c>
    </row>
    <row r="463" spans="1:15">
      <c r="A463" t="s">
        <v>57</v>
      </c>
      <c r="B463" t="s">
        <v>344</v>
      </c>
      <c r="C463">
        <v>0.106931903972229</v>
      </c>
      <c r="D463" t="s">
        <v>345</v>
      </c>
      <c r="E463">
        <v>194.80019806177756</v>
      </c>
      <c r="F463" t="s">
        <v>245</v>
      </c>
      <c r="G463" t="s">
        <v>357</v>
      </c>
      <c r="I463" t="s">
        <v>348</v>
      </c>
      <c r="J463" t="s">
        <v>347</v>
      </c>
      <c r="K463" t="s">
        <v>61</v>
      </c>
      <c r="M463">
        <f t="shared" si="22"/>
        <v>4</v>
      </c>
      <c r="N463">
        <f t="shared" si="23"/>
        <v>0.427727615888916</v>
      </c>
      <c r="O463">
        <f t="shared" si="24"/>
        <v>6.2336063379768825E-2</v>
      </c>
    </row>
    <row r="464" spans="1:15">
      <c r="A464" t="s">
        <v>325</v>
      </c>
      <c r="B464" t="s">
        <v>344</v>
      </c>
      <c r="C464">
        <v>1.9884188885713999E-2</v>
      </c>
      <c r="D464" t="s">
        <v>345</v>
      </c>
      <c r="E464">
        <v>75.582148321495978</v>
      </c>
      <c r="F464" t="s">
        <v>245</v>
      </c>
      <c r="G464" t="s">
        <v>357</v>
      </c>
      <c r="H464" t="s">
        <v>352</v>
      </c>
      <c r="I464" t="s">
        <v>348</v>
      </c>
      <c r="J464" t="s">
        <v>352</v>
      </c>
      <c r="K464" t="s">
        <v>18</v>
      </c>
      <c r="L464" t="s">
        <v>365</v>
      </c>
      <c r="M464">
        <f t="shared" si="22"/>
        <v>4</v>
      </c>
      <c r="N464">
        <f t="shared" si="23"/>
        <v>7.9536755542855997E-2</v>
      </c>
      <c r="O464">
        <f t="shared" si="24"/>
        <v>2.4186287462878715E-2</v>
      </c>
    </row>
    <row r="465" spans="1:15">
      <c r="A465" t="s">
        <v>255</v>
      </c>
      <c r="B465" t="s">
        <v>344</v>
      </c>
      <c r="C465">
        <v>3.4373806847009997E-2</v>
      </c>
      <c r="D465" t="s">
        <v>345</v>
      </c>
      <c r="E465">
        <v>34.594792994181603</v>
      </c>
      <c r="F465" t="s">
        <v>245</v>
      </c>
      <c r="G465" t="s">
        <v>357</v>
      </c>
      <c r="H465" t="s">
        <v>351</v>
      </c>
      <c r="I465" t="s">
        <v>348</v>
      </c>
      <c r="J465" t="s">
        <v>351</v>
      </c>
      <c r="K465" t="s">
        <v>12</v>
      </c>
      <c r="L465" t="s">
        <v>365</v>
      </c>
      <c r="M465">
        <f t="shared" si="22"/>
        <v>4</v>
      </c>
      <c r="N465">
        <f t="shared" si="23"/>
        <v>0.13749522738803999</v>
      </c>
      <c r="O465">
        <f t="shared" si="24"/>
        <v>1.1070333758138113E-2</v>
      </c>
    </row>
    <row r="466" spans="1:15">
      <c r="A466" t="s">
        <v>253</v>
      </c>
      <c r="B466" t="s">
        <v>344</v>
      </c>
      <c r="C466">
        <v>0.19906844796589701</v>
      </c>
      <c r="D466" t="s">
        <v>345</v>
      </c>
      <c r="E466">
        <v>158.16479357595392</v>
      </c>
      <c r="F466" t="s">
        <v>245</v>
      </c>
      <c r="G466" t="s">
        <v>357</v>
      </c>
      <c r="H466" t="s">
        <v>352</v>
      </c>
      <c r="I466" t="s">
        <v>348</v>
      </c>
      <c r="J466" t="s">
        <v>351</v>
      </c>
      <c r="K466" t="s">
        <v>12</v>
      </c>
      <c r="M466">
        <f t="shared" si="22"/>
        <v>4</v>
      </c>
      <c r="N466">
        <f t="shared" si="23"/>
        <v>0.79627379186358804</v>
      </c>
      <c r="O466">
        <f t="shared" si="24"/>
        <v>5.0612733944305259E-2</v>
      </c>
    </row>
    <row r="467" spans="1:15">
      <c r="A467" t="s">
        <v>253</v>
      </c>
      <c r="B467" t="s">
        <v>344</v>
      </c>
      <c r="C467">
        <v>1.4832048146607E-2</v>
      </c>
      <c r="D467" t="s">
        <v>345</v>
      </c>
      <c r="E467">
        <v>59.679103793587302</v>
      </c>
      <c r="F467" t="s">
        <v>245</v>
      </c>
      <c r="G467" t="s">
        <v>357</v>
      </c>
      <c r="H467" t="s">
        <v>352</v>
      </c>
      <c r="I467" t="s">
        <v>348</v>
      </c>
      <c r="J467" t="s">
        <v>351</v>
      </c>
      <c r="K467" t="s">
        <v>12</v>
      </c>
      <c r="M467">
        <f t="shared" si="22"/>
        <v>4</v>
      </c>
      <c r="N467">
        <f t="shared" si="23"/>
        <v>5.9328192586427998E-2</v>
      </c>
      <c r="O467">
        <f t="shared" si="24"/>
        <v>1.909731321394794E-2</v>
      </c>
    </row>
    <row r="468" spans="1:15">
      <c r="A468" t="s">
        <v>113</v>
      </c>
      <c r="B468" t="s">
        <v>344</v>
      </c>
      <c r="C468">
        <v>0.34678681435689601</v>
      </c>
      <c r="D468" t="s">
        <v>345</v>
      </c>
      <c r="E468">
        <v>506.83900712137137</v>
      </c>
      <c r="F468" t="s">
        <v>245</v>
      </c>
      <c r="G468" t="s">
        <v>357</v>
      </c>
      <c r="H468" t="s">
        <v>352</v>
      </c>
      <c r="I468" t="s">
        <v>348</v>
      </c>
      <c r="J468" t="s">
        <v>351</v>
      </c>
      <c r="K468" t="s">
        <v>12</v>
      </c>
      <c r="M468">
        <f t="shared" si="22"/>
        <v>4</v>
      </c>
      <c r="N468">
        <f t="shared" si="23"/>
        <v>1.387147257427584</v>
      </c>
      <c r="O468">
        <f t="shared" si="24"/>
        <v>0.16218848227883884</v>
      </c>
    </row>
    <row r="469" spans="1:15">
      <c r="A469" t="s">
        <v>31</v>
      </c>
      <c r="B469" t="s">
        <v>344</v>
      </c>
      <c r="C469">
        <v>7.4425910194859998E-3</v>
      </c>
      <c r="D469" t="s">
        <v>345</v>
      </c>
      <c r="E469">
        <v>30.582337753943243</v>
      </c>
      <c r="F469" t="s">
        <v>245</v>
      </c>
      <c r="G469" t="s">
        <v>357</v>
      </c>
      <c r="H469" t="s">
        <v>351</v>
      </c>
      <c r="I469" t="s">
        <v>348</v>
      </c>
      <c r="J469" t="s">
        <v>352</v>
      </c>
      <c r="K469" t="s">
        <v>18</v>
      </c>
      <c r="M469">
        <f t="shared" si="22"/>
        <v>4</v>
      </c>
      <c r="N469">
        <f t="shared" si="23"/>
        <v>2.9770364077943999E-2</v>
      </c>
      <c r="O469">
        <f t="shared" si="24"/>
        <v>9.7863480812618378E-3</v>
      </c>
    </row>
    <row r="470" spans="1:15">
      <c r="A470" t="s">
        <v>31</v>
      </c>
      <c r="B470" t="s">
        <v>344</v>
      </c>
      <c r="C470">
        <v>0.104079963004089</v>
      </c>
      <c r="D470" t="s">
        <v>345</v>
      </c>
      <c r="E470">
        <v>383.17252051216411</v>
      </c>
      <c r="F470" t="s">
        <v>245</v>
      </c>
      <c r="G470" t="s">
        <v>357</v>
      </c>
      <c r="H470" t="s">
        <v>351</v>
      </c>
      <c r="I470" t="s">
        <v>348</v>
      </c>
      <c r="J470" t="s">
        <v>352</v>
      </c>
      <c r="K470" t="s">
        <v>18</v>
      </c>
      <c r="M470">
        <f t="shared" si="22"/>
        <v>4</v>
      </c>
      <c r="N470">
        <f t="shared" si="23"/>
        <v>0.41631985201635602</v>
      </c>
      <c r="O470">
        <f t="shared" si="24"/>
        <v>0.12261520656389252</v>
      </c>
    </row>
    <row r="471" spans="1:15">
      <c r="A471" t="s">
        <v>31</v>
      </c>
      <c r="B471" t="s">
        <v>344</v>
      </c>
      <c r="C471">
        <v>4.3492304280624998E-2</v>
      </c>
      <c r="D471" t="s">
        <v>345</v>
      </c>
      <c r="E471">
        <v>177.42908529597742</v>
      </c>
      <c r="F471" t="s">
        <v>245</v>
      </c>
      <c r="G471" t="s">
        <v>357</v>
      </c>
      <c r="H471" t="s">
        <v>351</v>
      </c>
      <c r="I471" t="s">
        <v>348</v>
      </c>
      <c r="J471" t="s">
        <v>352</v>
      </c>
      <c r="K471" t="s">
        <v>18</v>
      </c>
      <c r="M471">
        <f t="shared" si="22"/>
        <v>4</v>
      </c>
      <c r="N471">
        <f t="shared" si="23"/>
        <v>0.17396921712249999</v>
      </c>
      <c r="O471">
        <f t="shared" si="24"/>
        <v>5.6777307294712774E-2</v>
      </c>
    </row>
    <row r="472" spans="1:15">
      <c r="A472" t="s">
        <v>31</v>
      </c>
      <c r="B472" t="s">
        <v>344</v>
      </c>
      <c r="C472">
        <v>3.8468142280105998E-2</v>
      </c>
      <c r="D472" t="s">
        <v>345</v>
      </c>
      <c r="E472">
        <v>168.04536914474031</v>
      </c>
      <c r="F472" t="s">
        <v>245</v>
      </c>
      <c r="G472" t="s">
        <v>357</v>
      </c>
      <c r="H472" t="s">
        <v>351</v>
      </c>
      <c r="I472" t="s">
        <v>348</v>
      </c>
      <c r="J472" t="s">
        <v>351</v>
      </c>
      <c r="K472" t="s">
        <v>18</v>
      </c>
      <c r="L472" t="s">
        <v>365</v>
      </c>
      <c r="M472">
        <f t="shared" si="22"/>
        <v>4</v>
      </c>
      <c r="N472">
        <f t="shared" si="23"/>
        <v>0.15387256912042399</v>
      </c>
      <c r="O472">
        <f t="shared" si="24"/>
        <v>5.3774518126316902E-2</v>
      </c>
    </row>
    <row r="473" spans="1:15">
      <c r="A473" t="s">
        <v>321</v>
      </c>
      <c r="B473" t="s">
        <v>344</v>
      </c>
      <c r="C473">
        <v>0.105549441020429</v>
      </c>
      <c r="D473" t="s">
        <v>345</v>
      </c>
      <c r="E473">
        <v>58.791849256342097</v>
      </c>
      <c r="F473" t="s">
        <v>245</v>
      </c>
      <c r="G473" t="s">
        <v>346</v>
      </c>
      <c r="H473" t="s">
        <v>358</v>
      </c>
      <c r="I473" t="s">
        <v>348</v>
      </c>
      <c r="J473" t="s">
        <v>358</v>
      </c>
      <c r="K473" t="s">
        <v>119</v>
      </c>
      <c r="L473" t="s">
        <v>365</v>
      </c>
      <c r="M473">
        <f t="shared" si="22"/>
        <v>4</v>
      </c>
      <c r="N473">
        <f t="shared" si="23"/>
        <v>0.422197764081716</v>
      </c>
      <c r="O473">
        <f t="shared" si="24"/>
        <v>1.881339176202947E-2</v>
      </c>
    </row>
    <row r="474" spans="1:15">
      <c r="A474" t="s">
        <v>286</v>
      </c>
      <c r="B474" t="s">
        <v>344</v>
      </c>
      <c r="C474">
        <v>0.62720921629308701</v>
      </c>
      <c r="D474" t="s">
        <v>345</v>
      </c>
      <c r="E474">
        <v>314.78081924376346</v>
      </c>
      <c r="F474" t="s">
        <v>245</v>
      </c>
      <c r="G474" t="s">
        <v>346</v>
      </c>
      <c r="H474" t="s">
        <v>358</v>
      </c>
      <c r="I474" t="s">
        <v>348</v>
      </c>
      <c r="J474" t="s">
        <v>358</v>
      </c>
      <c r="K474" t="s">
        <v>119</v>
      </c>
      <c r="L474" t="s">
        <v>365</v>
      </c>
      <c r="M474">
        <f t="shared" si="22"/>
        <v>4</v>
      </c>
      <c r="N474">
        <f t="shared" si="23"/>
        <v>2.5088368651723481</v>
      </c>
      <c r="O474">
        <f t="shared" si="24"/>
        <v>0.10072986215800431</v>
      </c>
    </row>
    <row r="475" spans="1:15">
      <c r="A475" t="s">
        <v>281</v>
      </c>
      <c r="B475" t="s">
        <v>344</v>
      </c>
      <c r="C475">
        <v>0.120967151750015</v>
      </c>
      <c r="D475" t="s">
        <v>345</v>
      </c>
      <c r="E475">
        <v>149.67877624747587</v>
      </c>
      <c r="F475" t="s">
        <v>245</v>
      </c>
      <c r="G475" t="s">
        <v>346</v>
      </c>
      <c r="H475" t="s">
        <v>347</v>
      </c>
      <c r="I475" t="s">
        <v>348</v>
      </c>
      <c r="J475" t="s">
        <v>347</v>
      </c>
      <c r="K475" t="s">
        <v>61</v>
      </c>
      <c r="L475" t="s">
        <v>365</v>
      </c>
      <c r="M475">
        <f t="shared" si="22"/>
        <v>4</v>
      </c>
      <c r="N475">
        <f t="shared" si="23"/>
        <v>0.48386860700006001</v>
      </c>
      <c r="O475">
        <f t="shared" si="24"/>
        <v>4.789720839919228E-2</v>
      </c>
    </row>
    <row r="476" spans="1:15">
      <c r="A476" t="s">
        <v>79</v>
      </c>
      <c r="B476" t="s">
        <v>344</v>
      </c>
      <c r="C476">
        <v>0.122641299202902</v>
      </c>
      <c r="D476" t="s">
        <v>345</v>
      </c>
      <c r="E476">
        <v>298.10704633930374</v>
      </c>
      <c r="F476" t="s">
        <v>245</v>
      </c>
      <c r="G476" t="s">
        <v>357</v>
      </c>
      <c r="H476" t="s">
        <v>347</v>
      </c>
      <c r="I476" t="s">
        <v>348</v>
      </c>
      <c r="J476" t="s">
        <v>352</v>
      </c>
      <c r="K476" t="s">
        <v>18</v>
      </c>
      <c r="M476">
        <f t="shared" si="22"/>
        <v>4</v>
      </c>
      <c r="N476">
        <f t="shared" si="23"/>
        <v>0.49056519681160798</v>
      </c>
      <c r="O476">
        <f t="shared" si="24"/>
        <v>9.5394254828577205E-2</v>
      </c>
    </row>
    <row r="477" spans="1:15">
      <c r="A477" t="s">
        <v>69</v>
      </c>
      <c r="B477" t="s">
        <v>344</v>
      </c>
      <c r="C477">
        <v>4.0821071400728999E-2</v>
      </c>
      <c r="D477" t="s">
        <v>345</v>
      </c>
      <c r="E477">
        <v>160.02060563037747</v>
      </c>
      <c r="F477" t="s">
        <v>245</v>
      </c>
      <c r="G477" t="s">
        <v>357</v>
      </c>
      <c r="H477" t="s">
        <v>347</v>
      </c>
      <c r="I477" t="s">
        <v>348</v>
      </c>
      <c r="J477" t="s">
        <v>352</v>
      </c>
      <c r="K477" t="s">
        <v>18</v>
      </c>
      <c r="M477">
        <f t="shared" si="22"/>
        <v>4</v>
      </c>
      <c r="N477">
        <f t="shared" si="23"/>
        <v>0.163284285602916</v>
      </c>
      <c r="O477">
        <f t="shared" si="24"/>
        <v>5.1206593801720796E-2</v>
      </c>
    </row>
    <row r="478" spans="1:15">
      <c r="A478" t="s">
        <v>75</v>
      </c>
      <c r="B478" t="s">
        <v>344</v>
      </c>
      <c r="C478">
        <v>6.5520325893281994E-2</v>
      </c>
      <c r="D478" t="s">
        <v>345</v>
      </c>
      <c r="E478">
        <v>248.36139309856688</v>
      </c>
      <c r="F478" t="s">
        <v>245</v>
      </c>
      <c r="G478" t="s">
        <v>357</v>
      </c>
      <c r="H478" t="s">
        <v>347</v>
      </c>
      <c r="I478" t="s">
        <v>348</v>
      </c>
      <c r="J478" t="s">
        <v>352</v>
      </c>
      <c r="K478" t="s">
        <v>18</v>
      </c>
      <c r="M478">
        <f t="shared" si="22"/>
        <v>4</v>
      </c>
      <c r="N478">
        <f t="shared" si="23"/>
        <v>0.26208130357312798</v>
      </c>
      <c r="O478">
        <f t="shared" si="24"/>
        <v>7.9475645791541413E-2</v>
      </c>
    </row>
    <row r="479" spans="1:15">
      <c r="A479" t="s">
        <v>381</v>
      </c>
      <c r="B479" t="s">
        <v>344</v>
      </c>
      <c r="C479">
        <v>0.37285022220122399</v>
      </c>
      <c r="D479" t="s">
        <v>345</v>
      </c>
      <c r="E479">
        <v>1067.0149189996241</v>
      </c>
      <c r="F479" t="s">
        <v>245</v>
      </c>
      <c r="G479" t="s">
        <v>357</v>
      </c>
      <c r="H479" t="s">
        <v>352</v>
      </c>
      <c r="I479" t="s">
        <v>348</v>
      </c>
      <c r="J479" t="s">
        <v>352</v>
      </c>
      <c r="K479" t="s">
        <v>18</v>
      </c>
      <c r="L479" t="s">
        <v>365</v>
      </c>
      <c r="M479">
        <f t="shared" si="22"/>
        <v>4</v>
      </c>
      <c r="N479">
        <f t="shared" si="23"/>
        <v>1.491400888804896</v>
      </c>
      <c r="O479">
        <f t="shared" si="24"/>
        <v>0.34144477407987972</v>
      </c>
    </row>
    <row r="480" spans="1:15">
      <c r="A480" t="s">
        <v>84</v>
      </c>
      <c r="B480" t="s">
        <v>353</v>
      </c>
      <c r="C480">
        <v>2.589674757375E-2</v>
      </c>
      <c r="D480" t="s">
        <v>345</v>
      </c>
      <c r="E480">
        <v>91.128154384180903</v>
      </c>
      <c r="F480" t="s">
        <v>245</v>
      </c>
      <c r="G480" t="s">
        <v>357</v>
      </c>
      <c r="H480" t="s">
        <v>352</v>
      </c>
      <c r="I480" t="s">
        <v>348</v>
      </c>
      <c r="J480" t="s">
        <v>352</v>
      </c>
      <c r="K480" t="s">
        <v>18</v>
      </c>
      <c r="L480" t="s">
        <v>365</v>
      </c>
      <c r="M480">
        <f t="shared" si="22"/>
        <v>4</v>
      </c>
      <c r="N480">
        <f t="shared" si="23"/>
        <v>0.103586990295</v>
      </c>
      <c r="O480">
        <f t="shared" si="24"/>
        <v>2.916100940293789E-2</v>
      </c>
    </row>
    <row r="481" spans="1:15">
      <c r="A481" t="s">
        <v>256</v>
      </c>
      <c r="B481" t="s">
        <v>344</v>
      </c>
      <c r="C481">
        <v>0.83355209834003197</v>
      </c>
      <c r="D481" t="s">
        <v>345</v>
      </c>
      <c r="E481">
        <v>2390.2026442307774</v>
      </c>
      <c r="F481" t="s">
        <v>245</v>
      </c>
      <c r="G481" t="s">
        <v>357</v>
      </c>
      <c r="H481" t="s">
        <v>358</v>
      </c>
      <c r="I481" t="s">
        <v>348</v>
      </c>
      <c r="J481" t="s">
        <v>358</v>
      </c>
      <c r="K481" t="s">
        <v>119</v>
      </c>
      <c r="L481" t="s">
        <v>365</v>
      </c>
      <c r="M481">
        <f t="shared" si="22"/>
        <v>4</v>
      </c>
      <c r="N481">
        <f t="shared" si="23"/>
        <v>3.3342083933601279</v>
      </c>
      <c r="O481">
        <f t="shared" si="24"/>
        <v>0.76486484615384875</v>
      </c>
    </row>
    <row r="482" spans="1:15">
      <c r="A482" t="s">
        <v>16</v>
      </c>
      <c r="B482" t="s">
        <v>344</v>
      </c>
      <c r="C482">
        <v>0.148579059132702</v>
      </c>
      <c r="D482" t="s">
        <v>345</v>
      </c>
      <c r="E482">
        <v>177.58339991260794</v>
      </c>
      <c r="F482" t="s">
        <v>245</v>
      </c>
      <c r="G482" t="s">
        <v>357</v>
      </c>
      <c r="H482" t="s">
        <v>352</v>
      </c>
      <c r="I482" t="s">
        <v>348</v>
      </c>
      <c r="J482" t="s">
        <v>352</v>
      </c>
      <c r="K482" t="s">
        <v>18</v>
      </c>
      <c r="L482" t="s">
        <v>365</v>
      </c>
      <c r="M482">
        <f t="shared" si="22"/>
        <v>4</v>
      </c>
      <c r="N482">
        <f t="shared" si="23"/>
        <v>0.59431623653080801</v>
      </c>
      <c r="O482">
        <f t="shared" si="24"/>
        <v>5.6826687972034537E-2</v>
      </c>
    </row>
    <row r="483" spans="1:15">
      <c r="M483" t="s">
        <v>238</v>
      </c>
      <c r="N483">
        <f>SUM(N2:N482)</f>
        <v>381.88130267503163</v>
      </c>
      <c r="O483">
        <f>SUM(O2:O482)</f>
        <v>33.936934631952646</v>
      </c>
    </row>
    <row r="484" spans="1:15">
      <c r="N484">
        <f>N483/12</f>
        <v>31.823441889585968</v>
      </c>
    </row>
  </sheetData>
  <pageMargins left="0.511811024" right="0.511811024" top="0.78740157499999996" bottom="0.78740157499999996" header="0.31496062000000002" footer="0.3149606200000000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2:Q2237"/>
  <sheetViews>
    <sheetView topLeftCell="A19" zoomScale="85" zoomScaleNormal="85" workbookViewId="0">
      <selection activeCell="F50" sqref="F50"/>
    </sheetView>
  </sheetViews>
  <sheetFormatPr defaultColWidth="9.140625" defaultRowHeight="13.5"/>
  <cols>
    <col min="1" max="1" width="3.5703125" style="24" customWidth="1"/>
    <col min="2" max="2" width="9.140625" style="24"/>
    <col min="3" max="3" width="11.5703125" style="29" customWidth="1"/>
    <col min="4" max="4" width="15" style="24" bestFit="1" customWidth="1"/>
    <col min="5" max="5" width="44.5703125" style="24" customWidth="1"/>
    <col min="6" max="6" width="16" style="24" bestFit="1" customWidth="1"/>
    <col min="7" max="7" width="14.85546875" style="24" customWidth="1"/>
    <col min="8" max="8" width="14.7109375" style="28" customWidth="1"/>
    <col min="9" max="9" width="15.42578125" style="28" customWidth="1"/>
    <col min="10" max="10" width="12.140625" style="28" customWidth="1"/>
    <col min="11" max="11" width="41.28515625" style="24" bestFit="1" customWidth="1"/>
    <col min="12" max="13" width="16" style="24" bestFit="1" customWidth="1"/>
    <col min="14" max="14" width="13" style="24" customWidth="1"/>
    <col min="15" max="15" width="15.85546875" style="24" customWidth="1"/>
    <col min="16" max="16" width="10.5703125" style="24" bestFit="1" customWidth="1"/>
    <col min="17" max="16384" width="9.140625" style="24"/>
  </cols>
  <sheetData>
    <row r="2" spans="1:11" ht="21" thickBot="1">
      <c r="B2" s="25" t="s">
        <v>461</v>
      </c>
      <c r="C2" s="26"/>
      <c r="D2" s="27"/>
      <c r="E2" s="27"/>
      <c r="H2" s="28" t="s">
        <v>462</v>
      </c>
      <c r="I2" s="28">
        <f>365-52-I3</f>
        <v>304</v>
      </c>
    </row>
    <row r="3" spans="1:11">
      <c r="H3" s="28" t="s">
        <v>463</v>
      </c>
      <c r="I3" s="28">
        <v>9</v>
      </c>
    </row>
    <row r="4" spans="1:11">
      <c r="H4" s="28" t="s">
        <v>464</v>
      </c>
      <c r="I4" s="30">
        <v>998</v>
      </c>
    </row>
    <row r="5" spans="1:11" ht="20.25">
      <c r="B5" s="158"/>
      <c r="I5" s="31" t="s">
        <v>465</v>
      </c>
      <c r="K5" s="158"/>
    </row>
    <row r="6" spans="1:11" ht="14.25" thickBot="1"/>
    <row r="7" spans="1:11" ht="26.25" customHeight="1">
      <c r="A7" s="32"/>
      <c r="B7" s="541" t="s">
        <v>1323</v>
      </c>
      <c r="C7" s="164"/>
      <c r="D7" s="164"/>
      <c r="E7" s="164"/>
      <c r="F7" s="164"/>
      <c r="G7" s="74"/>
      <c r="H7" s="34">
        <f>H23+H25+H29+H31</f>
        <v>2876.13</v>
      </c>
      <c r="I7"/>
      <c r="J7" s="24"/>
    </row>
    <row r="8" spans="1:11" ht="25.5" customHeight="1">
      <c r="A8" s="33"/>
      <c r="B8" s="167" t="str">
        <f>CONCATENATE("Salário - ",B7)</f>
        <v>Salário - Porteiro</v>
      </c>
      <c r="C8" s="168"/>
      <c r="D8" s="169"/>
      <c r="E8" s="112" t="s">
        <v>466</v>
      </c>
      <c r="F8" s="112">
        <v>1</v>
      </c>
      <c r="G8" s="35">
        <f>VLOOKUP(B8,Tabela3[[#All],[descrição]:[fonte]],4,FALSE)</f>
        <v>1223.28</v>
      </c>
      <c r="H8" s="36">
        <f>TRUNC(F8*G8,2)</f>
        <v>1223.28</v>
      </c>
      <c r="I8"/>
      <c r="J8" s="24"/>
    </row>
    <row r="9" spans="1:11" ht="13.5" customHeight="1">
      <c r="B9" s="170" t="s">
        <v>855</v>
      </c>
      <c r="C9" s="24"/>
      <c r="E9" s="97" t="s">
        <v>466</v>
      </c>
      <c r="F9" s="97">
        <v>1</v>
      </c>
      <c r="G9" s="35">
        <f>VLOOKUP(B9,Tabela3[[#All],[descrição]:[fonte]],4,FALSE)</f>
        <v>1045</v>
      </c>
      <c r="H9" s="37"/>
      <c r="I9"/>
    </row>
    <row r="10" spans="1:11" ht="15">
      <c r="B10" s="170" t="s">
        <v>468</v>
      </c>
      <c r="C10" s="24"/>
      <c r="E10" s="97" t="s">
        <v>469</v>
      </c>
      <c r="F10" s="150"/>
      <c r="G10" s="96"/>
      <c r="H10" s="151"/>
      <c r="I10"/>
    </row>
    <row r="11" spans="1:11" ht="15">
      <c r="B11" s="170"/>
      <c r="C11" s="24"/>
      <c r="E11" s="97" t="s">
        <v>470</v>
      </c>
      <c r="F11" s="35">
        <f>F10*8/7</f>
        <v>0</v>
      </c>
      <c r="G11" s="54">
        <f>G8/220*0.2</f>
        <v>1.1120727272727273</v>
      </c>
      <c r="H11" s="37">
        <f>TRUNC(F11*G11,2)</f>
        <v>0</v>
      </c>
      <c r="I11"/>
    </row>
    <row r="12" spans="1:11" ht="15">
      <c r="B12" s="170" t="s">
        <v>471</v>
      </c>
      <c r="C12" s="24"/>
      <c r="E12" s="97" t="s">
        <v>472</v>
      </c>
      <c r="F12" s="152">
        <f>9/12*7.33</f>
        <v>5.4975000000000005</v>
      </c>
      <c r="G12" s="35">
        <f>G8/220*2</f>
        <v>11.120727272727272</v>
      </c>
      <c r="H12" s="37">
        <f>TRUNC(F12*G12,2)</f>
        <v>61.13</v>
      </c>
      <c r="I12"/>
    </row>
    <row r="13" spans="1:11" ht="15">
      <c r="B13" s="170" t="s">
        <v>473</v>
      </c>
      <c r="C13" s="24"/>
      <c r="E13" s="97" t="s">
        <v>469</v>
      </c>
      <c r="F13" s="150"/>
      <c r="G13" s="35"/>
      <c r="H13" s="37"/>
      <c r="I13"/>
    </row>
    <row r="14" spans="1:11" ht="15">
      <c r="B14" s="170"/>
      <c r="C14" s="24"/>
      <c r="E14" s="97" t="s">
        <v>470</v>
      </c>
      <c r="F14" s="35">
        <f>F13*8/7</f>
        <v>0</v>
      </c>
      <c r="G14" s="35">
        <f>G8/220*2*1.2</f>
        <v>13.344872727272726</v>
      </c>
      <c r="H14" s="37">
        <f>TRUNC(F14*G14,2)</f>
        <v>0</v>
      </c>
      <c r="I14"/>
    </row>
    <row r="15" spans="1:11" ht="15">
      <c r="B15" s="170" t="s">
        <v>474</v>
      </c>
      <c r="C15" s="24"/>
      <c r="E15" s="97" t="s">
        <v>472</v>
      </c>
      <c r="F15" s="152"/>
      <c r="G15" s="35">
        <f>G8/220*1.5</f>
        <v>8.3405454545454543</v>
      </c>
      <c r="H15" s="37">
        <f>TRUNC(F15*G15,2)</f>
        <v>0</v>
      </c>
      <c r="I15"/>
    </row>
    <row r="16" spans="1:11" ht="15">
      <c r="B16" s="170" t="s">
        <v>475</v>
      </c>
      <c r="C16" s="24"/>
      <c r="E16" s="97" t="s">
        <v>469</v>
      </c>
      <c r="F16" s="152"/>
      <c r="G16" s="35"/>
      <c r="H16" s="37"/>
      <c r="I16"/>
    </row>
    <row r="17" spans="2:10" ht="15">
      <c r="B17" s="170"/>
      <c r="C17" s="24"/>
      <c r="E17" s="97" t="s">
        <v>470</v>
      </c>
      <c r="F17" s="35">
        <f>F16*8/7</f>
        <v>0</v>
      </c>
      <c r="G17" s="35">
        <f>G8/220*1.5*1.2</f>
        <v>10.008654545454545</v>
      </c>
      <c r="H17" s="37">
        <f>TRUNC(F17*G17,2)</f>
        <v>0</v>
      </c>
      <c r="I17"/>
    </row>
    <row r="18" spans="2:10" ht="15">
      <c r="B18" s="170" t="s">
        <v>476</v>
      </c>
      <c r="C18" s="24"/>
      <c r="E18" s="97" t="s">
        <v>477</v>
      </c>
      <c r="F18" s="96"/>
      <c r="G18" s="35">
        <f>TRUNC(((52+9)/304)*(SUM(H12:H17)),2)</f>
        <v>12.26</v>
      </c>
      <c r="H18" s="37">
        <f>G18</f>
        <v>12.26</v>
      </c>
      <c r="I18"/>
    </row>
    <row r="19" spans="2:10" ht="15">
      <c r="B19" s="170" t="s">
        <v>478</v>
      </c>
      <c r="C19" s="24"/>
      <c r="E19" s="97"/>
      <c r="F19" s="153">
        <v>1</v>
      </c>
      <c r="G19" s="35"/>
      <c r="H19" s="37"/>
      <c r="I19"/>
    </row>
    <row r="20" spans="2:10" ht="15">
      <c r="B20" s="170" t="s">
        <v>479</v>
      </c>
      <c r="C20" s="24"/>
      <c r="E20" s="97" t="s">
        <v>480</v>
      </c>
      <c r="F20" s="55">
        <f>VLOOKUP(B8,Tabela3[[descrição]:[Insalubridade]],3,FALSE)</f>
        <v>0</v>
      </c>
      <c r="G20" s="38">
        <f>IF(F19=2,SUM(H8:H18),IF(F19=1,SUM(H8:H18)*G9/G8,0))</f>
        <v>1107.694191027402</v>
      </c>
      <c r="H20" s="37">
        <f>TRUNC(F20*G20/100,2)</f>
        <v>0</v>
      </c>
      <c r="I20"/>
    </row>
    <row r="21" spans="2:10" ht="15">
      <c r="B21" s="171" t="s">
        <v>481</v>
      </c>
      <c r="C21" s="24"/>
      <c r="E21" s="134"/>
      <c r="F21" s="134"/>
      <c r="G21" s="39"/>
      <c r="H21" s="40">
        <f>SUM(H8:H20)</f>
        <v>1296.67</v>
      </c>
      <c r="I21"/>
    </row>
    <row r="22" spans="2:10" ht="15">
      <c r="B22" s="172" t="s">
        <v>482</v>
      </c>
      <c r="C22" s="184"/>
      <c r="D22" s="185"/>
      <c r="E22" s="154" t="s">
        <v>480</v>
      </c>
      <c r="F22" s="41">
        <f>VLOOKUP(B22,Tabela3[[#All],[descrição]:[fonte]],4,FALSE)</f>
        <v>70.489999999999995</v>
      </c>
      <c r="G22" s="42">
        <f>H21</f>
        <v>1296.67</v>
      </c>
      <c r="H22" s="43">
        <f>TRUNC(G22*(F22/100),2)</f>
        <v>914.02</v>
      </c>
      <c r="I22"/>
    </row>
    <row r="23" spans="2:10" ht="15">
      <c r="B23" s="173" t="s">
        <v>861</v>
      </c>
      <c r="C23" s="24"/>
      <c r="E23" s="155"/>
      <c r="F23" s="155"/>
      <c r="G23" s="44"/>
      <c r="H23" s="45">
        <f>TRUNC(H21+H22,2)</f>
        <v>2210.69</v>
      </c>
      <c r="I23"/>
    </row>
    <row r="24" spans="2:10" s="46" customFormat="1" ht="15.75">
      <c r="B24" s="159" t="s">
        <v>483</v>
      </c>
      <c r="C24" s="105"/>
      <c r="D24" s="105"/>
      <c r="E24" s="105"/>
      <c r="F24" s="105"/>
      <c r="G24" s="105"/>
      <c r="H24" s="147"/>
      <c r="I24"/>
      <c r="J24" s="31"/>
    </row>
    <row r="25" spans="2:10" s="33" customFormat="1" ht="15.75" customHeight="1">
      <c r="B25" s="174" t="s">
        <v>860</v>
      </c>
      <c r="C25" s="175"/>
      <c r="D25" s="176"/>
      <c r="E25" s="156" t="s">
        <v>484</v>
      </c>
      <c r="F25" s="47">
        <v>1</v>
      </c>
      <c r="G25" s="47">
        <f>H28</f>
        <v>132.47999999999999</v>
      </c>
      <c r="H25" s="48">
        <f>TRUNC(G25*F25,2)</f>
        <v>132.47999999999999</v>
      </c>
      <c r="I25"/>
    </row>
    <row r="26" spans="2:10" ht="21" customHeight="1">
      <c r="B26" s="170" t="s">
        <v>485</v>
      </c>
      <c r="C26" s="24"/>
      <c r="E26" s="97" t="s">
        <v>477</v>
      </c>
      <c r="F26" s="35">
        <v>1</v>
      </c>
      <c r="G26" s="35">
        <f>VLOOKUP(B26,Tabela3[[#All],[descrição]:[fonte]],4,FALSE)</f>
        <v>3.95</v>
      </c>
      <c r="H26" s="37"/>
      <c r="I26"/>
      <c r="J26" s="49"/>
    </row>
    <row r="27" spans="2:10" ht="15">
      <c r="B27" s="170" t="s">
        <v>486</v>
      </c>
      <c r="C27" s="24"/>
      <c r="E27" s="97" t="s">
        <v>487</v>
      </c>
      <c r="F27" s="35">
        <f>ROUND((9+304)/12,2)</f>
        <v>26.08</v>
      </c>
      <c r="G27" s="35"/>
      <c r="H27" s="37"/>
      <c r="I27"/>
      <c r="J27" s="49"/>
    </row>
    <row r="28" spans="2:10" ht="15">
      <c r="B28" s="177" t="str">
        <f>CONCATENATE("Vale Transporte - ",B7)</f>
        <v>Vale Transporte - Porteiro</v>
      </c>
      <c r="C28" s="24"/>
      <c r="E28" s="102" t="s">
        <v>488</v>
      </c>
      <c r="F28" s="50">
        <f>F27*2*1</f>
        <v>52.16</v>
      </c>
      <c r="G28" s="50">
        <f>IF(TRUNC(IFERROR(((G26)-((G8*0.06)/(F27*2))),"-"),2)&lt;=0,0,TRUNC(IFERROR(((G26)-((G8*0.06)/(F27*2))),"-"),2))</f>
        <v>2.54</v>
      </c>
      <c r="H28" s="51">
        <f>TRUNC(IFERROR(F28*G28,"-"),2)</f>
        <v>132.47999999999999</v>
      </c>
      <c r="I28"/>
      <c r="J28" s="24"/>
    </row>
    <row r="29" spans="2:10" ht="15">
      <c r="B29" s="174" t="s">
        <v>859</v>
      </c>
      <c r="C29" s="175"/>
      <c r="D29" s="176"/>
      <c r="E29" s="156" t="s">
        <v>484</v>
      </c>
      <c r="F29" s="47">
        <v>1</v>
      </c>
      <c r="G29" s="47">
        <f>H30</f>
        <v>312.95999999999998</v>
      </c>
      <c r="H29" s="48">
        <f>G29*F29</f>
        <v>312.95999999999998</v>
      </c>
      <c r="I29"/>
      <c r="J29" s="24"/>
    </row>
    <row r="30" spans="2:10" ht="13.5" customHeight="1">
      <c r="B30" s="178" t="s">
        <v>489</v>
      </c>
      <c r="C30" s="179"/>
      <c r="D30" s="180"/>
      <c r="E30" s="157" t="s">
        <v>490</v>
      </c>
      <c r="F30" s="47">
        <f>F27</f>
        <v>26.08</v>
      </c>
      <c r="G30" s="47">
        <f>VLOOKUP(B30,Tabela3[[#All],[descrição]:[fonte]],4,FALSE)</f>
        <v>12</v>
      </c>
      <c r="H30" s="52">
        <f>TRUNC(F30*G30,2)</f>
        <v>312.95999999999998</v>
      </c>
      <c r="I30"/>
      <c r="J30" s="24"/>
    </row>
    <row r="31" spans="2:10" ht="15.75" customHeight="1">
      <c r="B31" s="181" t="s">
        <v>491</v>
      </c>
      <c r="C31" s="182"/>
      <c r="D31" s="183"/>
      <c r="E31" s="134" t="s">
        <v>484</v>
      </c>
      <c r="F31" s="35">
        <v>1</v>
      </c>
      <c r="G31" s="35">
        <f>VLOOKUP(B31,Tabela3[[#All],[descrição]:[fonte]],4,FALSE)</f>
        <v>220</v>
      </c>
      <c r="H31" s="40">
        <f>G31*F31</f>
        <v>220</v>
      </c>
      <c r="I31"/>
      <c r="J31" s="24"/>
    </row>
    <row r="32" spans="2:10" ht="15" customHeight="1">
      <c r="B32" s="160" t="s">
        <v>384</v>
      </c>
      <c r="C32" s="161"/>
      <c r="D32" s="161"/>
      <c r="E32" s="161"/>
      <c r="F32" s="161"/>
      <c r="G32" s="161"/>
      <c r="H32" s="165"/>
      <c r="I32"/>
      <c r="J32" s="24"/>
    </row>
    <row r="33" spans="2:17" ht="15.75" thickBot="1">
      <c r="B33" s="162" t="s">
        <v>854</v>
      </c>
      <c r="C33" s="163"/>
      <c r="D33" s="163"/>
      <c r="E33" s="163"/>
      <c r="F33" s="163"/>
      <c r="G33" s="163"/>
      <c r="H33" s="166">
        <f>H32*H7</f>
        <v>0</v>
      </c>
      <c r="I33"/>
      <c r="J33" s="24"/>
    </row>
    <row r="34" spans="2:17" ht="15.75" thickBot="1">
      <c r="B34"/>
      <c r="C34"/>
      <c r="D34"/>
      <c r="E34"/>
      <c r="F34"/>
      <c r="G34"/>
      <c r="H34"/>
      <c r="I34"/>
      <c r="J34" s="24"/>
    </row>
    <row r="35" spans="2:17" ht="31.5" customHeight="1">
      <c r="B35" s="541" t="s">
        <v>1323</v>
      </c>
      <c r="C35" s="541"/>
      <c r="D35" s="541" t="s">
        <v>1325</v>
      </c>
      <c r="E35" s="536"/>
      <c r="F35" s="536"/>
      <c r="G35" s="537"/>
      <c r="H35" s="34">
        <f>H51+H53+H57+H59+F60</f>
        <v>3144.8</v>
      </c>
      <c r="I35"/>
      <c r="J35" s="24"/>
      <c r="K35"/>
      <c r="L35"/>
      <c r="M35"/>
      <c r="N35"/>
      <c r="O35"/>
      <c r="P35"/>
      <c r="Q35"/>
    </row>
    <row r="36" spans="2:17" ht="15">
      <c r="B36" s="167" t="s">
        <v>1322</v>
      </c>
      <c r="E36" s="112" t="s">
        <v>466</v>
      </c>
      <c r="F36" s="112">
        <v>1</v>
      </c>
      <c r="G36" s="35">
        <f>VLOOKUP(B36,Tabela3[[descrição]:[fonte]],4,FALSE)</f>
        <v>1223.28</v>
      </c>
      <c r="H36" s="36">
        <f>TRUNC(F36*G36,2)</f>
        <v>1223.28</v>
      </c>
      <c r="I36"/>
      <c r="J36" s="24"/>
      <c r="K36"/>
      <c r="L36"/>
      <c r="M36"/>
      <c r="N36"/>
      <c r="O36"/>
      <c r="P36"/>
      <c r="Q36"/>
    </row>
    <row r="37" spans="2:17" ht="15">
      <c r="B37" s="170" t="s">
        <v>855</v>
      </c>
      <c r="E37" s="97" t="s">
        <v>466</v>
      </c>
      <c r="F37" s="97">
        <v>1</v>
      </c>
      <c r="G37" s="35">
        <f>VLOOKUP(B37,Tabela3[[descrição]:[valor]],4,FALSE)</f>
        <v>1045</v>
      </c>
      <c r="H37" s="37"/>
      <c r="I37"/>
      <c r="K37"/>
      <c r="L37"/>
      <c r="M37"/>
      <c r="N37"/>
      <c r="O37"/>
      <c r="P37"/>
      <c r="Q37"/>
    </row>
    <row r="38" spans="2:17" ht="15">
      <c r="B38" s="170" t="s">
        <v>468</v>
      </c>
      <c r="E38" s="97" t="s">
        <v>469</v>
      </c>
      <c r="F38" s="538">
        <f>5*52.5/60*($I$2/12)</f>
        <v>110.83333333333333</v>
      </c>
      <c r="G38" s="96"/>
      <c r="H38" s="151"/>
      <c r="I38"/>
      <c r="J38" s="24"/>
      <c r="K38"/>
      <c r="L38"/>
      <c r="M38"/>
      <c r="N38"/>
      <c r="O38"/>
      <c r="P38"/>
      <c r="Q38"/>
    </row>
    <row r="39" spans="2:17" ht="11.25" customHeight="1">
      <c r="B39" s="170"/>
      <c r="E39" s="97" t="s">
        <v>470</v>
      </c>
      <c r="F39" s="35">
        <f>F38*8/7</f>
        <v>126.66666666666666</v>
      </c>
      <c r="G39" s="54">
        <f>G36/220*0.2</f>
        <v>1.1120727272727273</v>
      </c>
      <c r="H39" s="37">
        <f>TRUNC(F39*G39,2)</f>
        <v>140.86000000000001</v>
      </c>
      <c r="I39"/>
      <c r="J39" s="24"/>
      <c r="K39"/>
      <c r="L39"/>
      <c r="M39"/>
      <c r="N39"/>
      <c r="O39"/>
      <c r="P39"/>
      <c r="Q39"/>
    </row>
    <row r="40" spans="2:17" ht="13.9" customHeight="1">
      <c r="B40" s="170" t="s">
        <v>471</v>
      </c>
      <c r="E40" s="97" t="s">
        <v>472</v>
      </c>
      <c r="F40" s="539">
        <f>$I$3/12*3</f>
        <v>2.25</v>
      </c>
      <c r="G40" s="35">
        <f>G36/220*2</f>
        <v>11.120727272727272</v>
      </c>
      <c r="H40" s="37">
        <f>TRUNC(F40*G40,2)</f>
        <v>25.02</v>
      </c>
      <c r="I40"/>
      <c r="J40" s="24"/>
      <c r="K40"/>
      <c r="L40"/>
      <c r="M40"/>
      <c r="N40"/>
      <c r="O40"/>
      <c r="P40"/>
      <c r="Q40"/>
    </row>
    <row r="41" spans="2:17" ht="11.25" customHeight="1">
      <c r="B41" s="170" t="s">
        <v>473</v>
      </c>
      <c r="E41" s="97" t="s">
        <v>469</v>
      </c>
      <c r="F41" s="539">
        <f>5*52.5/60*$I$3/12</f>
        <v>3.28125</v>
      </c>
      <c r="G41" s="35"/>
      <c r="H41" s="37"/>
      <c r="I41"/>
      <c r="J41" s="24"/>
      <c r="K41"/>
      <c r="L41"/>
      <c r="M41"/>
      <c r="N41"/>
      <c r="O41"/>
      <c r="P41"/>
      <c r="Q41"/>
    </row>
    <row r="42" spans="2:17" ht="15">
      <c r="B42" s="170"/>
      <c r="E42" s="97" t="s">
        <v>470</v>
      </c>
      <c r="F42" s="35">
        <f>F41*8/7</f>
        <v>3.75</v>
      </c>
      <c r="G42" s="35">
        <f>G36/220*2*1.2</f>
        <v>13.344872727272726</v>
      </c>
      <c r="H42" s="37">
        <f>TRUNC(F42*G42,2)</f>
        <v>50.04</v>
      </c>
      <c r="I42"/>
      <c r="J42" s="24"/>
      <c r="K42"/>
      <c r="L42"/>
      <c r="M42"/>
      <c r="N42"/>
      <c r="O42"/>
      <c r="P42"/>
      <c r="Q42"/>
    </row>
    <row r="43" spans="2:17" ht="15">
      <c r="B43" s="170" t="s">
        <v>474</v>
      </c>
      <c r="E43" s="97" t="s">
        <v>472</v>
      </c>
      <c r="F43" s="152"/>
      <c r="G43" s="35">
        <f>G36/220*1.5</f>
        <v>8.3405454545454543</v>
      </c>
      <c r="H43" s="37">
        <f>TRUNC(F43*G43,2)</f>
        <v>0</v>
      </c>
      <c r="I43"/>
      <c r="J43" s="24"/>
      <c r="K43"/>
      <c r="L43"/>
      <c r="M43"/>
      <c r="N43"/>
      <c r="O43"/>
      <c r="P43"/>
      <c r="Q43"/>
    </row>
    <row r="44" spans="2:17" ht="15">
      <c r="B44" s="170" t="s">
        <v>475</v>
      </c>
      <c r="E44" s="97" t="s">
        <v>469</v>
      </c>
      <c r="F44" s="152"/>
      <c r="G44" s="35"/>
      <c r="H44" s="37"/>
      <c r="I44"/>
      <c r="J44" s="24"/>
      <c r="K44"/>
      <c r="L44"/>
      <c r="M44"/>
      <c r="N44"/>
      <c r="O44"/>
      <c r="P44"/>
      <c r="Q44"/>
    </row>
    <row r="45" spans="2:17" ht="15">
      <c r="B45" s="170"/>
      <c r="E45" s="97" t="s">
        <v>470</v>
      </c>
      <c r="F45" s="35">
        <f>F44*8/7</f>
        <v>0</v>
      </c>
      <c r="G45" s="35">
        <f>G36/220*1.5*1.2</f>
        <v>10.008654545454545</v>
      </c>
      <c r="H45" s="37">
        <f>TRUNC(F45*G45,2)</f>
        <v>0</v>
      </c>
      <c r="I45"/>
      <c r="J45" s="24"/>
      <c r="K45"/>
      <c r="L45"/>
      <c r="M45"/>
      <c r="N45"/>
      <c r="O45"/>
      <c r="P45"/>
      <c r="Q45"/>
    </row>
    <row r="46" spans="2:17" ht="15">
      <c r="B46" s="170" t="s">
        <v>476</v>
      </c>
      <c r="E46" s="97" t="s">
        <v>477</v>
      </c>
      <c r="F46" s="96"/>
      <c r="G46" s="35">
        <f>TRUNC(((52+$I$3)/$I$2)*(SUM(H40:H45)),2)</f>
        <v>15.06</v>
      </c>
      <c r="H46" s="37">
        <f>G46</f>
        <v>15.06</v>
      </c>
      <c r="I46"/>
      <c r="J46" s="24"/>
      <c r="K46"/>
      <c r="L46"/>
      <c r="M46"/>
      <c r="N46"/>
      <c r="O46"/>
      <c r="P46"/>
      <c r="Q46"/>
    </row>
    <row r="47" spans="2:17" ht="15">
      <c r="B47" s="170" t="s">
        <v>478</v>
      </c>
      <c r="E47" s="97"/>
      <c r="F47" s="153">
        <v>1</v>
      </c>
      <c r="G47" s="35"/>
      <c r="H47" s="37"/>
      <c r="I47"/>
      <c r="J47" s="24"/>
      <c r="K47"/>
      <c r="L47"/>
      <c r="M47"/>
      <c r="N47"/>
      <c r="O47"/>
      <c r="P47"/>
      <c r="Q47"/>
    </row>
    <row r="48" spans="2:17" ht="15">
      <c r="B48" s="170" t="s">
        <v>479</v>
      </c>
      <c r="E48" s="97" t="s">
        <v>480</v>
      </c>
      <c r="F48" s="55">
        <f>VLOOKUP(B36,Tabela3[[descrição]:[Insalubridade]],3,FALSE)</f>
        <v>0</v>
      </c>
      <c r="G48" s="38">
        <f>IF(F47=2,SUM(H36:H46),IF(F47=1,SUM(H36:H46)*G37/G36,0))</f>
        <v>1242.3171309920867</v>
      </c>
      <c r="H48" s="37">
        <f>TRUNC(F48*G48/100,2)</f>
        <v>0</v>
      </c>
      <c r="I48"/>
      <c r="J48" s="24"/>
      <c r="K48"/>
      <c r="L48"/>
      <c r="M48"/>
      <c r="N48"/>
      <c r="O48"/>
      <c r="P48"/>
      <c r="Q48"/>
    </row>
    <row r="49" spans="2:17" ht="15">
      <c r="B49" s="171" t="s">
        <v>481</v>
      </c>
      <c r="E49" s="134"/>
      <c r="F49" s="134"/>
      <c r="G49" s="39"/>
      <c r="H49" s="40">
        <f>SUM(H36:H48)</f>
        <v>1454.2599999999998</v>
      </c>
      <c r="I49"/>
      <c r="J49" s="24"/>
      <c r="K49"/>
      <c r="L49"/>
      <c r="M49"/>
      <c r="N49"/>
      <c r="O49"/>
      <c r="P49"/>
      <c r="Q49"/>
    </row>
    <row r="50" spans="2:17" ht="15">
      <c r="B50" s="534" t="s">
        <v>482</v>
      </c>
      <c r="E50" s="154" t="s">
        <v>480</v>
      </c>
      <c r="F50" s="41">
        <f>VLOOKUP(B50,Tabela3[[descrição]:[valor]],4,FALSE)</f>
        <v>70.489999999999995</v>
      </c>
      <c r="G50" s="42">
        <f>H49</f>
        <v>1454.2599999999998</v>
      </c>
      <c r="H50" s="43">
        <f>TRUNC(G50*F50/100,2)</f>
        <v>1025.0999999999999</v>
      </c>
      <c r="I50"/>
      <c r="J50" s="24"/>
      <c r="K50"/>
      <c r="L50"/>
      <c r="M50"/>
      <c r="N50"/>
      <c r="O50"/>
      <c r="P50"/>
      <c r="Q50"/>
    </row>
    <row r="51" spans="2:17" ht="13.15" customHeight="1">
      <c r="B51" s="542" t="s">
        <v>861</v>
      </c>
      <c r="C51" s="155"/>
      <c r="D51" s="155"/>
      <c r="E51" s="155"/>
      <c r="F51" s="155"/>
      <c r="G51" s="44"/>
      <c r="H51" s="45">
        <f>TRUNC(H49+H50,2)</f>
        <v>2479.36</v>
      </c>
      <c r="I51"/>
      <c r="J51" s="24"/>
      <c r="K51"/>
      <c r="L51"/>
      <c r="M51"/>
      <c r="N51"/>
      <c r="O51"/>
      <c r="P51"/>
      <c r="Q51"/>
    </row>
    <row r="52" spans="2:17" ht="17.25" customHeight="1">
      <c r="B52" s="543" t="s">
        <v>483</v>
      </c>
      <c r="C52" s="105"/>
      <c r="D52" s="105"/>
      <c r="E52" s="105"/>
      <c r="F52" s="105"/>
      <c r="G52" s="105"/>
      <c r="H52" s="147"/>
      <c r="I52"/>
      <c r="J52" s="24"/>
      <c r="K52"/>
      <c r="L52"/>
      <c r="M52"/>
      <c r="N52"/>
      <c r="O52"/>
      <c r="P52"/>
      <c r="Q52"/>
    </row>
    <row r="53" spans="2:17" ht="13.9" customHeight="1">
      <c r="B53" s="544" t="s">
        <v>860</v>
      </c>
      <c r="C53" s="156"/>
      <c r="D53" s="156"/>
      <c r="E53" s="156" t="s">
        <v>484</v>
      </c>
      <c r="F53" s="47">
        <v>1</v>
      </c>
      <c r="G53" s="47">
        <f>H56</f>
        <v>132.47999999999999</v>
      </c>
      <c r="H53" s="48">
        <f>TRUNC(G53*F53,2)</f>
        <v>132.47999999999999</v>
      </c>
      <c r="I53"/>
      <c r="J53" s="24"/>
      <c r="K53"/>
      <c r="L53"/>
      <c r="M53"/>
      <c r="N53"/>
      <c r="O53"/>
      <c r="P53"/>
      <c r="Q53"/>
    </row>
    <row r="54" spans="2:17" s="53" customFormat="1" ht="15">
      <c r="B54" s="534" t="s">
        <v>485</v>
      </c>
      <c r="E54" s="97" t="s">
        <v>477</v>
      </c>
      <c r="F54" s="35">
        <v>1</v>
      </c>
      <c r="G54" s="35">
        <f>VLOOKUP(B54,Tabela3[[descrição]:[valor]],4,FALSE)</f>
        <v>3.95</v>
      </c>
      <c r="H54" s="37"/>
      <c r="I54"/>
      <c r="K54"/>
      <c r="L54"/>
      <c r="M54"/>
      <c r="N54"/>
      <c r="O54"/>
      <c r="P54"/>
      <c r="Q54"/>
    </row>
    <row r="55" spans="2:17" s="53" customFormat="1" ht="15">
      <c r="B55" s="534" t="s">
        <v>486</v>
      </c>
      <c r="E55" s="97" t="s">
        <v>487</v>
      </c>
      <c r="F55" s="35">
        <f>ROUND(($I$2+$I$3)/12,2)</f>
        <v>26.08</v>
      </c>
      <c r="G55" s="35"/>
      <c r="H55" s="37"/>
      <c r="I55"/>
      <c r="K55"/>
      <c r="L55"/>
      <c r="M55"/>
      <c r="N55"/>
      <c r="O55"/>
      <c r="P55"/>
      <c r="Q55"/>
    </row>
    <row r="56" spans="2:17" s="53" customFormat="1" ht="15">
      <c r="B56" s="534" t="str">
        <f>CONCATENATE("Vale Transporte - ",B35)</f>
        <v>Vale Transporte - Porteiro</v>
      </c>
      <c r="E56" s="102" t="s">
        <v>488</v>
      </c>
      <c r="F56" s="50">
        <f>F55*2*1</f>
        <v>52.16</v>
      </c>
      <c r="G56" s="50">
        <f>IF(TRUNC(IFERROR(((G54)-((G36*0.06)/(F55*2))),"-"),2)&lt;=0,0,TRUNC(IFERROR(((G54)-((G36*0.06)/(F55*2))),"-"),2))</f>
        <v>2.54</v>
      </c>
      <c r="H56" s="51">
        <f>TRUNC(IFERROR(F56*G56,"-"),2)</f>
        <v>132.47999999999999</v>
      </c>
      <c r="I56"/>
      <c r="K56"/>
      <c r="L56"/>
      <c r="M56"/>
      <c r="N56"/>
      <c r="O56"/>
      <c r="P56"/>
      <c r="Q56"/>
    </row>
    <row r="57" spans="2:17" s="53" customFormat="1" ht="15">
      <c r="B57" s="544" t="s">
        <v>859</v>
      </c>
      <c r="C57" s="156"/>
      <c r="D57" s="156"/>
      <c r="E57" s="156" t="s">
        <v>484</v>
      </c>
      <c r="F57" s="47">
        <v>1</v>
      </c>
      <c r="G57" s="47">
        <f>H58</f>
        <v>312.95999999999998</v>
      </c>
      <c r="H57" s="48">
        <f>G57*F57</f>
        <v>312.95999999999998</v>
      </c>
      <c r="I57"/>
      <c r="K57"/>
      <c r="L57"/>
      <c r="M57"/>
      <c r="N57"/>
      <c r="O57"/>
      <c r="P57"/>
      <c r="Q57"/>
    </row>
    <row r="58" spans="2:17" s="53" customFormat="1" ht="15">
      <c r="B58" s="545" t="s">
        <v>489</v>
      </c>
      <c r="C58" s="157"/>
      <c r="D58" s="157"/>
      <c r="E58" s="157" t="s">
        <v>490</v>
      </c>
      <c r="F58" s="47">
        <f>F55</f>
        <v>26.08</v>
      </c>
      <c r="G58" s="47">
        <f>VLOOKUP(B58,Tabela3[[descrição]:[valor]],4,FALSE)</f>
        <v>12</v>
      </c>
      <c r="H58" s="52">
        <f>TRUNC(F58*G58,2)</f>
        <v>312.95999999999998</v>
      </c>
      <c r="I58"/>
      <c r="K58"/>
      <c r="L58"/>
      <c r="M58"/>
      <c r="N58"/>
      <c r="O58"/>
      <c r="P58"/>
      <c r="Q58"/>
    </row>
    <row r="59" spans="2:17" s="53" customFormat="1" ht="15">
      <c r="B59" s="546" t="s">
        <v>491</v>
      </c>
      <c r="C59" s="475"/>
      <c r="D59" s="475"/>
      <c r="E59" s="475" t="s">
        <v>484</v>
      </c>
      <c r="F59" s="50">
        <v>1</v>
      </c>
      <c r="G59" s="35">
        <f>VLOOKUP(B59,FUNCIONÁRIOS!C3:F53,4,FALSE)</f>
        <v>220</v>
      </c>
      <c r="H59" s="540">
        <f>G59*F59</f>
        <v>220</v>
      </c>
      <c r="I59"/>
      <c r="K59"/>
      <c r="L59"/>
      <c r="M59"/>
      <c r="N59"/>
      <c r="O59"/>
      <c r="P59"/>
      <c r="Q59"/>
    </row>
    <row r="60" spans="2:17" s="53" customFormat="1" ht="11.25" customHeight="1">
      <c r="B60" s="160" t="s">
        <v>384</v>
      </c>
      <c r="C60" s="161"/>
      <c r="D60" s="161"/>
      <c r="E60" s="161"/>
      <c r="F60" s="161"/>
      <c r="G60" s="161"/>
      <c r="H60" s="165"/>
      <c r="I60"/>
      <c r="K60"/>
      <c r="L60"/>
      <c r="M60"/>
      <c r="N60"/>
      <c r="O60"/>
      <c r="P60"/>
      <c r="Q60"/>
    </row>
    <row r="61" spans="2:17" s="53" customFormat="1" ht="15.75" thickBot="1">
      <c r="B61" s="162" t="s">
        <v>854</v>
      </c>
      <c r="C61" s="163"/>
      <c r="D61" s="163"/>
      <c r="E61" s="163"/>
      <c r="F61" s="163"/>
      <c r="G61" s="163"/>
      <c r="H61" s="166">
        <f>H60*H35</f>
        <v>0</v>
      </c>
      <c r="I61"/>
      <c r="K61"/>
      <c r="L61"/>
      <c r="M61"/>
      <c r="N61"/>
      <c r="O61"/>
      <c r="P61"/>
      <c r="Q61"/>
    </row>
    <row r="62" spans="2:17" s="53" customFormat="1" ht="11.25" customHeight="1">
      <c r="B62"/>
      <c r="C62"/>
      <c r="D62"/>
      <c r="E62"/>
      <c r="F62"/>
      <c r="G62"/>
      <c r="H62"/>
      <c r="I62"/>
    </row>
    <row r="63" spans="2:17" s="53" customFormat="1" ht="15">
      <c r="B63"/>
      <c r="C63"/>
      <c r="D63"/>
      <c r="E63"/>
      <c r="F63"/>
      <c r="G63"/>
      <c r="H63"/>
      <c r="I63"/>
    </row>
    <row r="64" spans="2:17" s="53" customFormat="1" ht="11.25" customHeight="1">
      <c r="B64"/>
      <c r="C64"/>
      <c r="D64"/>
      <c r="E64"/>
      <c r="F64"/>
      <c r="G64"/>
      <c r="H64"/>
      <c r="I64"/>
    </row>
    <row r="65" spans="2:9" s="53" customFormat="1" ht="15">
      <c r="B65"/>
      <c r="C65"/>
      <c r="D65"/>
      <c r="E65"/>
      <c r="F65"/>
      <c r="G65"/>
      <c r="H65"/>
      <c r="I65"/>
    </row>
    <row r="66" spans="2:9" s="53" customFormat="1" ht="11.25" customHeight="1">
      <c r="B66"/>
      <c r="C66"/>
      <c r="D66"/>
      <c r="E66"/>
      <c r="F66"/>
      <c r="G66"/>
      <c r="H66"/>
      <c r="I66"/>
    </row>
    <row r="67" spans="2:9" s="53" customFormat="1" ht="15">
      <c r="B67"/>
      <c r="C67"/>
      <c r="D67"/>
      <c r="E67"/>
      <c r="F67"/>
      <c r="G67"/>
      <c r="H67"/>
      <c r="I67"/>
    </row>
    <row r="68" spans="2:9" s="53" customFormat="1" ht="15">
      <c r="B68"/>
      <c r="C68"/>
      <c r="D68"/>
      <c r="E68"/>
      <c r="F68"/>
      <c r="G68"/>
      <c r="H68"/>
      <c r="I68"/>
    </row>
    <row r="69" spans="2:9" s="53" customFormat="1" ht="15">
      <c r="B69"/>
      <c r="C69"/>
      <c r="D69"/>
      <c r="E69"/>
      <c r="F69"/>
      <c r="G69"/>
      <c r="H69"/>
      <c r="I69"/>
    </row>
    <row r="70" spans="2:9" s="53" customFormat="1" ht="15">
      <c r="B70"/>
      <c r="C70"/>
      <c r="D70"/>
      <c r="E70"/>
      <c r="F70"/>
      <c r="G70"/>
      <c r="H70"/>
      <c r="I70"/>
    </row>
    <row r="71" spans="2:9" s="53" customFormat="1" ht="15">
      <c r="B71"/>
      <c r="C71"/>
      <c r="D71"/>
      <c r="E71"/>
      <c r="F71"/>
      <c r="G71"/>
      <c r="H71"/>
      <c r="I71"/>
    </row>
    <row r="72" spans="2:9" s="53" customFormat="1" ht="15">
      <c r="B72"/>
      <c r="C72"/>
      <c r="D72"/>
      <c r="E72"/>
      <c r="F72"/>
      <c r="G72"/>
      <c r="H72"/>
      <c r="I72"/>
    </row>
    <row r="73" spans="2:9" s="53" customFormat="1" ht="15">
      <c r="B73"/>
      <c r="C73"/>
      <c r="D73"/>
      <c r="E73"/>
      <c r="F73"/>
      <c r="G73"/>
      <c r="H73"/>
      <c r="I73"/>
    </row>
    <row r="74" spans="2:9" s="53" customFormat="1" ht="15">
      <c r="B74"/>
      <c r="C74"/>
      <c r="D74"/>
      <c r="E74"/>
      <c r="F74"/>
      <c r="G74"/>
      <c r="H74"/>
      <c r="I74"/>
    </row>
    <row r="75" spans="2:9" s="53" customFormat="1" ht="15">
      <c r="B75"/>
      <c r="C75"/>
      <c r="D75"/>
      <c r="E75"/>
      <c r="F75"/>
      <c r="G75"/>
      <c r="H75"/>
      <c r="I75"/>
    </row>
    <row r="76" spans="2:9" s="53" customFormat="1" ht="15">
      <c r="B76"/>
      <c r="C76"/>
      <c r="D76"/>
      <c r="E76"/>
      <c r="F76"/>
      <c r="G76"/>
      <c r="H76"/>
      <c r="I76"/>
    </row>
    <row r="77" spans="2:9" s="53" customFormat="1" ht="15">
      <c r="B77"/>
      <c r="C77"/>
      <c r="D77"/>
      <c r="E77"/>
      <c r="F77"/>
      <c r="G77"/>
      <c r="H77"/>
      <c r="I77"/>
    </row>
    <row r="78" spans="2:9" s="53" customFormat="1" ht="15">
      <c r="B78"/>
      <c r="C78"/>
      <c r="D78"/>
      <c r="E78"/>
      <c r="F78"/>
      <c r="G78"/>
      <c r="H78"/>
      <c r="I78"/>
    </row>
    <row r="79" spans="2:9" s="53" customFormat="1" ht="15">
      <c r="B79"/>
      <c r="C79"/>
      <c r="D79"/>
      <c r="E79"/>
      <c r="F79"/>
      <c r="G79"/>
      <c r="H79"/>
      <c r="I79"/>
    </row>
    <row r="80" spans="2:9" s="53" customFormat="1" ht="15">
      <c r="B80"/>
      <c r="C80"/>
      <c r="D80"/>
      <c r="E80"/>
      <c r="F80"/>
      <c r="G80"/>
      <c r="H80"/>
      <c r="I80"/>
    </row>
    <row r="81" spans="2:9" s="53" customFormat="1" ht="15">
      <c r="B81"/>
      <c r="C81"/>
      <c r="D81"/>
      <c r="E81"/>
      <c r="F81"/>
      <c r="G81"/>
      <c r="H81"/>
      <c r="I81"/>
    </row>
    <row r="82" spans="2:9" s="53" customFormat="1" ht="11.25" customHeight="1">
      <c r="B82"/>
      <c r="C82"/>
      <c r="D82"/>
      <c r="E82"/>
      <c r="F82"/>
      <c r="G82"/>
      <c r="H82"/>
      <c r="I82"/>
    </row>
    <row r="83" spans="2:9" s="53" customFormat="1" ht="15">
      <c r="B83"/>
      <c r="C83"/>
      <c r="D83"/>
      <c r="E83"/>
      <c r="F83"/>
      <c r="G83"/>
      <c r="H83"/>
      <c r="I83"/>
    </row>
    <row r="84" spans="2:9" s="53" customFormat="1" ht="15">
      <c r="B84"/>
      <c r="C84"/>
      <c r="D84"/>
      <c r="E84"/>
      <c r="F84"/>
      <c r="G84"/>
      <c r="H84"/>
      <c r="I84"/>
    </row>
    <row r="85" spans="2:9" s="53" customFormat="1" ht="15">
      <c r="B85"/>
      <c r="C85"/>
      <c r="D85"/>
      <c r="E85"/>
      <c r="F85"/>
      <c r="G85"/>
      <c r="H85"/>
      <c r="I85"/>
    </row>
    <row r="86" spans="2:9" s="53" customFormat="1" ht="15">
      <c r="B86"/>
      <c r="C86"/>
      <c r="D86"/>
      <c r="E86"/>
      <c r="F86"/>
      <c r="G86"/>
      <c r="H86"/>
      <c r="I86"/>
    </row>
    <row r="87" spans="2:9" s="53" customFormat="1" ht="15">
      <c r="B87"/>
      <c r="C87"/>
      <c r="D87"/>
      <c r="E87"/>
      <c r="F87"/>
      <c r="G87"/>
      <c r="H87"/>
      <c r="I87"/>
    </row>
    <row r="88" spans="2:9" s="53" customFormat="1" ht="15">
      <c r="B88"/>
      <c r="C88"/>
      <c r="D88"/>
      <c r="E88"/>
      <c r="F88"/>
      <c r="G88"/>
      <c r="H88"/>
      <c r="I88"/>
    </row>
    <row r="89" spans="2:9" s="53" customFormat="1" ht="15">
      <c r="B89"/>
      <c r="C89"/>
      <c r="D89"/>
      <c r="E89"/>
      <c r="F89"/>
      <c r="G89"/>
      <c r="H89"/>
      <c r="I89"/>
    </row>
    <row r="90" spans="2:9" s="53" customFormat="1" ht="15">
      <c r="B90"/>
      <c r="C90"/>
      <c r="D90"/>
      <c r="E90"/>
      <c r="F90"/>
      <c r="G90"/>
      <c r="H90"/>
      <c r="I90"/>
    </row>
    <row r="91" spans="2:9" s="53" customFormat="1" ht="15">
      <c r="B91"/>
      <c r="C91"/>
      <c r="D91"/>
      <c r="E91"/>
      <c r="F91"/>
      <c r="G91"/>
      <c r="H91"/>
      <c r="I91"/>
    </row>
    <row r="92" spans="2:9" s="53" customFormat="1" ht="15">
      <c r="B92"/>
      <c r="C92"/>
      <c r="D92"/>
      <c r="E92"/>
      <c r="F92"/>
      <c r="G92"/>
      <c r="H92"/>
      <c r="I92"/>
    </row>
    <row r="93" spans="2:9" s="53" customFormat="1" ht="15">
      <c r="B93"/>
      <c r="C93"/>
      <c r="D93"/>
      <c r="E93"/>
      <c r="F93"/>
      <c r="G93"/>
      <c r="H93"/>
      <c r="I93"/>
    </row>
    <row r="94" spans="2:9" s="53" customFormat="1" ht="15">
      <c r="B94"/>
      <c r="C94"/>
      <c r="D94"/>
      <c r="E94"/>
      <c r="F94"/>
      <c r="G94"/>
      <c r="H94"/>
      <c r="I94"/>
    </row>
    <row r="95" spans="2:9" s="53" customFormat="1" ht="15">
      <c r="B95"/>
      <c r="C95"/>
      <c r="D95"/>
      <c r="E95"/>
      <c r="F95"/>
      <c r="G95"/>
      <c r="H95"/>
      <c r="I95"/>
    </row>
    <row r="96" spans="2:9" s="53" customFormat="1" ht="11.25" customHeight="1">
      <c r="B96"/>
      <c r="C96"/>
      <c r="D96"/>
      <c r="E96"/>
      <c r="F96"/>
      <c r="G96"/>
      <c r="H96"/>
      <c r="I96"/>
    </row>
    <row r="97" spans="2:9" s="53" customFormat="1" ht="15">
      <c r="B97"/>
      <c r="C97"/>
      <c r="D97"/>
      <c r="E97"/>
      <c r="F97"/>
      <c r="G97"/>
      <c r="H97"/>
      <c r="I97"/>
    </row>
    <row r="98" spans="2:9" s="53" customFormat="1" ht="15">
      <c r="B98"/>
      <c r="C98"/>
      <c r="D98"/>
      <c r="E98"/>
      <c r="F98"/>
      <c r="G98"/>
      <c r="H98"/>
      <c r="I98"/>
    </row>
    <row r="99" spans="2:9" s="53" customFormat="1" ht="15">
      <c r="B99"/>
      <c r="C99"/>
      <c r="D99"/>
      <c r="E99"/>
      <c r="F99"/>
      <c r="G99"/>
      <c r="H99"/>
      <c r="I99"/>
    </row>
    <row r="100" spans="2:9" s="53" customFormat="1" ht="15">
      <c r="B100"/>
      <c r="C100"/>
      <c r="D100"/>
      <c r="E100"/>
      <c r="F100"/>
      <c r="G100"/>
      <c r="H100"/>
      <c r="I100"/>
    </row>
    <row r="101" spans="2:9" s="53" customFormat="1" ht="15">
      <c r="B101"/>
      <c r="C101"/>
      <c r="D101"/>
      <c r="E101"/>
      <c r="F101"/>
      <c r="G101"/>
      <c r="H101"/>
      <c r="I101"/>
    </row>
    <row r="102" spans="2:9" s="53" customFormat="1" ht="15">
      <c r="B102"/>
      <c r="C102"/>
      <c r="D102"/>
      <c r="E102"/>
      <c r="F102"/>
      <c r="G102"/>
      <c r="H102"/>
      <c r="I102"/>
    </row>
    <row r="103" spans="2:9" s="53" customFormat="1" ht="15">
      <c r="B103"/>
      <c r="C103"/>
      <c r="D103"/>
      <c r="E103"/>
      <c r="F103"/>
      <c r="G103"/>
      <c r="H103"/>
      <c r="I103"/>
    </row>
    <row r="104" spans="2:9" s="53" customFormat="1" ht="11.25" customHeight="1">
      <c r="B104"/>
      <c r="C104"/>
      <c r="D104"/>
      <c r="E104"/>
      <c r="F104"/>
      <c r="G104"/>
      <c r="H104"/>
      <c r="I104"/>
    </row>
    <row r="105" spans="2:9" s="53" customFormat="1" ht="15">
      <c r="B105"/>
      <c r="C105"/>
      <c r="D105"/>
      <c r="E105"/>
      <c r="F105"/>
      <c r="G105"/>
      <c r="H105"/>
      <c r="I105"/>
    </row>
    <row r="106" spans="2:9" s="53" customFormat="1" ht="15">
      <c r="B106"/>
      <c r="C106"/>
      <c r="D106"/>
      <c r="E106"/>
      <c r="F106"/>
      <c r="G106"/>
      <c r="H106"/>
      <c r="I106"/>
    </row>
    <row r="107" spans="2:9" s="53" customFormat="1" ht="15">
      <c r="B107"/>
      <c r="C107"/>
      <c r="D107"/>
      <c r="E107"/>
      <c r="F107"/>
      <c r="G107"/>
      <c r="H107"/>
      <c r="I107"/>
    </row>
    <row r="108" spans="2:9" s="53" customFormat="1" ht="15">
      <c r="B108"/>
      <c r="C108"/>
      <c r="D108"/>
      <c r="E108"/>
      <c r="F108"/>
      <c r="G108"/>
      <c r="H108"/>
      <c r="I108"/>
    </row>
    <row r="109" spans="2:9" s="53" customFormat="1" ht="15">
      <c r="B109"/>
      <c r="C109"/>
      <c r="D109"/>
      <c r="E109"/>
      <c r="F109"/>
      <c r="G109"/>
      <c r="H109"/>
      <c r="I109"/>
    </row>
    <row r="110" spans="2:9" s="53" customFormat="1" ht="15">
      <c r="B110"/>
      <c r="C110"/>
      <c r="D110"/>
      <c r="E110"/>
      <c r="F110"/>
      <c r="G110"/>
      <c r="H110"/>
      <c r="I110"/>
    </row>
    <row r="111" spans="2:9" s="53" customFormat="1" ht="15">
      <c r="B111"/>
      <c r="C111"/>
      <c r="D111"/>
      <c r="E111"/>
      <c r="F111"/>
      <c r="G111"/>
      <c r="H111"/>
      <c r="I111"/>
    </row>
    <row r="112" spans="2:9" s="53" customFormat="1" ht="15">
      <c r="B112"/>
      <c r="C112"/>
      <c r="D112"/>
      <c r="E112"/>
      <c r="F112"/>
      <c r="G112"/>
      <c r="H112"/>
      <c r="I112"/>
    </row>
    <row r="113" spans="2:9" s="53" customFormat="1" ht="15">
      <c r="B113"/>
      <c r="C113"/>
      <c r="D113"/>
      <c r="E113"/>
      <c r="F113"/>
      <c r="G113"/>
      <c r="H113"/>
      <c r="I113"/>
    </row>
    <row r="114" spans="2:9" s="53" customFormat="1" ht="15">
      <c r="B114"/>
      <c r="C114"/>
      <c r="D114"/>
      <c r="E114"/>
      <c r="F114"/>
      <c r="G114"/>
      <c r="H114"/>
      <c r="I114"/>
    </row>
    <row r="115" spans="2:9" s="53" customFormat="1" ht="15">
      <c r="B115"/>
      <c r="C115"/>
      <c r="D115"/>
      <c r="E115"/>
      <c r="F115"/>
      <c r="G115"/>
      <c r="H115"/>
      <c r="I115"/>
    </row>
    <row r="116" spans="2:9" s="53" customFormat="1" ht="15">
      <c r="B116"/>
      <c r="C116"/>
      <c r="D116"/>
      <c r="E116"/>
      <c r="F116"/>
      <c r="G116"/>
      <c r="H116"/>
      <c r="I116"/>
    </row>
    <row r="117" spans="2:9" s="53" customFormat="1" ht="15">
      <c r="B117"/>
      <c r="C117"/>
      <c r="D117"/>
      <c r="E117"/>
      <c r="F117"/>
      <c r="G117"/>
      <c r="H117"/>
      <c r="I117"/>
    </row>
    <row r="118" spans="2:9" s="53" customFormat="1" ht="15">
      <c r="B118"/>
      <c r="C118"/>
      <c r="D118"/>
      <c r="E118"/>
      <c r="F118"/>
      <c r="G118"/>
      <c r="H118"/>
      <c r="I118"/>
    </row>
    <row r="119" spans="2:9" s="53" customFormat="1" ht="15">
      <c r="B119"/>
      <c r="C119"/>
      <c r="D119"/>
      <c r="E119"/>
      <c r="F119"/>
      <c r="G119"/>
      <c r="H119"/>
      <c r="I119"/>
    </row>
    <row r="120" spans="2:9" s="53" customFormat="1" ht="15">
      <c r="B120"/>
      <c r="C120"/>
      <c r="D120"/>
      <c r="E120"/>
      <c r="F120"/>
      <c r="G120"/>
      <c r="H120"/>
      <c r="I120"/>
    </row>
    <row r="121" spans="2:9" s="53" customFormat="1" ht="15">
      <c r="B121"/>
      <c r="C121"/>
      <c r="D121"/>
      <c r="E121"/>
      <c r="F121"/>
      <c r="G121"/>
      <c r="H121"/>
      <c r="I121"/>
    </row>
    <row r="122" spans="2:9" s="53" customFormat="1" ht="11.25" customHeight="1">
      <c r="B122"/>
      <c r="C122"/>
      <c r="D122"/>
      <c r="E122"/>
      <c r="F122"/>
      <c r="G122"/>
      <c r="H122"/>
      <c r="I122"/>
    </row>
    <row r="123" spans="2:9" s="53" customFormat="1" ht="15">
      <c r="B123"/>
      <c r="C123"/>
      <c r="D123"/>
      <c r="E123"/>
      <c r="F123"/>
      <c r="G123"/>
      <c r="H123"/>
      <c r="I123"/>
    </row>
    <row r="124" spans="2:9" s="53" customFormat="1" ht="15">
      <c r="B124"/>
      <c r="C124"/>
      <c r="D124"/>
      <c r="E124"/>
      <c r="F124"/>
      <c r="G124"/>
      <c r="H124"/>
      <c r="I124"/>
    </row>
    <row r="125" spans="2:9" s="53" customFormat="1" ht="15">
      <c r="B125"/>
      <c r="C125"/>
      <c r="D125"/>
      <c r="E125"/>
      <c r="F125"/>
      <c r="G125"/>
      <c r="H125"/>
      <c r="I125"/>
    </row>
    <row r="126" spans="2:9" s="53" customFormat="1" ht="15">
      <c r="B126"/>
      <c r="C126"/>
      <c r="D126"/>
      <c r="E126"/>
      <c r="F126"/>
      <c r="G126"/>
      <c r="H126"/>
      <c r="I126"/>
    </row>
    <row r="127" spans="2:9" s="53" customFormat="1" ht="11.25" customHeight="1">
      <c r="B127"/>
      <c r="C127"/>
      <c r="D127"/>
      <c r="E127"/>
      <c r="F127"/>
      <c r="G127"/>
      <c r="H127"/>
      <c r="I127"/>
    </row>
    <row r="128" spans="2:9" s="53" customFormat="1" ht="15">
      <c r="B128"/>
      <c r="C128"/>
      <c r="D128"/>
      <c r="E128"/>
      <c r="F128"/>
      <c r="G128"/>
      <c r="H128"/>
      <c r="I128"/>
    </row>
    <row r="129" spans="2:9" s="53" customFormat="1" ht="15">
      <c r="B129"/>
      <c r="C129"/>
      <c r="D129"/>
      <c r="E129"/>
      <c r="F129"/>
      <c r="G129"/>
      <c r="H129"/>
      <c r="I129"/>
    </row>
    <row r="130" spans="2:9" s="53" customFormat="1" ht="15">
      <c r="B130"/>
      <c r="C130"/>
      <c r="D130"/>
      <c r="E130"/>
      <c r="F130"/>
      <c r="G130"/>
      <c r="H130"/>
      <c r="I130"/>
    </row>
    <row r="131" spans="2:9" s="53" customFormat="1" ht="15">
      <c r="B131"/>
      <c r="C131"/>
      <c r="D131"/>
      <c r="E131"/>
      <c r="F131"/>
      <c r="G131"/>
      <c r="H131"/>
      <c r="I131"/>
    </row>
    <row r="132" spans="2:9" s="53" customFormat="1" ht="15">
      <c r="B132"/>
      <c r="C132"/>
      <c r="D132"/>
      <c r="E132"/>
      <c r="F132"/>
      <c r="G132"/>
      <c r="H132"/>
      <c r="I132"/>
    </row>
    <row r="133" spans="2:9" s="53" customFormat="1" ht="15">
      <c r="B133"/>
      <c r="C133"/>
      <c r="D133"/>
      <c r="E133"/>
      <c r="F133"/>
      <c r="G133"/>
      <c r="H133"/>
      <c r="I133"/>
    </row>
    <row r="134" spans="2:9" s="53" customFormat="1" ht="15">
      <c r="B134"/>
      <c r="C134"/>
      <c r="D134"/>
      <c r="E134"/>
      <c r="F134"/>
      <c r="G134"/>
      <c r="H134"/>
      <c r="I134"/>
    </row>
    <row r="135" spans="2:9" s="53" customFormat="1" ht="15">
      <c r="B135"/>
      <c r="C135"/>
      <c r="D135"/>
      <c r="E135"/>
      <c r="F135"/>
      <c r="G135"/>
      <c r="H135"/>
      <c r="I135"/>
    </row>
    <row r="136" spans="2:9" s="53" customFormat="1" ht="11.25" customHeight="1">
      <c r="B136"/>
      <c r="C136"/>
      <c r="D136"/>
      <c r="E136"/>
      <c r="F136"/>
      <c r="G136"/>
      <c r="H136"/>
      <c r="I136"/>
    </row>
    <row r="137" spans="2:9" s="53" customFormat="1" ht="11.25" customHeight="1">
      <c r="B137"/>
      <c r="C137"/>
      <c r="D137"/>
      <c r="E137"/>
      <c r="F137"/>
      <c r="G137"/>
      <c r="H137"/>
      <c r="I137"/>
    </row>
    <row r="138" spans="2:9" s="53" customFormat="1" ht="11.25" customHeight="1">
      <c r="B138"/>
      <c r="C138"/>
      <c r="D138"/>
      <c r="E138"/>
      <c r="F138"/>
      <c r="G138"/>
      <c r="H138"/>
      <c r="I138"/>
    </row>
    <row r="139" spans="2:9" s="53" customFormat="1" ht="15">
      <c r="B139"/>
      <c r="C139"/>
      <c r="D139"/>
      <c r="E139"/>
      <c r="F139"/>
      <c r="G139"/>
      <c r="H139"/>
      <c r="I139"/>
    </row>
    <row r="140" spans="2:9" s="53" customFormat="1" ht="11.25" customHeight="1">
      <c r="B140"/>
      <c r="C140"/>
      <c r="D140"/>
      <c r="E140"/>
      <c r="F140"/>
      <c r="G140"/>
      <c r="H140"/>
      <c r="I140"/>
    </row>
    <row r="141" spans="2:9" s="53" customFormat="1" ht="15">
      <c r="B141"/>
      <c r="C141"/>
      <c r="D141"/>
      <c r="E141"/>
      <c r="F141"/>
      <c r="G141"/>
      <c r="H141"/>
      <c r="I141"/>
    </row>
    <row r="142" spans="2:9" s="53" customFormat="1" ht="15">
      <c r="B142"/>
      <c r="C142"/>
      <c r="D142"/>
      <c r="E142"/>
      <c r="F142"/>
      <c r="G142"/>
      <c r="H142"/>
      <c r="I142"/>
    </row>
    <row r="143" spans="2:9" s="53" customFormat="1" ht="15">
      <c r="B143"/>
      <c r="C143"/>
      <c r="D143"/>
      <c r="E143"/>
      <c r="F143"/>
      <c r="G143"/>
      <c r="H143"/>
      <c r="I143"/>
    </row>
    <row r="144" spans="2:9" s="53" customFormat="1" ht="15">
      <c r="B144"/>
      <c r="C144"/>
      <c r="D144"/>
      <c r="E144"/>
      <c r="F144"/>
      <c r="G144"/>
      <c r="H144"/>
      <c r="I144"/>
    </row>
    <row r="145" spans="2:9" s="53" customFormat="1" ht="15">
      <c r="B145"/>
      <c r="C145"/>
      <c r="D145"/>
      <c r="E145"/>
      <c r="F145"/>
      <c r="G145"/>
      <c r="H145"/>
      <c r="I145"/>
    </row>
    <row r="146" spans="2:9" s="53" customFormat="1" ht="15">
      <c r="B146"/>
      <c r="C146"/>
      <c r="D146"/>
      <c r="E146"/>
      <c r="F146"/>
      <c r="G146"/>
      <c r="H146"/>
      <c r="I146"/>
    </row>
    <row r="147" spans="2:9" s="53" customFormat="1" ht="15">
      <c r="B147"/>
      <c r="C147"/>
      <c r="D147"/>
      <c r="E147"/>
      <c r="F147"/>
      <c r="G147"/>
      <c r="H147"/>
      <c r="I147"/>
    </row>
    <row r="148" spans="2:9" s="53" customFormat="1" ht="11.25" customHeight="1">
      <c r="B148"/>
      <c r="C148"/>
      <c r="D148"/>
      <c r="E148"/>
      <c r="F148"/>
      <c r="G148"/>
      <c r="H148"/>
      <c r="I148"/>
    </row>
    <row r="149" spans="2:9" s="53" customFormat="1" ht="15">
      <c r="B149"/>
      <c r="C149"/>
      <c r="D149"/>
      <c r="E149"/>
      <c r="F149"/>
      <c r="G149"/>
      <c r="H149"/>
      <c r="I149"/>
    </row>
    <row r="150" spans="2:9" s="53" customFormat="1" ht="11.25" customHeight="1">
      <c r="B150"/>
      <c r="C150"/>
      <c r="D150"/>
      <c r="E150"/>
      <c r="F150"/>
      <c r="G150"/>
      <c r="H150"/>
      <c r="I150"/>
    </row>
    <row r="151" spans="2:9" s="53" customFormat="1" ht="15">
      <c r="B151"/>
      <c r="C151"/>
      <c r="D151"/>
      <c r="E151"/>
      <c r="F151"/>
      <c r="G151"/>
      <c r="H151"/>
      <c r="I151"/>
    </row>
    <row r="152" spans="2:9" s="53" customFormat="1" ht="11.25" customHeight="1">
      <c r="B152"/>
      <c r="C152"/>
      <c r="D152"/>
      <c r="E152"/>
      <c r="F152"/>
      <c r="G152"/>
      <c r="H152"/>
      <c r="I152"/>
    </row>
    <row r="153" spans="2:9" s="53" customFormat="1" ht="15">
      <c r="B153"/>
      <c r="C153"/>
      <c r="D153"/>
      <c r="E153"/>
      <c r="F153"/>
      <c r="G153"/>
      <c r="H153"/>
      <c r="I153"/>
    </row>
    <row r="154" spans="2:9" s="53" customFormat="1" ht="15">
      <c r="B154"/>
      <c r="C154"/>
      <c r="D154"/>
      <c r="E154"/>
      <c r="F154"/>
      <c r="G154"/>
      <c r="H154"/>
      <c r="I154"/>
    </row>
    <row r="155" spans="2:9" s="53" customFormat="1" ht="15">
      <c r="B155"/>
      <c r="C155"/>
      <c r="D155"/>
      <c r="E155"/>
      <c r="F155"/>
      <c r="G155"/>
      <c r="H155"/>
      <c r="I155"/>
    </row>
    <row r="156" spans="2:9" s="53" customFormat="1" ht="15">
      <c r="B156"/>
      <c r="C156"/>
      <c r="D156"/>
      <c r="E156"/>
      <c r="F156"/>
      <c r="G156"/>
      <c r="H156"/>
      <c r="I156"/>
    </row>
    <row r="157" spans="2:9" s="53" customFormat="1" ht="15">
      <c r="B157"/>
      <c r="C157"/>
      <c r="D157"/>
      <c r="E157"/>
      <c r="F157"/>
      <c r="G157"/>
      <c r="H157"/>
      <c r="I157"/>
    </row>
    <row r="158" spans="2:9" s="53" customFormat="1" ht="15">
      <c r="B158"/>
      <c r="C158"/>
      <c r="D158"/>
      <c r="E158"/>
      <c r="F158"/>
      <c r="G158"/>
      <c r="H158"/>
      <c r="I158"/>
    </row>
    <row r="159" spans="2:9" s="53" customFormat="1" ht="11.25" customHeight="1">
      <c r="B159"/>
      <c r="C159"/>
      <c r="D159"/>
      <c r="E159"/>
      <c r="F159"/>
      <c r="G159"/>
      <c r="H159"/>
      <c r="I159"/>
    </row>
    <row r="160" spans="2:9" s="53" customFormat="1" ht="15">
      <c r="B160"/>
      <c r="C160"/>
      <c r="D160"/>
      <c r="E160"/>
      <c r="F160"/>
      <c r="G160"/>
      <c r="H160"/>
      <c r="I160"/>
    </row>
    <row r="161" spans="2:9" s="53" customFormat="1" ht="11.25" customHeight="1">
      <c r="B161"/>
      <c r="C161"/>
      <c r="D161"/>
      <c r="E161"/>
      <c r="F161"/>
      <c r="G161"/>
      <c r="H161"/>
      <c r="I161"/>
    </row>
    <row r="162" spans="2:9" s="53" customFormat="1" ht="17.25" customHeight="1">
      <c r="B162"/>
      <c r="C162"/>
      <c r="D162"/>
      <c r="E162"/>
      <c r="F162"/>
      <c r="G162"/>
      <c r="H162"/>
      <c r="I162"/>
    </row>
    <row r="163" spans="2:9" s="53" customFormat="1" ht="11.25" customHeight="1">
      <c r="B163"/>
      <c r="C163"/>
      <c r="D163"/>
      <c r="E163"/>
      <c r="F163"/>
      <c r="G163"/>
      <c r="H163"/>
      <c r="I163"/>
    </row>
    <row r="164" spans="2:9" s="53" customFormat="1" ht="15">
      <c r="B164"/>
      <c r="C164"/>
      <c r="D164"/>
      <c r="E164"/>
      <c r="F164"/>
      <c r="G164"/>
      <c r="H164"/>
      <c r="I164"/>
    </row>
    <row r="165" spans="2:9" s="53" customFormat="1" ht="11.25" customHeight="1">
      <c r="B165"/>
      <c r="C165"/>
      <c r="D165"/>
      <c r="E165"/>
      <c r="F165"/>
      <c r="G165"/>
      <c r="H165"/>
      <c r="I165"/>
    </row>
    <row r="166" spans="2:9" s="53" customFormat="1" ht="15">
      <c r="B166"/>
      <c r="C166"/>
      <c r="D166"/>
      <c r="E166"/>
      <c r="F166"/>
      <c r="G166"/>
      <c r="H166"/>
      <c r="I166"/>
    </row>
    <row r="167" spans="2:9" s="53" customFormat="1" ht="15">
      <c r="B167"/>
      <c r="C167"/>
      <c r="D167"/>
      <c r="E167"/>
      <c r="F167"/>
      <c r="G167"/>
      <c r="H167"/>
      <c r="I167"/>
    </row>
    <row r="168" spans="2:9" s="53" customFormat="1" ht="15">
      <c r="B168"/>
      <c r="C168"/>
      <c r="D168"/>
      <c r="E168"/>
      <c r="F168"/>
      <c r="G168"/>
      <c r="H168"/>
      <c r="I168"/>
    </row>
    <row r="169" spans="2:9" s="53" customFormat="1" ht="11.25" customHeight="1">
      <c r="B169"/>
      <c r="C169"/>
      <c r="D169"/>
      <c r="E169"/>
      <c r="F169"/>
      <c r="G169"/>
      <c r="H169"/>
      <c r="I169"/>
    </row>
    <row r="170" spans="2:9" s="53" customFormat="1" ht="15">
      <c r="B170"/>
      <c r="C170"/>
      <c r="D170"/>
      <c r="E170"/>
      <c r="F170"/>
      <c r="G170"/>
      <c r="H170"/>
      <c r="I170"/>
    </row>
    <row r="171" spans="2:9" s="53" customFormat="1" ht="15">
      <c r="B171"/>
      <c r="C171"/>
      <c r="D171"/>
      <c r="E171"/>
      <c r="F171"/>
      <c r="G171"/>
      <c r="H171"/>
      <c r="I171"/>
    </row>
    <row r="172" spans="2:9" s="53" customFormat="1" ht="11.25" customHeight="1">
      <c r="B172"/>
      <c r="C172"/>
      <c r="D172"/>
      <c r="E172"/>
      <c r="F172"/>
      <c r="G172"/>
      <c r="H172"/>
      <c r="I172"/>
    </row>
    <row r="173" spans="2:9" s="53" customFormat="1" ht="24.75" customHeight="1">
      <c r="B173"/>
      <c r="C173"/>
      <c r="D173"/>
      <c r="E173"/>
      <c r="F173"/>
      <c r="G173"/>
      <c r="H173"/>
      <c r="I173"/>
    </row>
    <row r="174" spans="2:9" s="53" customFormat="1" ht="12.6" customHeight="1">
      <c r="B174"/>
      <c r="C174"/>
      <c r="D174"/>
      <c r="E174"/>
      <c r="F174"/>
      <c r="G174"/>
      <c r="H174"/>
      <c r="I174"/>
    </row>
    <row r="175" spans="2:9" s="53" customFormat="1" ht="15">
      <c r="B175"/>
      <c r="C175"/>
      <c r="D175"/>
      <c r="E175"/>
      <c r="F175"/>
      <c r="G175"/>
      <c r="H175"/>
      <c r="I175"/>
    </row>
    <row r="176" spans="2:9" s="53" customFormat="1" ht="16.149999999999999" customHeight="1">
      <c r="B176"/>
      <c r="C176"/>
      <c r="D176"/>
      <c r="E176"/>
      <c r="F176"/>
      <c r="G176"/>
      <c r="H176"/>
      <c r="I176"/>
    </row>
    <row r="177" spans="2:9" s="53" customFormat="1" ht="15">
      <c r="B177"/>
      <c r="C177"/>
      <c r="D177"/>
      <c r="E177"/>
      <c r="F177"/>
      <c r="G177"/>
      <c r="H177"/>
      <c r="I177"/>
    </row>
    <row r="178" spans="2:9" ht="25.5" customHeight="1">
      <c r="B178"/>
      <c r="C178"/>
      <c r="D178"/>
      <c r="E178"/>
      <c r="F178"/>
      <c r="G178"/>
      <c r="H178"/>
      <c r="I178"/>
    </row>
    <row r="179" spans="2:9" ht="12.6" customHeight="1">
      <c r="B179"/>
      <c r="C179"/>
      <c r="D179"/>
      <c r="E179"/>
      <c r="F179"/>
      <c r="G179"/>
      <c r="H179"/>
      <c r="I179"/>
    </row>
    <row r="180" spans="2:9" ht="9.75" customHeight="1">
      <c r="B180"/>
      <c r="C180"/>
      <c r="D180"/>
      <c r="E180"/>
      <c r="F180"/>
      <c r="G180"/>
      <c r="H180"/>
      <c r="I180"/>
    </row>
    <row r="181" spans="2:9" ht="9.75" customHeight="1">
      <c r="B181"/>
      <c r="C181"/>
      <c r="D181"/>
      <c r="E181"/>
      <c r="F181"/>
      <c r="G181"/>
      <c r="H181"/>
      <c r="I181"/>
    </row>
    <row r="182" spans="2:9" ht="9.75" customHeight="1">
      <c r="B182"/>
      <c r="C182"/>
      <c r="D182"/>
      <c r="E182"/>
      <c r="F182"/>
      <c r="G182"/>
      <c r="H182"/>
      <c r="I182"/>
    </row>
    <row r="183" spans="2:9" ht="15">
      <c r="B183"/>
      <c r="C183"/>
      <c r="D183"/>
      <c r="E183"/>
      <c r="F183"/>
      <c r="G183"/>
      <c r="H183"/>
      <c r="I183"/>
    </row>
    <row r="184" spans="2:9" ht="15">
      <c r="B184"/>
      <c r="C184"/>
      <c r="D184"/>
      <c r="E184"/>
      <c r="F184"/>
      <c r="G184"/>
      <c r="H184"/>
      <c r="I184"/>
    </row>
    <row r="185" spans="2:9" ht="15">
      <c r="B185"/>
      <c r="C185"/>
      <c r="D185"/>
      <c r="E185"/>
      <c r="F185"/>
      <c r="G185"/>
      <c r="H185"/>
      <c r="I185"/>
    </row>
    <row r="186" spans="2:9" ht="15">
      <c r="B186"/>
      <c r="C186"/>
      <c r="D186"/>
      <c r="E186"/>
      <c r="F186"/>
      <c r="G186"/>
      <c r="H186"/>
      <c r="I186"/>
    </row>
    <row r="187" spans="2:9" ht="15">
      <c r="B187"/>
      <c r="C187"/>
      <c r="D187"/>
      <c r="E187"/>
      <c r="F187"/>
      <c r="G187"/>
      <c r="H187"/>
      <c r="I187"/>
    </row>
    <row r="188" spans="2:9" ht="15">
      <c r="B188"/>
      <c r="C188"/>
      <c r="D188"/>
      <c r="E188"/>
      <c r="F188"/>
      <c r="G188"/>
      <c r="H188"/>
      <c r="I188"/>
    </row>
    <row r="189" spans="2:9" ht="15">
      <c r="B189"/>
      <c r="C189"/>
      <c r="D189"/>
      <c r="E189"/>
      <c r="F189"/>
      <c r="G189"/>
      <c r="H189"/>
      <c r="I189"/>
    </row>
    <row r="190" spans="2:9" ht="15">
      <c r="B190"/>
      <c r="C190"/>
      <c r="D190"/>
      <c r="E190"/>
      <c r="F190"/>
      <c r="G190"/>
      <c r="H190"/>
      <c r="I190"/>
    </row>
    <row r="191" spans="2:9" ht="15">
      <c r="B191"/>
      <c r="C191"/>
      <c r="D191"/>
      <c r="E191"/>
      <c r="F191"/>
      <c r="G191"/>
      <c r="H191"/>
      <c r="I191"/>
    </row>
    <row r="192" spans="2:9" ht="15">
      <c r="B192"/>
      <c r="C192"/>
      <c r="D192"/>
      <c r="E192"/>
      <c r="F192"/>
      <c r="G192"/>
      <c r="H192"/>
      <c r="I192"/>
    </row>
    <row r="193" spans="2:9" ht="15">
      <c r="B193"/>
      <c r="C193"/>
      <c r="D193"/>
      <c r="E193"/>
      <c r="F193"/>
      <c r="G193"/>
      <c r="H193"/>
      <c r="I193"/>
    </row>
    <row r="194" spans="2:9" ht="15">
      <c r="B194"/>
      <c r="C194"/>
      <c r="D194"/>
      <c r="E194"/>
      <c r="F194"/>
      <c r="G194"/>
      <c r="H194"/>
      <c r="I194"/>
    </row>
    <row r="195" spans="2:9" ht="15">
      <c r="B195"/>
      <c r="C195"/>
      <c r="D195"/>
      <c r="E195"/>
      <c r="F195"/>
      <c r="G195"/>
      <c r="H195"/>
      <c r="I195"/>
    </row>
    <row r="196" spans="2:9" ht="15">
      <c r="B196"/>
      <c r="C196"/>
      <c r="D196"/>
      <c r="E196"/>
      <c r="F196"/>
      <c r="G196"/>
      <c r="H196"/>
      <c r="I196"/>
    </row>
    <row r="197" spans="2:9" ht="15">
      <c r="B197"/>
      <c r="C197"/>
      <c r="D197"/>
      <c r="E197"/>
      <c r="F197"/>
      <c r="G197"/>
      <c r="H197"/>
      <c r="I197"/>
    </row>
    <row r="198" spans="2:9" ht="15">
      <c r="B198"/>
      <c r="C198"/>
      <c r="D198"/>
      <c r="E198"/>
      <c r="F198"/>
      <c r="G198"/>
      <c r="H198"/>
      <c r="I198"/>
    </row>
    <row r="199" spans="2:9" ht="15">
      <c r="B199"/>
      <c r="C199"/>
      <c r="D199"/>
      <c r="E199"/>
      <c r="F199"/>
      <c r="G199"/>
      <c r="H199"/>
      <c r="I199"/>
    </row>
    <row r="200" spans="2:9" ht="15">
      <c r="B200"/>
      <c r="C200"/>
      <c r="D200"/>
      <c r="E200"/>
      <c r="F200"/>
      <c r="G200"/>
      <c r="H200"/>
      <c r="I200"/>
    </row>
    <row r="201" spans="2:9" ht="15">
      <c r="B201"/>
      <c r="C201"/>
      <c r="D201"/>
      <c r="E201"/>
      <c r="F201"/>
      <c r="G201"/>
      <c r="H201"/>
      <c r="I201"/>
    </row>
    <row r="202" spans="2:9" ht="15">
      <c r="B202"/>
      <c r="C202"/>
      <c r="D202"/>
      <c r="E202"/>
      <c r="F202"/>
      <c r="G202"/>
      <c r="H202"/>
      <c r="I202"/>
    </row>
    <row r="203" spans="2:9" ht="15">
      <c r="B203"/>
      <c r="C203"/>
      <c r="D203"/>
      <c r="E203"/>
      <c r="F203"/>
      <c r="G203"/>
      <c r="H203"/>
      <c r="I203"/>
    </row>
    <row r="204" spans="2:9" ht="15">
      <c r="B204"/>
      <c r="C204"/>
      <c r="D204"/>
      <c r="E204"/>
      <c r="F204"/>
      <c r="G204"/>
      <c r="H204"/>
      <c r="I204"/>
    </row>
    <row r="205" spans="2:9" ht="15">
      <c r="B205"/>
      <c r="C205"/>
      <c r="D205"/>
      <c r="E205"/>
      <c r="F205"/>
      <c r="G205"/>
      <c r="H205"/>
      <c r="I205"/>
    </row>
    <row r="206" spans="2:9" ht="15">
      <c r="B206"/>
      <c r="C206"/>
      <c r="D206"/>
      <c r="E206"/>
      <c r="F206"/>
      <c r="G206"/>
      <c r="H206"/>
      <c r="I206"/>
    </row>
    <row r="207" spans="2:9" ht="15">
      <c r="B207"/>
      <c r="C207"/>
      <c r="D207"/>
      <c r="E207"/>
      <c r="F207"/>
      <c r="G207"/>
      <c r="H207"/>
      <c r="I207"/>
    </row>
    <row r="208" spans="2:9" ht="15">
      <c r="B208"/>
      <c r="C208"/>
      <c r="D208"/>
      <c r="E208"/>
      <c r="F208"/>
      <c r="G208"/>
      <c r="H208"/>
      <c r="I208"/>
    </row>
    <row r="209" spans="2:10" ht="15">
      <c r="B209"/>
      <c r="C209"/>
      <c r="D209"/>
      <c r="E209"/>
      <c r="F209"/>
      <c r="G209"/>
      <c r="H209"/>
      <c r="I209"/>
    </row>
    <row r="210" spans="2:10" ht="15">
      <c r="B210"/>
      <c r="C210"/>
      <c r="D210"/>
      <c r="E210"/>
      <c r="F210"/>
      <c r="G210"/>
      <c r="H210"/>
      <c r="I210"/>
    </row>
    <row r="211" spans="2:10" ht="15">
      <c r="B211"/>
      <c r="C211"/>
      <c r="D211"/>
      <c r="E211"/>
      <c r="F211"/>
      <c r="G211"/>
      <c r="H211"/>
      <c r="I211"/>
    </row>
    <row r="212" spans="2:10" ht="9" customHeight="1">
      <c r="B212"/>
      <c r="C212"/>
      <c r="D212"/>
      <c r="E212"/>
      <c r="F212"/>
      <c r="G212"/>
      <c r="H212"/>
      <c r="I212"/>
      <c r="J212" s="24"/>
    </row>
    <row r="213" spans="2:10" ht="15">
      <c r="B213"/>
      <c r="C213"/>
      <c r="D213"/>
      <c r="E213"/>
      <c r="F213"/>
      <c r="G213"/>
      <c r="H213"/>
      <c r="I213"/>
    </row>
    <row r="214" spans="2:10" ht="15">
      <c r="B214"/>
      <c r="C214"/>
      <c r="D214"/>
      <c r="E214"/>
      <c r="F214"/>
      <c r="G214"/>
      <c r="H214"/>
      <c r="I214"/>
    </row>
    <row r="215" spans="2:10" ht="15">
      <c r="B215"/>
      <c r="C215"/>
      <c r="D215"/>
      <c r="E215"/>
      <c r="F215"/>
      <c r="G215"/>
      <c r="H215"/>
      <c r="I215"/>
    </row>
    <row r="216" spans="2:10" ht="15">
      <c r="B216"/>
      <c r="C216"/>
      <c r="D216"/>
      <c r="E216"/>
      <c r="F216"/>
      <c r="G216"/>
      <c r="H216"/>
      <c r="I216"/>
    </row>
    <row r="217" spans="2:10" ht="15">
      <c r="B217"/>
      <c r="C217"/>
      <c r="D217"/>
      <c r="E217"/>
      <c r="F217"/>
      <c r="G217"/>
      <c r="H217"/>
      <c r="I217"/>
    </row>
    <row r="218" spans="2:10" ht="15">
      <c r="B218"/>
      <c r="C218"/>
      <c r="D218"/>
      <c r="E218"/>
      <c r="F218"/>
      <c r="G218"/>
      <c r="H218"/>
      <c r="I218"/>
    </row>
    <row r="219" spans="2:10" ht="15">
      <c r="B219"/>
      <c r="C219"/>
      <c r="D219"/>
      <c r="E219"/>
      <c r="F219"/>
      <c r="G219"/>
      <c r="H219"/>
      <c r="I219"/>
    </row>
    <row r="220" spans="2:10" ht="15">
      <c r="B220"/>
      <c r="C220"/>
      <c r="D220"/>
      <c r="E220"/>
      <c r="F220"/>
      <c r="G220"/>
      <c r="H220"/>
      <c r="I220"/>
    </row>
    <row r="221" spans="2:10" ht="15">
      <c r="B221"/>
      <c r="C221"/>
      <c r="D221"/>
      <c r="E221"/>
      <c r="F221"/>
      <c r="G221"/>
      <c r="H221"/>
      <c r="I221"/>
    </row>
    <row r="222" spans="2:10" ht="15">
      <c r="B222"/>
      <c r="C222"/>
      <c r="D222"/>
      <c r="E222"/>
      <c r="F222"/>
      <c r="G222"/>
      <c r="H222"/>
      <c r="I222"/>
    </row>
    <row r="223" spans="2:10" ht="15">
      <c r="B223"/>
      <c r="C223"/>
      <c r="D223"/>
      <c r="E223"/>
      <c r="F223"/>
      <c r="G223"/>
      <c r="H223"/>
      <c r="I223"/>
    </row>
    <row r="224" spans="2:10" ht="15">
      <c r="B224"/>
      <c r="C224"/>
      <c r="D224"/>
      <c r="E224"/>
      <c r="F224"/>
      <c r="G224"/>
      <c r="H224"/>
      <c r="I224"/>
    </row>
    <row r="225" spans="2:9" ht="13.5" customHeight="1">
      <c r="B225"/>
      <c r="C225"/>
      <c r="D225"/>
      <c r="E225"/>
      <c r="F225"/>
      <c r="G225"/>
      <c r="H225"/>
      <c r="I225"/>
    </row>
    <row r="226" spans="2:9" ht="15">
      <c r="B226"/>
      <c r="C226"/>
      <c r="D226"/>
      <c r="E226"/>
      <c r="F226"/>
      <c r="G226"/>
      <c r="H226"/>
      <c r="I226"/>
    </row>
    <row r="227" spans="2:9" ht="15">
      <c r="B227"/>
      <c r="C227"/>
      <c r="D227"/>
      <c r="E227"/>
      <c r="F227"/>
      <c r="G227"/>
      <c r="H227"/>
      <c r="I227"/>
    </row>
    <row r="228" spans="2:9" ht="15">
      <c r="B228"/>
      <c r="C228"/>
      <c r="D228"/>
      <c r="E228"/>
      <c r="F228"/>
      <c r="G228"/>
      <c r="H228"/>
      <c r="I228"/>
    </row>
    <row r="229" spans="2:9" ht="15">
      <c r="B229"/>
      <c r="C229"/>
      <c r="D229"/>
      <c r="E229"/>
      <c r="F229"/>
      <c r="G229"/>
      <c r="H229"/>
      <c r="I229"/>
    </row>
    <row r="230" spans="2:9" ht="15">
      <c r="B230"/>
      <c r="C230"/>
      <c r="D230"/>
      <c r="E230"/>
      <c r="F230"/>
      <c r="G230"/>
      <c r="H230"/>
      <c r="I230"/>
    </row>
    <row r="231" spans="2:9" ht="15">
      <c r="B231"/>
      <c r="C231"/>
      <c r="D231"/>
      <c r="E231"/>
      <c r="F231"/>
      <c r="G231"/>
      <c r="H231"/>
      <c r="I231"/>
    </row>
    <row r="232" spans="2:9" ht="15">
      <c r="B232"/>
      <c r="C232"/>
      <c r="D232"/>
      <c r="E232"/>
      <c r="F232"/>
      <c r="G232"/>
      <c r="H232"/>
      <c r="I232"/>
    </row>
    <row r="233" spans="2:9" ht="15">
      <c r="B233"/>
      <c r="C233"/>
      <c r="D233"/>
      <c r="E233"/>
      <c r="F233"/>
      <c r="G233"/>
      <c r="H233"/>
      <c r="I233"/>
    </row>
    <row r="234" spans="2:9" ht="15">
      <c r="B234"/>
      <c r="C234"/>
      <c r="D234"/>
      <c r="E234"/>
      <c r="F234"/>
      <c r="G234"/>
      <c r="H234"/>
      <c r="I234"/>
    </row>
    <row r="235" spans="2:9" ht="15">
      <c r="B235"/>
      <c r="C235"/>
      <c r="D235"/>
      <c r="E235"/>
      <c r="F235"/>
      <c r="G235"/>
      <c r="H235"/>
      <c r="I235"/>
    </row>
    <row r="236" spans="2:9" ht="15">
      <c r="B236"/>
      <c r="C236"/>
      <c r="D236"/>
      <c r="E236"/>
      <c r="F236"/>
      <c r="G236"/>
      <c r="H236"/>
      <c r="I236"/>
    </row>
    <row r="237" spans="2:9" ht="15">
      <c r="B237"/>
      <c r="C237"/>
      <c r="D237"/>
      <c r="E237"/>
      <c r="F237"/>
      <c r="G237"/>
      <c r="H237"/>
      <c r="I237"/>
    </row>
    <row r="238" spans="2:9" ht="15">
      <c r="B238"/>
      <c r="C238"/>
      <c r="D238"/>
      <c r="E238"/>
      <c r="F238"/>
      <c r="G238"/>
      <c r="H238"/>
      <c r="I238"/>
    </row>
    <row r="239" spans="2:9" ht="15">
      <c r="B239"/>
      <c r="C239"/>
      <c r="D239"/>
      <c r="E239"/>
      <c r="F239"/>
      <c r="G239"/>
      <c r="H239"/>
      <c r="I239"/>
    </row>
    <row r="240" spans="2:9" ht="15">
      <c r="B240"/>
      <c r="C240"/>
      <c r="D240"/>
      <c r="E240"/>
      <c r="F240"/>
      <c r="G240"/>
      <c r="H240"/>
      <c r="I240"/>
    </row>
    <row r="241" spans="2:9" ht="15">
      <c r="B241"/>
      <c r="C241"/>
      <c r="D241"/>
      <c r="E241"/>
      <c r="F241"/>
      <c r="G241"/>
      <c r="H241"/>
      <c r="I241"/>
    </row>
    <row r="242" spans="2:9" ht="15">
      <c r="B242"/>
      <c r="C242"/>
      <c r="D242"/>
      <c r="E242"/>
      <c r="F242"/>
      <c r="G242"/>
      <c r="H242"/>
      <c r="I242"/>
    </row>
    <row r="243" spans="2:9" ht="15">
      <c r="B243"/>
      <c r="C243"/>
      <c r="D243"/>
      <c r="E243"/>
      <c r="F243"/>
      <c r="G243"/>
      <c r="H243"/>
      <c r="I243"/>
    </row>
    <row r="244" spans="2:9" ht="15">
      <c r="B244"/>
      <c r="C244"/>
      <c r="D244"/>
      <c r="E244"/>
      <c r="F244"/>
      <c r="G244"/>
      <c r="H244"/>
      <c r="I244"/>
    </row>
    <row r="245" spans="2:9" ht="15">
      <c r="B245"/>
      <c r="C245"/>
      <c r="D245"/>
      <c r="E245"/>
      <c r="F245"/>
      <c r="G245"/>
      <c r="H245"/>
      <c r="I245"/>
    </row>
    <row r="246" spans="2:9" ht="15">
      <c r="B246"/>
      <c r="C246"/>
      <c r="D246"/>
      <c r="E246"/>
      <c r="F246"/>
      <c r="G246"/>
      <c r="H246"/>
      <c r="I246"/>
    </row>
    <row r="247" spans="2:9" ht="15">
      <c r="B247"/>
      <c r="C247"/>
      <c r="D247"/>
      <c r="E247"/>
      <c r="F247"/>
      <c r="G247"/>
      <c r="H247"/>
      <c r="I247"/>
    </row>
    <row r="248" spans="2:9" ht="15">
      <c r="B248"/>
      <c r="C248"/>
      <c r="D248"/>
      <c r="E248"/>
      <c r="F248"/>
      <c r="G248"/>
      <c r="H248"/>
      <c r="I248"/>
    </row>
    <row r="249" spans="2:9" ht="15">
      <c r="B249"/>
      <c r="C249"/>
      <c r="D249"/>
      <c r="E249"/>
      <c r="F249"/>
      <c r="G249"/>
      <c r="H249"/>
      <c r="I249"/>
    </row>
    <row r="250" spans="2:9" ht="15">
      <c r="B250"/>
      <c r="C250"/>
      <c r="D250"/>
      <c r="E250"/>
      <c r="F250"/>
      <c r="G250"/>
      <c r="H250"/>
      <c r="I250"/>
    </row>
    <row r="251" spans="2:9" ht="15">
      <c r="B251"/>
      <c r="C251"/>
      <c r="D251"/>
      <c r="E251"/>
      <c r="F251"/>
      <c r="G251"/>
      <c r="H251"/>
      <c r="I251"/>
    </row>
    <row r="252" spans="2:9" ht="15">
      <c r="B252"/>
      <c r="C252"/>
      <c r="D252"/>
      <c r="E252"/>
      <c r="F252"/>
      <c r="G252"/>
      <c r="H252"/>
      <c r="I252"/>
    </row>
    <row r="253" spans="2:9" ht="15">
      <c r="B253"/>
      <c r="C253"/>
      <c r="D253"/>
      <c r="E253"/>
      <c r="F253"/>
      <c r="G253"/>
      <c r="H253"/>
      <c r="I253"/>
    </row>
    <row r="254" spans="2:9" ht="15">
      <c r="B254"/>
      <c r="C254"/>
      <c r="D254"/>
      <c r="E254"/>
      <c r="F254"/>
      <c r="G254"/>
      <c r="H254"/>
      <c r="I254"/>
    </row>
    <row r="255" spans="2:9" ht="15">
      <c r="B255"/>
      <c r="C255"/>
      <c r="D255"/>
      <c r="E255"/>
      <c r="F255"/>
      <c r="G255"/>
      <c r="H255"/>
      <c r="I255"/>
    </row>
    <row r="256" spans="2:9" ht="15">
      <c r="B256"/>
      <c r="C256"/>
      <c r="D256"/>
      <c r="E256"/>
      <c r="F256"/>
      <c r="G256"/>
      <c r="H256"/>
      <c r="I256"/>
    </row>
    <row r="257" spans="2:9" ht="15">
      <c r="B257"/>
      <c r="C257"/>
      <c r="D257"/>
      <c r="E257"/>
      <c r="F257"/>
      <c r="G257"/>
      <c r="H257"/>
      <c r="I257"/>
    </row>
    <row r="258" spans="2:9" ht="15">
      <c r="B258"/>
      <c r="C258"/>
      <c r="D258"/>
      <c r="E258"/>
      <c r="F258"/>
      <c r="G258"/>
      <c r="H258"/>
      <c r="I258"/>
    </row>
    <row r="259" spans="2:9" ht="15">
      <c r="B259"/>
      <c r="C259"/>
      <c r="D259"/>
      <c r="E259"/>
      <c r="F259"/>
      <c r="G259"/>
      <c r="H259"/>
      <c r="I259"/>
    </row>
    <row r="260" spans="2:9" ht="15">
      <c r="B260"/>
      <c r="C260"/>
      <c r="D260"/>
      <c r="E260"/>
      <c r="F260"/>
      <c r="G260"/>
      <c r="H260"/>
      <c r="I260"/>
    </row>
    <row r="261" spans="2:9" ht="15">
      <c r="B261"/>
      <c r="C261"/>
      <c r="D261"/>
      <c r="E261"/>
      <c r="F261"/>
      <c r="G261"/>
      <c r="H261"/>
      <c r="I261"/>
    </row>
    <row r="262" spans="2:9" ht="15">
      <c r="B262"/>
      <c r="C262"/>
      <c r="D262"/>
      <c r="E262"/>
      <c r="F262"/>
      <c r="G262"/>
      <c r="H262"/>
      <c r="I262"/>
    </row>
    <row r="263" spans="2:9" ht="15">
      <c r="B263"/>
      <c r="C263"/>
      <c r="D263"/>
      <c r="E263"/>
      <c r="F263"/>
      <c r="G263"/>
      <c r="H263"/>
      <c r="I263"/>
    </row>
    <row r="264" spans="2:9" ht="15">
      <c r="B264"/>
      <c r="C264"/>
      <c r="D264"/>
      <c r="E264"/>
      <c r="F264"/>
      <c r="G264"/>
      <c r="H264"/>
      <c r="I264"/>
    </row>
    <row r="265" spans="2:9" ht="15">
      <c r="B265"/>
      <c r="C265"/>
      <c r="D265"/>
      <c r="E265"/>
      <c r="F265"/>
      <c r="G265"/>
      <c r="H265"/>
      <c r="I265"/>
    </row>
    <row r="266" spans="2:9" ht="15">
      <c r="B266"/>
      <c r="C266"/>
      <c r="D266"/>
      <c r="E266"/>
      <c r="F266"/>
      <c r="G266"/>
      <c r="H266"/>
      <c r="I266"/>
    </row>
    <row r="267" spans="2:9" ht="15">
      <c r="B267"/>
      <c r="C267"/>
      <c r="D267"/>
      <c r="E267"/>
      <c r="F267"/>
      <c r="G267"/>
      <c r="H267"/>
      <c r="I267"/>
    </row>
    <row r="268" spans="2:9" ht="13.5" customHeight="1">
      <c r="B268"/>
      <c r="C268"/>
      <c r="D268"/>
      <c r="E268"/>
      <c r="F268"/>
      <c r="G268"/>
      <c r="H268"/>
      <c r="I268"/>
    </row>
    <row r="269" spans="2:9" ht="15">
      <c r="B269"/>
      <c r="C269"/>
      <c r="D269"/>
      <c r="E269"/>
      <c r="F269"/>
      <c r="G269"/>
      <c r="H269"/>
      <c r="I269"/>
    </row>
    <row r="270" spans="2:9" ht="15">
      <c r="B270"/>
      <c r="C270"/>
      <c r="D270"/>
      <c r="E270"/>
      <c r="F270"/>
      <c r="G270"/>
      <c r="H270"/>
      <c r="I270"/>
    </row>
    <row r="271" spans="2:9" ht="15">
      <c r="B271"/>
      <c r="C271"/>
      <c r="D271"/>
      <c r="E271"/>
      <c r="F271"/>
      <c r="G271"/>
      <c r="H271"/>
      <c r="I271"/>
    </row>
    <row r="272" spans="2:9" ht="15">
      <c r="B272"/>
      <c r="C272"/>
      <c r="D272"/>
      <c r="E272"/>
      <c r="F272"/>
      <c r="G272"/>
      <c r="H272"/>
      <c r="I272"/>
    </row>
    <row r="273" spans="2:9" ht="15">
      <c r="B273"/>
      <c r="C273"/>
      <c r="D273"/>
      <c r="E273"/>
      <c r="F273"/>
      <c r="G273"/>
      <c r="H273"/>
      <c r="I273"/>
    </row>
    <row r="274" spans="2:9" ht="15">
      <c r="B274"/>
      <c r="C274"/>
      <c r="D274"/>
      <c r="E274"/>
      <c r="F274"/>
      <c r="G274"/>
      <c r="H274"/>
      <c r="I274"/>
    </row>
    <row r="275" spans="2:9" ht="15">
      <c r="B275"/>
      <c r="C275"/>
      <c r="D275"/>
      <c r="E275"/>
      <c r="F275"/>
      <c r="G275"/>
      <c r="H275"/>
      <c r="I275"/>
    </row>
    <row r="276" spans="2:9" ht="15">
      <c r="B276"/>
      <c r="C276"/>
      <c r="D276"/>
      <c r="E276"/>
      <c r="F276"/>
      <c r="G276"/>
      <c r="H276"/>
      <c r="I276"/>
    </row>
    <row r="277" spans="2:9" ht="15">
      <c r="B277"/>
      <c r="C277"/>
      <c r="D277"/>
      <c r="E277"/>
      <c r="F277"/>
      <c r="G277"/>
      <c r="H277"/>
      <c r="I277"/>
    </row>
    <row r="278" spans="2:9" ht="15">
      <c r="B278"/>
      <c r="C278"/>
      <c r="D278"/>
      <c r="E278"/>
      <c r="F278"/>
      <c r="G278"/>
      <c r="H278"/>
      <c r="I278"/>
    </row>
    <row r="279" spans="2:9" ht="15">
      <c r="B279"/>
      <c r="C279"/>
      <c r="D279"/>
      <c r="E279"/>
      <c r="F279"/>
      <c r="G279"/>
      <c r="H279"/>
      <c r="I279"/>
    </row>
    <row r="280" spans="2:9" ht="15">
      <c r="B280"/>
      <c r="C280"/>
      <c r="D280"/>
      <c r="E280"/>
      <c r="F280"/>
      <c r="G280"/>
      <c r="H280"/>
      <c r="I280"/>
    </row>
    <row r="281" spans="2:9" ht="15">
      <c r="B281"/>
      <c r="C281"/>
      <c r="D281"/>
      <c r="E281"/>
      <c r="F281"/>
      <c r="G281"/>
      <c r="H281"/>
      <c r="I281"/>
    </row>
    <row r="282" spans="2:9" ht="15">
      <c r="B282"/>
      <c r="C282"/>
      <c r="D282"/>
      <c r="E282"/>
      <c r="F282"/>
      <c r="G282"/>
      <c r="H282"/>
      <c r="I282"/>
    </row>
    <row r="283" spans="2:9" ht="15">
      <c r="B283"/>
      <c r="C283"/>
      <c r="D283"/>
      <c r="E283"/>
      <c r="F283"/>
      <c r="G283"/>
      <c r="H283"/>
      <c r="I283"/>
    </row>
    <row r="284" spans="2:9" ht="15">
      <c r="B284"/>
      <c r="C284"/>
      <c r="D284"/>
      <c r="E284"/>
      <c r="F284"/>
      <c r="G284"/>
      <c r="H284"/>
      <c r="I284"/>
    </row>
    <row r="285" spans="2:9" ht="15">
      <c r="B285"/>
      <c r="C285"/>
      <c r="D285"/>
      <c r="E285"/>
      <c r="F285"/>
      <c r="G285"/>
      <c r="H285"/>
      <c r="I285"/>
    </row>
    <row r="286" spans="2:9" ht="15">
      <c r="B286"/>
      <c r="C286"/>
      <c r="D286"/>
      <c r="E286"/>
      <c r="F286"/>
      <c r="G286"/>
      <c r="H286"/>
      <c r="I286"/>
    </row>
    <row r="287" spans="2:9" ht="15">
      <c r="B287"/>
      <c r="C287"/>
      <c r="D287"/>
      <c r="E287"/>
      <c r="F287"/>
      <c r="G287"/>
      <c r="H287"/>
      <c r="I287"/>
    </row>
    <row r="288" spans="2:9" ht="15">
      <c r="B288"/>
      <c r="C288"/>
      <c r="D288"/>
      <c r="E288"/>
      <c r="F288"/>
      <c r="G288"/>
      <c r="H288"/>
      <c r="I288"/>
    </row>
    <row r="289" spans="2:9" ht="15">
      <c r="B289"/>
      <c r="C289"/>
      <c r="D289"/>
      <c r="E289"/>
      <c r="F289"/>
      <c r="G289"/>
      <c r="H289"/>
      <c r="I289"/>
    </row>
    <row r="290" spans="2:9" ht="15">
      <c r="B290"/>
      <c r="C290"/>
      <c r="D290"/>
      <c r="E290"/>
      <c r="F290"/>
      <c r="G290"/>
      <c r="H290"/>
      <c r="I290"/>
    </row>
    <row r="291" spans="2:9" ht="15">
      <c r="B291"/>
      <c r="C291"/>
      <c r="D291"/>
      <c r="E291"/>
      <c r="F291"/>
      <c r="G291"/>
      <c r="H291"/>
      <c r="I291"/>
    </row>
    <row r="292" spans="2:9" ht="15">
      <c r="B292"/>
      <c r="C292"/>
      <c r="D292"/>
      <c r="E292"/>
      <c r="F292"/>
      <c r="G292"/>
      <c r="H292"/>
      <c r="I292"/>
    </row>
    <row r="293" spans="2:9" ht="15">
      <c r="B293"/>
      <c r="C293"/>
      <c r="D293"/>
      <c r="E293"/>
      <c r="F293"/>
      <c r="G293"/>
      <c r="H293"/>
      <c r="I293"/>
    </row>
    <row r="294" spans="2:9" ht="15">
      <c r="B294"/>
      <c r="C294"/>
      <c r="D294"/>
      <c r="E294"/>
      <c r="F294"/>
      <c r="G294"/>
      <c r="H294"/>
      <c r="I294"/>
    </row>
    <row r="295" spans="2:9" ht="15">
      <c r="B295"/>
      <c r="C295"/>
      <c r="D295"/>
      <c r="E295"/>
      <c r="F295"/>
      <c r="G295"/>
      <c r="H295"/>
      <c r="I295"/>
    </row>
    <row r="296" spans="2:9" ht="15">
      <c r="B296"/>
      <c r="C296"/>
      <c r="D296"/>
      <c r="E296"/>
      <c r="F296"/>
      <c r="G296"/>
      <c r="H296"/>
      <c r="I296"/>
    </row>
    <row r="297" spans="2:9" ht="15">
      <c r="B297"/>
      <c r="C297"/>
      <c r="D297"/>
      <c r="E297"/>
      <c r="F297"/>
      <c r="G297"/>
      <c r="H297"/>
      <c r="I297"/>
    </row>
    <row r="298" spans="2:9" ht="15">
      <c r="B298"/>
      <c r="C298"/>
      <c r="D298"/>
      <c r="E298"/>
      <c r="F298"/>
      <c r="G298"/>
      <c r="H298"/>
      <c r="I298"/>
    </row>
    <row r="299" spans="2:9" ht="15">
      <c r="B299"/>
      <c r="C299"/>
      <c r="D299"/>
      <c r="E299"/>
      <c r="F299"/>
      <c r="G299"/>
      <c r="H299"/>
      <c r="I299"/>
    </row>
    <row r="300" spans="2:9" ht="15">
      <c r="B300"/>
      <c r="C300"/>
      <c r="D300"/>
      <c r="E300"/>
      <c r="F300"/>
      <c r="G300"/>
      <c r="H300"/>
      <c r="I300"/>
    </row>
    <row r="301" spans="2:9" ht="15">
      <c r="B301"/>
      <c r="C301"/>
      <c r="D301"/>
      <c r="E301"/>
      <c r="F301"/>
      <c r="G301"/>
      <c r="H301"/>
      <c r="I301"/>
    </row>
    <row r="302" spans="2:9" ht="15">
      <c r="B302"/>
      <c r="C302"/>
      <c r="D302"/>
      <c r="E302"/>
      <c r="F302"/>
      <c r="G302"/>
      <c r="H302"/>
      <c r="I302"/>
    </row>
    <row r="303" spans="2:9" ht="15">
      <c r="B303"/>
      <c r="C303"/>
      <c r="D303"/>
      <c r="E303"/>
      <c r="F303"/>
      <c r="G303"/>
      <c r="H303"/>
      <c r="I303"/>
    </row>
    <row r="304" spans="2:9" ht="15">
      <c r="B304"/>
      <c r="C304"/>
      <c r="D304"/>
      <c r="E304"/>
      <c r="F304"/>
      <c r="G304"/>
      <c r="H304"/>
      <c r="I304"/>
    </row>
    <row r="305" spans="2:9" ht="15">
      <c r="B305"/>
      <c r="C305"/>
      <c r="D305"/>
      <c r="E305"/>
      <c r="F305"/>
      <c r="G305"/>
      <c r="H305"/>
      <c r="I305"/>
    </row>
    <row r="306" spans="2:9" ht="15">
      <c r="B306"/>
      <c r="C306"/>
      <c r="D306"/>
      <c r="E306"/>
      <c r="F306"/>
      <c r="G306"/>
      <c r="H306"/>
      <c r="I306"/>
    </row>
    <row r="307" spans="2:9" ht="15">
      <c r="B307"/>
      <c r="C307"/>
      <c r="D307"/>
      <c r="E307"/>
      <c r="F307"/>
      <c r="G307"/>
      <c r="H307"/>
      <c r="I307"/>
    </row>
    <row r="308" spans="2:9" ht="15">
      <c r="B308"/>
      <c r="C308"/>
      <c r="D308"/>
      <c r="E308"/>
      <c r="F308"/>
      <c r="G308"/>
      <c r="H308"/>
      <c r="I308"/>
    </row>
    <row r="309" spans="2:9" ht="15">
      <c r="B309"/>
      <c r="C309"/>
      <c r="D309"/>
      <c r="E309"/>
      <c r="F309"/>
      <c r="G309"/>
      <c r="H309"/>
      <c r="I309"/>
    </row>
    <row r="310" spans="2:9" ht="15">
      <c r="B310"/>
      <c r="C310"/>
      <c r="D310"/>
      <c r="E310"/>
      <c r="F310"/>
      <c r="G310"/>
      <c r="H310"/>
      <c r="I310"/>
    </row>
    <row r="311" spans="2:9" ht="13.5" customHeight="1">
      <c r="B311"/>
      <c r="C311"/>
      <c r="D311"/>
      <c r="E311"/>
      <c r="F311"/>
      <c r="G311"/>
      <c r="H311"/>
      <c r="I311"/>
    </row>
    <row r="312" spans="2:9" ht="15">
      <c r="B312"/>
      <c r="C312"/>
      <c r="D312"/>
      <c r="E312"/>
      <c r="F312"/>
      <c r="G312"/>
      <c r="H312"/>
      <c r="I312"/>
    </row>
    <row r="313" spans="2:9" ht="15">
      <c r="B313"/>
      <c r="C313"/>
      <c r="D313"/>
      <c r="E313"/>
      <c r="F313"/>
      <c r="G313"/>
      <c r="H313"/>
      <c r="I313"/>
    </row>
    <row r="314" spans="2:9" ht="15">
      <c r="B314"/>
      <c r="C314"/>
      <c r="D314"/>
      <c r="E314"/>
      <c r="F314"/>
      <c r="G314"/>
      <c r="H314"/>
      <c r="I314"/>
    </row>
    <row r="315" spans="2:9" ht="15">
      <c r="B315"/>
      <c r="C315"/>
      <c r="D315"/>
      <c r="E315"/>
      <c r="F315"/>
      <c r="G315"/>
      <c r="H315"/>
      <c r="I315"/>
    </row>
    <row r="316" spans="2:9" ht="15">
      <c r="B316"/>
      <c r="C316"/>
      <c r="D316"/>
      <c r="E316"/>
      <c r="F316"/>
      <c r="G316"/>
      <c r="H316"/>
      <c r="I316"/>
    </row>
    <row r="317" spans="2:9" ht="15">
      <c r="B317"/>
      <c r="C317"/>
      <c r="D317"/>
      <c r="E317"/>
      <c r="F317"/>
      <c r="G317"/>
      <c r="H317"/>
      <c r="I317"/>
    </row>
    <row r="318" spans="2:9" ht="15">
      <c r="B318"/>
      <c r="C318"/>
      <c r="D318"/>
      <c r="E318"/>
      <c r="F318"/>
      <c r="G318"/>
      <c r="H318"/>
      <c r="I318"/>
    </row>
    <row r="319" spans="2:9" ht="15">
      <c r="B319"/>
      <c r="C319"/>
      <c r="D319"/>
      <c r="E319"/>
      <c r="F319"/>
      <c r="G319"/>
      <c r="H319"/>
      <c r="I319"/>
    </row>
    <row r="320" spans="2:9" ht="15">
      <c r="B320"/>
      <c r="C320"/>
      <c r="D320"/>
      <c r="E320"/>
      <c r="F320"/>
      <c r="G320"/>
      <c r="H320"/>
      <c r="I320"/>
    </row>
    <row r="321" spans="2:9" ht="15">
      <c r="B321"/>
      <c r="C321"/>
      <c r="D321"/>
      <c r="E321"/>
      <c r="F321"/>
      <c r="G321"/>
      <c r="H321"/>
      <c r="I321"/>
    </row>
    <row r="322" spans="2:9" ht="15">
      <c r="B322"/>
      <c r="C322"/>
      <c r="D322"/>
      <c r="E322"/>
      <c r="F322"/>
      <c r="G322"/>
      <c r="H322"/>
      <c r="I322"/>
    </row>
    <row r="323" spans="2:9" ht="15">
      <c r="B323"/>
      <c r="C323"/>
      <c r="D323"/>
      <c r="E323"/>
      <c r="F323"/>
      <c r="G323"/>
      <c r="H323"/>
      <c r="I323"/>
    </row>
    <row r="324" spans="2:9" ht="15">
      <c r="B324"/>
      <c r="C324"/>
      <c r="D324"/>
      <c r="E324"/>
      <c r="F324"/>
      <c r="G324"/>
      <c r="H324"/>
      <c r="I324"/>
    </row>
    <row r="325" spans="2:9" ht="15">
      <c r="B325"/>
      <c r="C325"/>
      <c r="D325"/>
      <c r="E325"/>
      <c r="F325"/>
      <c r="G325"/>
      <c r="H325"/>
      <c r="I325"/>
    </row>
    <row r="326" spans="2:9" ht="15">
      <c r="B326"/>
      <c r="C326"/>
      <c r="D326"/>
      <c r="E326"/>
      <c r="F326"/>
      <c r="G326"/>
      <c r="H326"/>
      <c r="I326"/>
    </row>
    <row r="327" spans="2:9" ht="15">
      <c r="B327"/>
      <c r="C327"/>
      <c r="D327"/>
      <c r="E327"/>
      <c r="F327"/>
      <c r="G327"/>
      <c r="H327"/>
      <c r="I327"/>
    </row>
    <row r="328" spans="2:9" ht="15">
      <c r="B328"/>
      <c r="C328"/>
      <c r="D328"/>
      <c r="E328"/>
      <c r="F328"/>
      <c r="G328"/>
      <c r="H328"/>
      <c r="I328"/>
    </row>
    <row r="329" spans="2:9" ht="15">
      <c r="B329"/>
      <c r="C329"/>
      <c r="D329"/>
      <c r="E329"/>
      <c r="F329"/>
      <c r="G329"/>
      <c r="H329"/>
      <c r="I329"/>
    </row>
    <row r="330" spans="2:9" ht="15">
      <c r="B330"/>
      <c r="C330"/>
      <c r="D330"/>
      <c r="E330"/>
      <c r="F330"/>
      <c r="G330"/>
      <c r="H330"/>
      <c r="I330"/>
    </row>
    <row r="331" spans="2:9" ht="15">
      <c r="B331"/>
      <c r="C331"/>
      <c r="D331"/>
      <c r="E331"/>
      <c r="F331"/>
      <c r="G331"/>
      <c r="H331"/>
      <c r="I331"/>
    </row>
    <row r="332" spans="2:9" ht="15">
      <c r="B332"/>
      <c r="C332"/>
      <c r="D332"/>
      <c r="E332"/>
      <c r="F332"/>
      <c r="G332"/>
      <c r="H332"/>
      <c r="I332"/>
    </row>
    <row r="333" spans="2:9" ht="15">
      <c r="B333"/>
      <c r="C333"/>
      <c r="D333"/>
      <c r="E333"/>
      <c r="F333"/>
      <c r="G333"/>
      <c r="H333"/>
      <c r="I333"/>
    </row>
    <row r="334" spans="2:9" ht="15">
      <c r="B334"/>
      <c r="C334"/>
      <c r="D334"/>
      <c r="E334"/>
      <c r="F334"/>
      <c r="G334"/>
      <c r="H334"/>
      <c r="I334"/>
    </row>
    <row r="335" spans="2:9" ht="15">
      <c r="B335"/>
      <c r="C335"/>
      <c r="D335"/>
      <c r="E335"/>
      <c r="F335"/>
      <c r="G335"/>
      <c r="H335"/>
      <c r="I335"/>
    </row>
    <row r="336" spans="2:9" ht="15">
      <c r="B336"/>
      <c r="C336"/>
      <c r="D336"/>
      <c r="E336"/>
      <c r="F336"/>
      <c r="G336"/>
      <c r="H336"/>
      <c r="I336"/>
    </row>
    <row r="337" spans="2:9" ht="15">
      <c r="B337"/>
      <c r="C337"/>
      <c r="D337"/>
      <c r="E337"/>
      <c r="F337"/>
      <c r="G337"/>
      <c r="H337"/>
      <c r="I337"/>
    </row>
    <row r="338" spans="2:9" ht="15">
      <c r="B338"/>
      <c r="C338"/>
      <c r="D338"/>
      <c r="E338"/>
      <c r="F338"/>
      <c r="G338"/>
      <c r="H338"/>
      <c r="I338"/>
    </row>
    <row r="339" spans="2:9" ht="15">
      <c r="B339"/>
      <c r="C339"/>
      <c r="D339"/>
      <c r="E339"/>
      <c r="F339"/>
      <c r="G339"/>
      <c r="H339"/>
      <c r="I339"/>
    </row>
    <row r="340" spans="2:9" ht="15">
      <c r="B340"/>
      <c r="C340"/>
      <c r="D340"/>
      <c r="E340"/>
      <c r="F340"/>
      <c r="G340"/>
      <c r="H340"/>
      <c r="I340"/>
    </row>
    <row r="341" spans="2:9" ht="15">
      <c r="B341"/>
      <c r="C341"/>
      <c r="D341"/>
      <c r="E341"/>
      <c r="F341"/>
      <c r="G341"/>
      <c r="H341"/>
      <c r="I341"/>
    </row>
    <row r="342" spans="2:9" ht="15">
      <c r="B342"/>
      <c r="C342"/>
      <c r="D342"/>
      <c r="E342"/>
      <c r="F342"/>
      <c r="G342"/>
      <c r="H342"/>
      <c r="I342"/>
    </row>
    <row r="343" spans="2:9" ht="15">
      <c r="B343"/>
      <c r="C343"/>
      <c r="D343"/>
      <c r="E343"/>
      <c r="F343"/>
      <c r="G343"/>
      <c r="H343"/>
      <c r="I343"/>
    </row>
    <row r="344" spans="2:9" ht="15">
      <c r="B344"/>
      <c r="C344"/>
      <c r="D344"/>
      <c r="E344"/>
      <c r="F344"/>
      <c r="G344"/>
      <c r="H344"/>
      <c r="I344"/>
    </row>
    <row r="345" spans="2:9" ht="15">
      <c r="B345"/>
      <c r="C345"/>
      <c r="D345"/>
      <c r="E345"/>
      <c r="F345"/>
      <c r="G345"/>
      <c r="H345"/>
      <c r="I345"/>
    </row>
    <row r="346" spans="2:9" ht="15">
      <c r="B346"/>
      <c r="C346"/>
      <c r="D346"/>
      <c r="E346"/>
      <c r="F346"/>
      <c r="G346"/>
      <c r="H346"/>
      <c r="I346"/>
    </row>
    <row r="347" spans="2:9" ht="15">
      <c r="B347"/>
      <c r="C347"/>
      <c r="D347"/>
      <c r="E347"/>
      <c r="F347"/>
      <c r="G347"/>
      <c r="H347"/>
      <c r="I347"/>
    </row>
    <row r="348" spans="2:9" ht="15">
      <c r="B348"/>
      <c r="C348"/>
      <c r="D348"/>
      <c r="E348"/>
      <c r="F348"/>
      <c r="G348"/>
      <c r="H348"/>
      <c r="I348"/>
    </row>
    <row r="349" spans="2:9" ht="15">
      <c r="B349"/>
      <c r="C349"/>
      <c r="D349"/>
      <c r="E349"/>
      <c r="F349"/>
      <c r="G349"/>
      <c r="H349"/>
      <c r="I349"/>
    </row>
    <row r="350" spans="2:9" ht="15">
      <c r="B350"/>
      <c r="C350"/>
      <c r="D350"/>
      <c r="E350"/>
      <c r="F350"/>
      <c r="G350"/>
      <c r="H350"/>
      <c r="I350"/>
    </row>
    <row r="351" spans="2:9" ht="15">
      <c r="B351"/>
      <c r="C351"/>
      <c r="D351"/>
      <c r="E351"/>
      <c r="F351"/>
      <c r="G351"/>
      <c r="H351"/>
      <c r="I351"/>
    </row>
    <row r="352" spans="2:9" ht="15">
      <c r="B352"/>
      <c r="C352"/>
      <c r="D352"/>
      <c r="E352"/>
      <c r="F352"/>
      <c r="G352"/>
      <c r="H352"/>
      <c r="I352"/>
    </row>
    <row r="353" spans="2:11" ht="15">
      <c r="B353"/>
      <c r="C353"/>
      <c r="D353"/>
      <c r="E353"/>
      <c r="F353"/>
      <c r="G353"/>
      <c r="H353"/>
      <c r="I353"/>
    </row>
    <row r="354" spans="2:11" ht="15">
      <c r="B354"/>
      <c r="C354"/>
      <c r="D354"/>
      <c r="E354"/>
      <c r="F354"/>
      <c r="G354"/>
      <c r="H354"/>
      <c r="I354"/>
    </row>
    <row r="355" spans="2:11" ht="15">
      <c r="B355"/>
      <c r="C355"/>
      <c r="D355"/>
      <c r="E355"/>
      <c r="F355"/>
      <c r="G355"/>
      <c r="H355"/>
      <c r="I355"/>
    </row>
    <row r="356" spans="2:11" ht="15">
      <c r="B356"/>
      <c r="C356"/>
      <c r="D356"/>
      <c r="E356"/>
      <c r="F356"/>
      <c r="G356"/>
      <c r="H356"/>
      <c r="I356"/>
    </row>
    <row r="357" spans="2:11" ht="15">
      <c r="B357"/>
      <c r="C357"/>
      <c r="D357"/>
      <c r="E357"/>
      <c r="F357"/>
      <c r="G357"/>
      <c r="H357"/>
      <c r="I357"/>
    </row>
    <row r="358" spans="2:11" ht="15">
      <c r="B358"/>
      <c r="C358"/>
      <c r="D358"/>
      <c r="E358"/>
      <c r="F358"/>
      <c r="G358"/>
      <c r="H358"/>
      <c r="I358"/>
    </row>
    <row r="359" spans="2:11" ht="15">
      <c r="B359"/>
      <c r="C359"/>
      <c r="D359"/>
      <c r="E359"/>
      <c r="F359"/>
      <c r="G359"/>
      <c r="H359"/>
      <c r="I359"/>
    </row>
    <row r="360" spans="2:11" ht="15">
      <c r="B360"/>
      <c r="C360"/>
      <c r="D360"/>
      <c r="E360"/>
      <c r="F360"/>
      <c r="G360"/>
      <c r="H360"/>
      <c r="I360"/>
    </row>
    <row r="361" spans="2:11" ht="15">
      <c r="B361"/>
      <c r="C361"/>
      <c r="D361"/>
      <c r="E361"/>
      <c r="F361"/>
      <c r="G361"/>
      <c r="H361"/>
      <c r="I361"/>
    </row>
    <row r="362" spans="2:11" ht="15">
      <c r="B362"/>
      <c r="C362"/>
      <c r="D362"/>
      <c r="E362"/>
      <c r="F362"/>
      <c r="G362"/>
      <c r="H362"/>
      <c r="I362"/>
    </row>
    <row r="363" spans="2:11" ht="15">
      <c r="B363"/>
      <c r="C363"/>
      <c r="D363"/>
      <c r="E363"/>
      <c r="F363"/>
      <c r="G363"/>
      <c r="H363"/>
      <c r="I363"/>
    </row>
    <row r="364" spans="2:11" ht="15">
      <c r="B364"/>
      <c r="C364"/>
      <c r="D364"/>
      <c r="E364"/>
      <c r="F364"/>
      <c r="G364"/>
      <c r="H364"/>
      <c r="I364"/>
    </row>
    <row r="365" spans="2:11" ht="15">
      <c r="B365"/>
      <c r="C365"/>
      <c r="D365"/>
      <c r="E365"/>
      <c r="F365"/>
      <c r="G365"/>
      <c r="H365"/>
      <c r="I365"/>
    </row>
    <row r="366" spans="2:11" ht="15">
      <c r="B366"/>
      <c r="C366"/>
      <c r="D366"/>
      <c r="E366"/>
      <c r="F366"/>
      <c r="G366"/>
      <c r="H366"/>
      <c r="I366"/>
      <c r="J366" s="28" t="s">
        <v>506</v>
      </c>
      <c r="K366" s="56">
        <f>H355*K367</f>
        <v>0</v>
      </c>
    </row>
    <row r="367" spans="2:11" ht="15">
      <c r="B367"/>
      <c r="C367"/>
      <c r="D367"/>
      <c r="E367"/>
      <c r="F367"/>
      <c r="G367"/>
      <c r="H367"/>
      <c r="I367"/>
      <c r="J367" s="28" t="s">
        <v>507</v>
      </c>
      <c r="K367" s="57">
        <v>0.3</v>
      </c>
    </row>
    <row r="368" spans="2:11" ht="15">
      <c r="B368"/>
      <c r="C368"/>
      <c r="D368"/>
      <c r="E368"/>
      <c r="F368"/>
      <c r="G368"/>
      <c r="H368"/>
      <c r="I368"/>
    </row>
    <row r="369" spans="2:9" ht="15">
      <c r="B369"/>
      <c r="C369"/>
      <c r="D369"/>
      <c r="E369"/>
      <c r="F369"/>
      <c r="G369"/>
      <c r="H369"/>
      <c r="I369"/>
    </row>
    <row r="370" spans="2:9" ht="15">
      <c r="B370"/>
      <c r="C370"/>
      <c r="D370"/>
      <c r="E370"/>
      <c r="F370"/>
      <c r="G370"/>
      <c r="H370"/>
      <c r="I370"/>
    </row>
    <row r="371" spans="2:9" ht="15">
      <c r="B371"/>
      <c r="C371"/>
      <c r="D371"/>
      <c r="E371"/>
      <c r="F371"/>
      <c r="G371"/>
      <c r="H371"/>
      <c r="I371"/>
    </row>
    <row r="372" spans="2:9" ht="15">
      <c r="B372"/>
      <c r="C372"/>
      <c r="D372"/>
      <c r="E372"/>
      <c r="F372"/>
      <c r="G372"/>
      <c r="H372"/>
      <c r="I372"/>
    </row>
    <row r="373" spans="2:9" ht="15">
      <c r="B373"/>
      <c r="C373"/>
      <c r="D373"/>
      <c r="E373"/>
      <c r="F373"/>
      <c r="G373"/>
      <c r="H373"/>
      <c r="I373"/>
    </row>
    <row r="374" spans="2:9" ht="15">
      <c r="B374"/>
      <c r="C374"/>
      <c r="D374"/>
      <c r="E374"/>
      <c r="F374"/>
      <c r="G374"/>
      <c r="H374"/>
      <c r="I374"/>
    </row>
    <row r="375" spans="2:9" ht="15">
      <c r="B375"/>
      <c r="C375"/>
      <c r="D375"/>
      <c r="E375"/>
      <c r="F375"/>
      <c r="G375"/>
      <c r="H375"/>
      <c r="I375"/>
    </row>
    <row r="376" spans="2:9" ht="15">
      <c r="B376"/>
      <c r="C376"/>
      <c r="D376"/>
      <c r="E376"/>
      <c r="F376"/>
      <c r="G376"/>
      <c r="H376"/>
      <c r="I376"/>
    </row>
    <row r="377" spans="2:9" ht="15">
      <c r="B377"/>
      <c r="C377"/>
      <c r="D377"/>
      <c r="E377"/>
      <c r="F377"/>
      <c r="G377"/>
      <c r="H377"/>
      <c r="I377"/>
    </row>
    <row r="378" spans="2:9" ht="15">
      <c r="B378"/>
      <c r="C378"/>
      <c r="D378"/>
      <c r="E378"/>
      <c r="F378"/>
      <c r="G378"/>
      <c r="H378"/>
      <c r="I378"/>
    </row>
    <row r="379" spans="2:9" ht="15">
      <c r="B379"/>
      <c r="C379"/>
      <c r="D379"/>
      <c r="E379"/>
      <c r="F379"/>
      <c r="G379"/>
      <c r="H379"/>
      <c r="I379"/>
    </row>
    <row r="380" spans="2:9" ht="15">
      <c r="B380"/>
      <c r="C380"/>
      <c r="D380"/>
      <c r="E380"/>
      <c r="F380"/>
      <c r="G380"/>
      <c r="H380"/>
      <c r="I380"/>
    </row>
    <row r="381" spans="2:9" ht="15">
      <c r="B381"/>
      <c r="C381"/>
      <c r="D381"/>
      <c r="E381"/>
      <c r="F381"/>
      <c r="G381"/>
      <c r="H381"/>
      <c r="I381"/>
    </row>
    <row r="382" spans="2:9" ht="15">
      <c r="B382"/>
      <c r="C382"/>
      <c r="D382"/>
      <c r="E382"/>
      <c r="F382"/>
      <c r="G382"/>
      <c r="H382"/>
      <c r="I382"/>
    </row>
    <row r="383" spans="2:9" ht="15">
      <c r="B383"/>
      <c r="C383"/>
      <c r="D383"/>
      <c r="E383"/>
      <c r="F383"/>
      <c r="G383"/>
      <c r="H383"/>
      <c r="I383"/>
    </row>
    <row r="384" spans="2:9" ht="15">
      <c r="B384"/>
      <c r="C384"/>
      <c r="D384"/>
      <c r="E384"/>
      <c r="F384"/>
      <c r="G384"/>
      <c r="H384"/>
      <c r="I384"/>
    </row>
    <row r="385" spans="2:9" ht="15">
      <c r="B385"/>
      <c r="C385"/>
      <c r="D385"/>
      <c r="E385"/>
      <c r="F385"/>
      <c r="G385"/>
      <c r="H385"/>
      <c r="I385"/>
    </row>
    <row r="386" spans="2:9" ht="15">
      <c r="B386"/>
      <c r="C386"/>
      <c r="D386"/>
      <c r="E386"/>
      <c r="F386"/>
      <c r="G386"/>
      <c r="H386"/>
      <c r="I386"/>
    </row>
    <row r="387" spans="2:9" ht="15">
      <c r="B387"/>
      <c r="C387"/>
      <c r="D387"/>
      <c r="E387"/>
      <c r="F387"/>
      <c r="G387"/>
      <c r="H387"/>
      <c r="I387"/>
    </row>
    <row r="388" spans="2:9" ht="15">
      <c r="B388"/>
      <c r="C388"/>
      <c r="D388"/>
      <c r="E388"/>
      <c r="F388"/>
      <c r="G388"/>
      <c r="H388"/>
      <c r="I388"/>
    </row>
    <row r="389" spans="2:9" ht="15">
      <c r="B389"/>
      <c r="C389"/>
      <c r="D389"/>
      <c r="E389"/>
      <c r="F389"/>
      <c r="G389"/>
      <c r="H389"/>
      <c r="I389"/>
    </row>
    <row r="390" spans="2:9" ht="15">
      <c r="B390"/>
      <c r="C390"/>
      <c r="D390"/>
      <c r="E390"/>
      <c r="F390"/>
      <c r="G390"/>
      <c r="H390"/>
      <c r="I390"/>
    </row>
    <row r="391" spans="2:9" ht="15">
      <c r="B391"/>
      <c r="C391"/>
      <c r="D391"/>
      <c r="E391"/>
      <c r="F391"/>
      <c r="G391"/>
      <c r="H391"/>
      <c r="I391"/>
    </row>
    <row r="392" spans="2:9" ht="15">
      <c r="B392"/>
      <c r="C392"/>
      <c r="D392"/>
      <c r="E392"/>
      <c r="F392"/>
      <c r="G392"/>
      <c r="H392"/>
      <c r="I392"/>
    </row>
    <row r="393" spans="2:9" ht="15">
      <c r="B393"/>
      <c r="C393"/>
      <c r="D393"/>
      <c r="E393"/>
      <c r="F393"/>
      <c r="G393"/>
      <c r="H393"/>
      <c r="I393"/>
    </row>
    <row r="394" spans="2:9" ht="15">
      <c r="B394"/>
      <c r="C394"/>
      <c r="D394"/>
      <c r="E394"/>
      <c r="F394"/>
      <c r="G394"/>
      <c r="H394"/>
      <c r="I394"/>
    </row>
    <row r="395" spans="2:9" ht="15">
      <c r="B395"/>
      <c r="C395"/>
      <c r="D395"/>
      <c r="E395"/>
      <c r="F395"/>
      <c r="G395"/>
      <c r="H395"/>
      <c r="I395"/>
    </row>
    <row r="396" spans="2:9" ht="15">
      <c r="B396"/>
      <c r="C396"/>
      <c r="D396"/>
      <c r="E396"/>
      <c r="F396"/>
      <c r="G396"/>
      <c r="H396"/>
      <c r="I396"/>
    </row>
    <row r="397" spans="2:9" ht="15">
      <c r="B397"/>
      <c r="C397"/>
      <c r="D397"/>
      <c r="E397"/>
      <c r="F397"/>
      <c r="G397"/>
      <c r="H397"/>
      <c r="I397"/>
    </row>
    <row r="398" spans="2:9" ht="15">
      <c r="B398"/>
      <c r="C398"/>
      <c r="D398"/>
      <c r="E398"/>
      <c r="F398"/>
      <c r="G398"/>
      <c r="H398"/>
      <c r="I398"/>
    </row>
    <row r="399" spans="2:9" ht="15">
      <c r="B399"/>
      <c r="C399"/>
      <c r="D399"/>
      <c r="E399"/>
      <c r="F399"/>
      <c r="G399"/>
      <c r="H399"/>
      <c r="I399"/>
    </row>
    <row r="400" spans="2:9" ht="15">
      <c r="B400"/>
      <c r="C400"/>
      <c r="D400"/>
      <c r="E400"/>
      <c r="F400"/>
      <c r="G400"/>
      <c r="H400"/>
      <c r="I400"/>
    </row>
    <row r="401" spans="2:11" ht="15">
      <c r="B401"/>
      <c r="C401"/>
      <c r="D401"/>
      <c r="E401"/>
      <c r="F401"/>
      <c r="G401"/>
      <c r="H401"/>
      <c r="I401"/>
    </row>
    <row r="402" spans="2:11" ht="15">
      <c r="B402"/>
      <c r="C402"/>
      <c r="D402"/>
      <c r="E402"/>
      <c r="F402"/>
      <c r="G402"/>
      <c r="H402"/>
      <c r="I402"/>
    </row>
    <row r="403" spans="2:11" ht="15">
      <c r="B403"/>
      <c r="C403"/>
      <c r="D403"/>
      <c r="E403"/>
      <c r="F403"/>
      <c r="G403"/>
      <c r="H403"/>
      <c r="I403"/>
    </row>
    <row r="404" spans="2:11" ht="15">
      <c r="B404"/>
      <c r="C404"/>
      <c r="D404"/>
      <c r="E404"/>
      <c r="F404"/>
      <c r="G404"/>
      <c r="H404"/>
      <c r="I404"/>
    </row>
    <row r="405" spans="2:11" ht="15">
      <c r="B405"/>
      <c r="C405"/>
      <c r="D405"/>
      <c r="E405"/>
      <c r="F405"/>
      <c r="G405"/>
      <c r="H405"/>
      <c r="I405"/>
    </row>
    <row r="406" spans="2:11" ht="15">
      <c r="B406"/>
      <c r="C406"/>
      <c r="D406"/>
      <c r="E406"/>
      <c r="F406"/>
      <c r="G406"/>
      <c r="H406"/>
      <c r="I406"/>
    </row>
    <row r="407" spans="2:11" ht="15">
      <c r="B407"/>
      <c r="C407"/>
      <c r="D407"/>
      <c r="E407"/>
      <c r="F407"/>
      <c r="G407"/>
      <c r="H407"/>
      <c r="I407"/>
    </row>
    <row r="408" spans="2:11" ht="15">
      <c r="B408"/>
      <c r="C408"/>
      <c r="D408"/>
      <c r="E408"/>
      <c r="F408"/>
      <c r="G408"/>
      <c r="H408"/>
      <c r="I408"/>
    </row>
    <row r="409" spans="2:11" ht="15">
      <c r="B409"/>
      <c r="C409"/>
      <c r="D409"/>
      <c r="E409"/>
      <c r="F409"/>
      <c r="G409"/>
      <c r="H409"/>
      <c r="I409"/>
    </row>
    <row r="410" spans="2:11" ht="15">
      <c r="B410"/>
      <c r="C410"/>
      <c r="D410"/>
      <c r="E410"/>
      <c r="F410"/>
      <c r="G410"/>
      <c r="H410"/>
      <c r="I410"/>
      <c r="J410" s="28" t="s">
        <v>506</v>
      </c>
      <c r="K410" s="56">
        <f>(H399+I402)*K411</f>
        <v>0</v>
      </c>
    </row>
    <row r="411" spans="2:11" ht="15">
      <c r="B411"/>
      <c r="C411"/>
      <c r="D411"/>
      <c r="E411"/>
      <c r="F411"/>
      <c r="G411"/>
      <c r="H411"/>
      <c r="I411"/>
      <c r="J411" s="28" t="s">
        <v>508</v>
      </c>
      <c r="K411" s="57">
        <v>0.3</v>
      </c>
    </row>
    <row r="412" spans="2:11" ht="15">
      <c r="B412"/>
      <c r="C412"/>
      <c r="D412"/>
      <c r="E412"/>
      <c r="F412"/>
      <c r="G412"/>
      <c r="H412"/>
      <c r="I412"/>
    </row>
    <row r="413" spans="2:11" ht="15">
      <c r="B413"/>
      <c r="C413"/>
      <c r="D413"/>
      <c r="E413"/>
      <c r="F413"/>
      <c r="G413"/>
      <c r="H413"/>
      <c r="I413"/>
    </row>
    <row r="414" spans="2:11" ht="15">
      <c r="B414"/>
      <c r="C414"/>
      <c r="D414"/>
      <c r="E414"/>
      <c r="F414"/>
      <c r="G414"/>
      <c r="H414"/>
      <c r="I414"/>
    </row>
    <row r="415" spans="2:11" ht="15">
      <c r="B415"/>
      <c r="C415"/>
      <c r="D415"/>
      <c r="E415"/>
      <c r="F415"/>
      <c r="G415"/>
      <c r="H415"/>
      <c r="I415"/>
    </row>
    <row r="416" spans="2:11" ht="15">
      <c r="B416"/>
      <c r="C416"/>
      <c r="D416"/>
      <c r="E416"/>
      <c r="F416"/>
      <c r="G416"/>
      <c r="H416"/>
      <c r="I416"/>
    </row>
    <row r="417" spans="2:9" ht="15">
      <c r="B417"/>
      <c r="C417"/>
      <c r="D417"/>
      <c r="E417"/>
      <c r="F417"/>
      <c r="G417"/>
      <c r="H417"/>
      <c r="I417"/>
    </row>
    <row r="418" spans="2:9" ht="15">
      <c r="B418"/>
      <c r="C418"/>
      <c r="D418"/>
      <c r="E418"/>
      <c r="F418"/>
      <c r="G418"/>
      <c r="H418"/>
      <c r="I418"/>
    </row>
    <row r="419" spans="2:9" ht="15">
      <c r="B419"/>
      <c r="C419"/>
      <c r="D419"/>
      <c r="E419"/>
      <c r="F419"/>
      <c r="G419"/>
      <c r="H419"/>
      <c r="I419"/>
    </row>
    <row r="420" spans="2:9" ht="15">
      <c r="B420"/>
      <c r="C420"/>
      <c r="D420"/>
      <c r="E420"/>
      <c r="F420"/>
      <c r="G420"/>
      <c r="H420"/>
      <c r="I420"/>
    </row>
    <row r="421" spans="2:9" ht="15">
      <c r="B421"/>
      <c r="C421"/>
      <c r="D421"/>
      <c r="E421"/>
      <c r="F421"/>
      <c r="G421"/>
      <c r="H421"/>
      <c r="I421"/>
    </row>
    <row r="422" spans="2:9" ht="15">
      <c r="B422"/>
      <c r="C422"/>
      <c r="D422"/>
      <c r="E422"/>
      <c r="F422"/>
      <c r="G422"/>
      <c r="H422"/>
      <c r="I422"/>
    </row>
    <row r="423" spans="2:9" ht="15">
      <c r="B423"/>
      <c r="C423"/>
      <c r="D423"/>
      <c r="E423"/>
      <c r="F423"/>
      <c r="G423"/>
      <c r="H423"/>
      <c r="I423"/>
    </row>
    <row r="424" spans="2:9" ht="15">
      <c r="B424"/>
      <c r="C424"/>
      <c r="D424"/>
      <c r="E424"/>
      <c r="F424"/>
      <c r="G424"/>
      <c r="H424"/>
      <c r="I424"/>
    </row>
    <row r="425" spans="2:9" ht="15">
      <c r="B425"/>
      <c r="C425"/>
      <c r="D425"/>
      <c r="E425"/>
      <c r="F425"/>
      <c r="G425"/>
      <c r="H425"/>
      <c r="I425"/>
    </row>
    <row r="426" spans="2:9" ht="15">
      <c r="B426"/>
      <c r="C426"/>
      <c r="D426"/>
      <c r="E426"/>
      <c r="F426"/>
      <c r="G426"/>
      <c r="H426"/>
      <c r="I426"/>
    </row>
    <row r="427" spans="2:9" ht="15">
      <c r="B427"/>
      <c r="C427"/>
      <c r="D427"/>
      <c r="E427"/>
      <c r="F427"/>
      <c r="G427"/>
      <c r="H427"/>
      <c r="I427"/>
    </row>
    <row r="428" spans="2:9" ht="15">
      <c r="B428"/>
      <c r="C428"/>
      <c r="D428"/>
      <c r="E428"/>
      <c r="F428"/>
      <c r="G428"/>
      <c r="H428"/>
      <c r="I428"/>
    </row>
    <row r="429" spans="2:9" ht="15">
      <c r="B429"/>
      <c r="C429"/>
      <c r="D429"/>
      <c r="E429"/>
      <c r="F429"/>
      <c r="G429"/>
      <c r="H429"/>
      <c r="I429"/>
    </row>
    <row r="430" spans="2:9" ht="15">
      <c r="B430"/>
      <c r="C430"/>
      <c r="D430"/>
      <c r="E430"/>
      <c r="F430"/>
      <c r="G430"/>
      <c r="H430"/>
      <c r="I430"/>
    </row>
    <row r="431" spans="2:9" ht="15">
      <c r="B431"/>
      <c r="C431"/>
      <c r="D431"/>
      <c r="E431"/>
      <c r="F431"/>
      <c r="G431"/>
      <c r="H431"/>
      <c r="I431"/>
    </row>
    <row r="432" spans="2:9" ht="15">
      <c r="B432"/>
      <c r="C432"/>
      <c r="D432"/>
      <c r="E432"/>
      <c r="F432"/>
      <c r="G432"/>
      <c r="H432"/>
      <c r="I432"/>
    </row>
    <row r="433" spans="2:9" ht="15">
      <c r="B433"/>
      <c r="C433"/>
      <c r="D433"/>
      <c r="E433"/>
      <c r="F433"/>
      <c r="G433"/>
      <c r="H433"/>
      <c r="I433"/>
    </row>
    <row r="434" spans="2:9" ht="15">
      <c r="B434"/>
      <c r="C434"/>
      <c r="D434"/>
      <c r="E434"/>
      <c r="F434"/>
      <c r="G434"/>
      <c r="H434"/>
      <c r="I434"/>
    </row>
    <row r="435" spans="2:9" ht="15">
      <c r="B435"/>
      <c r="C435"/>
      <c r="D435"/>
      <c r="E435"/>
      <c r="F435"/>
      <c r="G435"/>
      <c r="H435"/>
      <c r="I435"/>
    </row>
    <row r="436" spans="2:9" ht="15">
      <c r="B436"/>
      <c r="C436"/>
      <c r="D436"/>
      <c r="E436"/>
      <c r="F436"/>
      <c r="G436"/>
      <c r="H436"/>
      <c r="I436"/>
    </row>
    <row r="437" spans="2:9" ht="15">
      <c r="B437"/>
      <c r="C437"/>
      <c r="D437"/>
      <c r="E437"/>
      <c r="F437"/>
      <c r="G437"/>
      <c r="H437"/>
      <c r="I437"/>
    </row>
    <row r="438" spans="2:9" ht="15">
      <c r="B438"/>
      <c r="C438"/>
      <c r="D438"/>
      <c r="E438"/>
      <c r="F438"/>
      <c r="G438"/>
      <c r="H438"/>
      <c r="I438"/>
    </row>
    <row r="439" spans="2:9" ht="15">
      <c r="B439"/>
      <c r="C439"/>
      <c r="D439"/>
      <c r="E439"/>
      <c r="F439"/>
      <c r="G439"/>
      <c r="H439"/>
      <c r="I439"/>
    </row>
    <row r="440" spans="2:9" ht="15">
      <c r="B440"/>
      <c r="C440"/>
      <c r="D440"/>
      <c r="E440"/>
      <c r="F440"/>
      <c r="G440"/>
      <c r="H440"/>
      <c r="I440"/>
    </row>
    <row r="441" spans="2:9" ht="15">
      <c r="B441"/>
      <c r="C441"/>
      <c r="D441"/>
      <c r="E441"/>
      <c r="F441"/>
      <c r="G441"/>
      <c r="H441"/>
      <c r="I441"/>
    </row>
    <row r="442" spans="2:9" ht="15">
      <c r="B442"/>
      <c r="C442"/>
      <c r="D442"/>
      <c r="E442"/>
      <c r="F442"/>
      <c r="G442"/>
      <c r="H442"/>
      <c r="I442"/>
    </row>
    <row r="443" spans="2:9" ht="15">
      <c r="B443"/>
      <c r="C443"/>
      <c r="D443"/>
      <c r="E443"/>
      <c r="F443"/>
      <c r="G443"/>
      <c r="H443"/>
      <c r="I443"/>
    </row>
    <row r="444" spans="2:9" ht="15">
      <c r="B444"/>
      <c r="C444"/>
      <c r="D444"/>
      <c r="E444"/>
      <c r="F444"/>
      <c r="G444"/>
      <c r="H444"/>
      <c r="I444"/>
    </row>
    <row r="445" spans="2:9" ht="15">
      <c r="B445"/>
      <c r="C445"/>
      <c r="D445"/>
      <c r="E445"/>
      <c r="F445"/>
      <c r="G445"/>
      <c r="H445"/>
      <c r="I445"/>
    </row>
    <row r="446" spans="2:9" ht="15">
      <c r="B446"/>
      <c r="C446"/>
      <c r="D446"/>
      <c r="E446"/>
      <c r="F446"/>
      <c r="G446"/>
      <c r="H446"/>
      <c r="I446"/>
    </row>
    <row r="447" spans="2:9" ht="15">
      <c r="B447"/>
      <c r="C447"/>
      <c r="D447"/>
      <c r="E447"/>
      <c r="F447"/>
      <c r="G447"/>
      <c r="H447"/>
      <c r="I447"/>
    </row>
    <row r="448" spans="2:9" ht="15">
      <c r="B448"/>
      <c r="C448"/>
      <c r="D448"/>
      <c r="E448"/>
      <c r="F448"/>
      <c r="G448"/>
      <c r="H448"/>
      <c r="I448"/>
    </row>
    <row r="449" spans="2:9" ht="15">
      <c r="B449"/>
      <c r="C449"/>
      <c r="D449"/>
      <c r="E449"/>
      <c r="F449"/>
      <c r="G449"/>
      <c r="H449"/>
      <c r="I449"/>
    </row>
    <row r="450" spans="2:9" ht="15">
      <c r="B450"/>
      <c r="C450"/>
      <c r="D450"/>
      <c r="E450"/>
      <c r="F450"/>
      <c r="G450"/>
      <c r="H450"/>
      <c r="I450"/>
    </row>
    <row r="451" spans="2:9" ht="15">
      <c r="B451"/>
      <c r="C451"/>
      <c r="D451"/>
      <c r="E451"/>
      <c r="F451"/>
      <c r="G451"/>
      <c r="H451"/>
      <c r="I451"/>
    </row>
    <row r="452" spans="2:9" ht="15">
      <c r="B452"/>
      <c r="C452"/>
      <c r="D452"/>
      <c r="E452"/>
      <c r="F452"/>
      <c r="G452"/>
      <c r="H452"/>
      <c r="I452"/>
    </row>
    <row r="453" spans="2:9" ht="15">
      <c r="B453"/>
      <c r="C453"/>
      <c r="D453"/>
      <c r="E453"/>
      <c r="F453"/>
      <c r="G453"/>
      <c r="H453"/>
      <c r="I453"/>
    </row>
    <row r="454" spans="2:9" ht="15">
      <c r="B454"/>
      <c r="C454"/>
      <c r="D454"/>
      <c r="E454"/>
      <c r="F454"/>
      <c r="G454"/>
      <c r="H454"/>
      <c r="I454"/>
    </row>
    <row r="455" spans="2:9" ht="15">
      <c r="B455"/>
      <c r="C455"/>
      <c r="D455"/>
      <c r="E455"/>
      <c r="F455"/>
      <c r="G455"/>
      <c r="H455"/>
      <c r="I455"/>
    </row>
    <row r="456" spans="2:9" ht="15">
      <c r="B456"/>
      <c r="C456"/>
      <c r="D456"/>
      <c r="E456"/>
      <c r="F456"/>
      <c r="G456"/>
      <c r="H456"/>
      <c r="I456"/>
    </row>
    <row r="457" spans="2:9" ht="15">
      <c r="B457"/>
      <c r="C457"/>
      <c r="D457"/>
      <c r="E457"/>
      <c r="F457"/>
      <c r="G457"/>
      <c r="H457"/>
      <c r="I457"/>
    </row>
    <row r="458" spans="2:9" ht="15">
      <c r="B458"/>
      <c r="C458"/>
      <c r="D458"/>
      <c r="E458"/>
      <c r="F458"/>
      <c r="G458"/>
      <c r="H458"/>
      <c r="I458"/>
    </row>
    <row r="459" spans="2:9" ht="15">
      <c r="B459"/>
      <c r="C459"/>
      <c r="D459"/>
      <c r="E459"/>
      <c r="F459"/>
      <c r="G459"/>
      <c r="H459"/>
      <c r="I459"/>
    </row>
    <row r="460" spans="2:9" ht="15">
      <c r="B460"/>
      <c r="C460"/>
      <c r="D460"/>
      <c r="E460"/>
      <c r="F460"/>
      <c r="G460"/>
      <c r="H460"/>
      <c r="I460"/>
    </row>
    <row r="461" spans="2:9" ht="15">
      <c r="B461"/>
      <c r="C461"/>
      <c r="D461"/>
      <c r="E461"/>
      <c r="F461"/>
      <c r="G461"/>
      <c r="H461"/>
      <c r="I461"/>
    </row>
    <row r="462" spans="2:9" ht="15">
      <c r="B462"/>
      <c r="C462"/>
      <c r="D462"/>
      <c r="E462"/>
      <c r="F462"/>
      <c r="G462"/>
      <c r="H462"/>
      <c r="I462"/>
    </row>
    <row r="463" spans="2:9" ht="15">
      <c r="B463"/>
      <c r="C463"/>
      <c r="D463"/>
      <c r="E463"/>
      <c r="F463"/>
      <c r="G463"/>
      <c r="H463"/>
      <c r="I463"/>
    </row>
    <row r="464" spans="2:9" ht="15">
      <c r="B464"/>
      <c r="C464"/>
      <c r="D464"/>
      <c r="E464"/>
      <c r="F464"/>
      <c r="G464"/>
      <c r="H464"/>
      <c r="I464"/>
    </row>
    <row r="465" spans="2:9" ht="15">
      <c r="B465"/>
      <c r="C465"/>
      <c r="D465"/>
      <c r="E465"/>
      <c r="F465"/>
      <c r="G465"/>
      <c r="H465"/>
      <c r="I465"/>
    </row>
    <row r="466" spans="2:9" ht="15">
      <c r="B466"/>
      <c r="C466"/>
      <c r="D466"/>
      <c r="E466"/>
      <c r="F466"/>
      <c r="G466"/>
      <c r="H466"/>
      <c r="I466"/>
    </row>
    <row r="467" spans="2:9" ht="15">
      <c r="B467"/>
      <c r="C467"/>
      <c r="D467"/>
      <c r="E467"/>
      <c r="F467"/>
      <c r="G467"/>
      <c r="H467"/>
      <c r="I467"/>
    </row>
    <row r="468" spans="2:9" ht="15">
      <c r="B468"/>
      <c r="C468"/>
      <c r="D468"/>
      <c r="E468"/>
      <c r="F468"/>
      <c r="G468"/>
      <c r="H468"/>
      <c r="I468"/>
    </row>
    <row r="469" spans="2:9" ht="15">
      <c r="B469"/>
      <c r="C469"/>
      <c r="D469"/>
      <c r="E469"/>
      <c r="F469"/>
      <c r="G469"/>
      <c r="H469"/>
      <c r="I469"/>
    </row>
    <row r="470" spans="2:9" ht="15">
      <c r="B470"/>
      <c r="C470"/>
      <c r="D470"/>
      <c r="E470"/>
      <c r="F470"/>
      <c r="G470"/>
      <c r="H470"/>
      <c r="I470"/>
    </row>
    <row r="471" spans="2:9" ht="15">
      <c r="B471"/>
      <c r="C471"/>
      <c r="D471"/>
      <c r="E471"/>
      <c r="F471"/>
      <c r="G471"/>
      <c r="H471"/>
      <c r="I471"/>
    </row>
    <row r="472" spans="2:9" ht="15">
      <c r="B472"/>
      <c r="C472"/>
      <c r="D472"/>
      <c r="E472"/>
      <c r="F472"/>
      <c r="G472"/>
      <c r="H472"/>
      <c r="I472"/>
    </row>
    <row r="473" spans="2:9" ht="15">
      <c r="B473"/>
      <c r="C473"/>
      <c r="D473"/>
      <c r="E473"/>
      <c r="F473"/>
      <c r="G473"/>
      <c r="H473"/>
      <c r="I473"/>
    </row>
    <row r="474" spans="2:9" ht="15">
      <c r="B474"/>
      <c r="C474"/>
      <c r="D474"/>
      <c r="E474"/>
      <c r="F474"/>
      <c r="G474"/>
      <c r="H474"/>
      <c r="I474"/>
    </row>
    <row r="475" spans="2:9" ht="15">
      <c r="B475"/>
      <c r="C475"/>
      <c r="D475"/>
      <c r="E475"/>
      <c r="F475"/>
      <c r="G475"/>
      <c r="H475"/>
      <c r="I475"/>
    </row>
    <row r="476" spans="2:9" ht="15">
      <c r="B476"/>
      <c r="C476"/>
      <c r="D476"/>
      <c r="E476"/>
      <c r="F476"/>
      <c r="G476"/>
      <c r="H476"/>
      <c r="I476"/>
    </row>
    <row r="477" spans="2:9" ht="15">
      <c r="B477"/>
      <c r="C477"/>
      <c r="D477"/>
      <c r="E477"/>
      <c r="F477"/>
      <c r="G477"/>
      <c r="H477"/>
      <c r="I477"/>
    </row>
    <row r="478" spans="2:9" ht="15">
      <c r="B478"/>
      <c r="C478"/>
      <c r="D478"/>
      <c r="E478"/>
      <c r="F478"/>
      <c r="G478"/>
      <c r="H478"/>
      <c r="I478"/>
    </row>
    <row r="479" spans="2:9" ht="15">
      <c r="B479"/>
      <c r="C479"/>
      <c r="D479"/>
      <c r="E479"/>
      <c r="F479"/>
      <c r="G479"/>
      <c r="H479"/>
      <c r="I479"/>
    </row>
    <row r="480" spans="2:9" ht="15">
      <c r="B480"/>
      <c r="C480"/>
      <c r="D480"/>
      <c r="E480"/>
      <c r="F480"/>
      <c r="G480"/>
      <c r="H480"/>
      <c r="I480"/>
    </row>
    <row r="481" spans="2:9" ht="15">
      <c r="B481"/>
      <c r="C481"/>
      <c r="D481"/>
      <c r="E481"/>
      <c r="F481"/>
      <c r="G481"/>
      <c r="H481"/>
      <c r="I481"/>
    </row>
    <row r="482" spans="2:9" ht="15">
      <c r="B482"/>
      <c r="C482"/>
      <c r="D482"/>
      <c r="E482"/>
      <c r="F482"/>
      <c r="G482"/>
      <c r="H482"/>
      <c r="I482"/>
    </row>
    <row r="483" spans="2:9" ht="15">
      <c r="B483"/>
      <c r="C483"/>
      <c r="D483"/>
      <c r="E483"/>
      <c r="F483"/>
      <c r="G483"/>
      <c r="H483"/>
      <c r="I483"/>
    </row>
    <row r="484" spans="2:9" ht="15">
      <c r="B484"/>
      <c r="C484"/>
      <c r="D484"/>
      <c r="E484"/>
      <c r="F484"/>
      <c r="G484"/>
      <c r="H484"/>
      <c r="I484"/>
    </row>
    <row r="485" spans="2:9" ht="15">
      <c r="B485"/>
      <c r="C485"/>
      <c r="D485"/>
      <c r="E485"/>
      <c r="F485"/>
      <c r="G485"/>
      <c r="H485"/>
      <c r="I485"/>
    </row>
    <row r="486" spans="2:9" ht="15">
      <c r="B486"/>
      <c r="C486"/>
      <c r="D486"/>
      <c r="E486"/>
      <c r="F486"/>
      <c r="G486"/>
      <c r="H486"/>
      <c r="I486"/>
    </row>
    <row r="487" spans="2:9" ht="15">
      <c r="B487"/>
      <c r="C487"/>
      <c r="D487"/>
      <c r="E487"/>
      <c r="F487"/>
      <c r="G487"/>
      <c r="H487"/>
      <c r="I487"/>
    </row>
    <row r="488" spans="2:9" ht="15">
      <c r="B488"/>
      <c r="C488"/>
      <c r="D488"/>
      <c r="E488"/>
      <c r="F488"/>
      <c r="G488"/>
      <c r="H488"/>
      <c r="I488"/>
    </row>
    <row r="489" spans="2:9" ht="15">
      <c r="B489"/>
      <c r="C489"/>
      <c r="D489"/>
      <c r="E489"/>
      <c r="F489"/>
      <c r="G489"/>
      <c r="H489"/>
      <c r="I489"/>
    </row>
    <row r="490" spans="2:9" ht="15">
      <c r="B490"/>
      <c r="C490"/>
      <c r="D490"/>
      <c r="E490"/>
      <c r="F490"/>
      <c r="G490"/>
      <c r="H490"/>
      <c r="I490"/>
    </row>
    <row r="491" spans="2:9" ht="15">
      <c r="B491"/>
      <c r="C491"/>
      <c r="D491"/>
      <c r="E491"/>
      <c r="F491"/>
      <c r="G491"/>
      <c r="H491"/>
      <c r="I491"/>
    </row>
    <row r="492" spans="2:9" ht="15">
      <c r="B492"/>
      <c r="C492"/>
      <c r="D492"/>
      <c r="E492"/>
      <c r="F492"/>
      <c r="G492"/>
      <c r="H492"/>
      <c r="I492"/>
    </row>
    <row r="493" spans="2:9" ht="15">
      <c r="B493"/>
      <c r="C493"/>
      <c r="D493"/>
      <c r="E493"/>
      <c r="F493"/>
      <c r="G493"/>
      <c r="H493"/>
      <c r="I493"/>
    </row>
    <row r="494" spans="2:9" ht="15">
      <c r="B494"/>
      <c r="C494"/>
      <c r="D494"/>
      <c r="E494"/>
      <c r="F494"/>
      <c r="G494"/>
      <c r="H494"/>
      <c r="I494"/>
    </row>
    <row r="495" spans="2:9" ht="15">
      <c r="B495"/>
      <c r="C495"/>
      <c r="D495"/>
      <c r="E495"/>
      <c r="F495"/>
      <c r="G495"/>
      <c r="H495"/>
      <c r="I495"/>
    </row>
    <row r="496" spans="2:9" ht="15">
      <c r="B496"/>
      <c r="C496"/>
      <c r="D496"/>
      <c r="E496"/>
      <c r="F496"/>
      <c r="G496"/>
      <c r="H496"/>
      <c r="I496"/>
    </row>
    <row r="497" spans="2:9" ht="15">
      <c r="B497"/>
      <c r="C497"/>
      <c r="D497"/>
      <c r="E497"/>
      <c r="F497"/>
      <c r="G497"/>
      <c r="H497"/>
      <c r="I497"/>
    </row>
    <row r="498" spans="2:9" ht="15">
      <c r="B498"/>
      <c r="C498"/>
      <c r="D498"/>
      <c r="E498"/>
      <c r="F498"/>
      <c r="G498"/>
      <c r="H498"/>
      <c r="I498"/>
    </row>
    <row r="499" spans="2:9" ht="15">
      <c r="B499"/>
      <c r="C499"/>
      <c r="D499"/>
      <c r="E499"/>
      <c r="F499"/>
      <c r="G499"/>
      <c r="H499"/>
      <c r="I499"/>
    </row>
    <row r="500" spans="2:9" ht="15">
      <c r="B500"/>
      <c r="C500"/>
      <c r="D500"/>
      <c r="E500"/>
      <c r="F500"/>
      <c r="G500"/>
      <c r="H500"/>
      <c r="I500"/>
    </row>
    <row r="501" spans="2:9" ht="15">
      <c r="B501"/>
      <c r="C501"/>
      <c r="D501"/>
      <c r="E501"/>
      <c r="F501"/>
      <c r="G501"/>
      <c r="H501"/>
      <c r="I501"/>
    </row>
    <row r="502" spans="2:9" ht="15">
      <c r="B502"/>
      <c r="C502"/>
      <c r="D502"/>
      <c r="E502"/>
      <c r="F502"/>
      <c r="G502"/>
      <c r="H502"/>
      <c r="I502"/>
    </row>
    <row r="503" spans="2:9" ht="15">
      <c r="B503"/>
      <c r="C503"/>
      <c r="D503"/>
      <c r="E503"/>
      <c r="F503"/>
      <c r="G503"/>
      <c r="H503"/>
      <c r="I503"/>
    </row>
    <row r="504" spans="2:9" ht="15">
      <c r="B504"/>
      <c r="C504"/>
      <c r="D504"/>
      <c r="E504"/>
      <c r="F504"/>
      <c r="G504"/>
      <c r="H504"/>
      <c r="I504"/>
    </row>
    <row r="505" spans="2:9" ht="15">
      <c r="B505"/>
      <c r="C505"/>
      <c r="D505"/>
      <c r="E505"/>
      <c r="F505"/>
      <c r="G505"/>
      <c r="H505"/>
      <c r="I505"/>
    </row>
    <row r="506" spans="2:9" ht="15">
      <c r="B506"/>
      <c r="C506"/>
      <c r="D506"/>
      <c r="E506"/>
      <c r="F506"/>
      <c r="G506"/>
      <c r="H506"/>
      <c r="I506"/>
    </row>
    <row r="507" spans="2:9" ht="15">
      <c r="B507"/>
      <c r="C507"/>
      <c r="D507"/>
      <c r="E507"/>
      <c r="F507"/>
      <c r="G507"/>
      <c r="H507"/>
      <c r="I507"/>
    </row>
    <row r="508" spans="2:9" ht="15">
      <c r="B508"/>
      <c r="C508"/>
      <c r="D508"/>
      <c r="E508"/>
      <c r="F508"/>
      <c r="G508"/>
      <c r="H508"/>
      <c r="I508"/>
    </row>
    <row r="509" spans="2:9" ht="15">
      <c r="B509"/>
      <c r="C509"/>
      <c r="D509"/>
      <c r="E509"/>
      <c r="F509"/>
      <c r="G509"/>
      <c r="H509"/>
      <c r="I509"/>
    </row>
    <row r="510" spans="2:9" ht="15">
      <c r="B510"/>
      <c r="C510"/>
      <c r="D510"/>
      <c r="E510"/>
      <c r="F510"/>
      <c r="G510"/>
      <c r="H510"/>
      <c r="I510"/>
    </row>
    <row r="511" spans="2:9" ht="15">
      <c r="B511"/>
      <c r="C511"/>
      <c r="D511"/>
      <c r="E511"/>
      <c r="F511"/>
      <c r="G511"/>
      <c r="H511"/>
      <c r="I511"/>
    </row>
    <row r="512" spans="2:9" ht="15">
      <c r="B512"/>
      <c r="C512"/>
      <c r="D512"/>
      <c r="E512"/>
      <c r="F512"/>
      <c r="G512"/>
      <c r="H512"/>
      <c r="I512"/>
    </row>
    <row r="513" spans="2:9" ht="15">
      <c r="B513"/>
      <c r="C513"/>
      <c r="D513"/>
      <c r="E513"/>
      <c r="F513"/>
      <c r="G513"/>
      <c r="H513"/>
      <c r="I513"/>
    </row>
    <row r="514" spans="2:9" ht="15">
      <c r="B514"/>
      <c r="C514"/>
      <c r="D514"/>
      <c r="E514"/>
      <c r="F514"/>
      <c r="G514"/>
      <c r="H514"/>
      <c r="I514"/>
    </row>
    <row r="515" spans="2:9" ht="15">
      <c r="B515"/>
      <c r="C515"/>
      <c r="D515"/>
      <c r="E515"/>
      <c r="F515"/>
      <c r="G515"/>
      <c r="H515"/>
      <c r="I515"/>
    </row>
    <row r="516" spans="2:9" ht="15">
      <c r="B516"/>
      <c r="C516"/>
      <c r="D516"/>
      <c r="E516"/>
      <c r="F516"/>
      <c r="G516"/>
      <c r="H516"/>
      <c r="I516"/>
    </row>
    <row r="517" spans="2:9" ht="15">
      <c r="B517"/>
      <c r="C517"/>
      <c r="D517"/>
      <c r="E517"/>
      <c r="F517"/>
      <c r="G517"/>
      <c r="H517"/>
      <c r="I517"/>
    </row>
    <row r="518" spans="2:9" ht="15">
      <c r="B518"/>
      <c r="C518"/>
      <c r="D518"/>
      <c r="E518"/>
      <c r="F518"/>
      <c r="G518"/>
      <c r="H518"/>
      <c r="I518"/>
    </row>
    <row r="519" spans="2:9" ht="15">
      <c r="B519"/>
      <c r="C519"/>
      <c r="D519"/>
      <c r="E519"/>
      <c r="F519"/>
      <c r="G519"/>
      <c r="H519"/>
      <c r="I519"/>
    </row>
    <row r="520" spans="2:9" ht="15">
      <c r="B520"/>
      <c r="C520"/>
      <c r="D520"/>
      <c r="E520"/>
      <c r="F520"/>
      <c r="G520"/>
      <c r="H520"/>
      <c r="I520"/>
    </row>
    <row r="521" spans="2:9" ht="15">
      <c r="B521"/>
      <c r="C521"/>
      <c r="D521"/>
      <c r="E521"/>
      <c r="F521"/>
      <c r="G521"/>
      <c r="H521"/>
      <c r="I521"/>
    </row>
    <row r="522" spans="2:9" ht="15">
      <c r="B522"/>
      <c r="C522"/>
      <c r="D522"/>
      <c r="E522"/>
      <c r="F522"/>
      <c r="G522"/>
      <c r="H522"/>
      <c r="I522"/>
    </row>
    <row r="523" spans="2:9" ht="15">
      <c r="B523"/>
      <c r="C523"/>
      <c r="D523"/>
      <c r="E523"/>
      <c r="F523"/>
      <c r="G523"/>
      <c r="H523"/>
      <c r="I523"/>
    </row>
    <row r="524" spans="2:9" ht="15">
      <c r="B524"/>
      <c r="C524"/>
      <c r="D524"/>
      <c r="E524"/>
      <c r="F524"/>
      <c r="G524"/>
      <c r="H524"/>
      <c r="I524"/>
    </row>
    <row r="525" spans="2:9" ht="15">
      <c r="B525"/>
      <c r="C525"/>
      <c r="D525"/>
      <c r="E525"/>
      <c r="F525"/>
      <c r="G525"/>
      <c r="H525"/>
      <c r="I525"/>
    </row>
    <row r="526" spans="2:9" ht="15">
      <c r="B526"/>
      <c r="C526"/>
      <c r="D526"/>
      <c r="E526"/>
      <c r="F526"/>
      <c r="G526"/>
      <c r="H526"/>
      <c r="I526"/>
    </row>
    <row r="527" spans="2:9" ht="15">
      <c r="B527"/>
      <c r="C527"/>
      <c r="D527"/>
      <c r="E527"/>
      <c r="F527"/>
      <c r="G527"/>
      <c r="H527"/>
      <c r="I527"/>
    </row>
    <row r="528" spans="2:9" ht="15">
      <c r="B528"/>
      <c r="C528"/>
      <c r="D528"/>
      <c r="E528"/>
      <c r="F528"/>
      <c r="G528"/>
      <c r="H528"/>
      <c r="I528"/>
    </row>
    <row r="529" spans="2:9" ht="15">
      <c r="B529"/>
      <c r="C529"/>
      <c r="D529"/>
      <c r="E529"/>
      <c r="F529"/>
      <c r="G529"/>
      <c r="H529"/>
      <c r="I529"/>
    </row>
    <row r="530" spans="2:9" ht="15">
      <c r="B530"/>
      <c r="C530"/>
      <c r="D530"/>
      <c r="E530"/>
      <c r="F530"/>
      <c r="G530"/>
      <c r="H530"/>
      <c r="I530"/>
    </row>
    <row r="531" spans="2:9" ht="15">
      <c r="B531"/>
      <c r="C531"/>
      <c r="D531"/>
      <c r="E531"/>
      <c r="F531"/>
      <c r="G531"/>
      <c r="H531"/>
      <c r="I531"/>
    </row>
    <row r="532" spans="2:9" ht="15">
      <c r="B532"/>
      <c r="C532"/>
      <c r="D532"/>
      <c r="E532"/>
      <c r="F532"/>
      <c r="G532"/>
      <c r="H532"/>
      <c r="I532"/>
    </row>
    <row r="533" spans="2:9" ht="15">
      <c r="B533"/>
      <c r="C533"/>
      <c r="D533"/>
      <c r="E533"/>
      <c r="F533"/>
      <c r="G533"/>
      <c r="H533"/>
      <c r="I533"/>
    </row>
    <row r="534" spans="2:9" ht="15">
      <c r="B534"/>
      <c r="C534"/>
      <c r="D534"/>
      <c r="E534"/>
      <c r="F534"/>
      <c r="G534"/>
      <c r="H534"/>
      <c r="I534"/>
    </row>
    <row r="535" spans="2:9" ht="15">
      <c r="B535"/>
      <c r="C535"/>
      <c r="D535"/>
      <c r="E535"/>
      <c r="F535"/>
      <c r="G535"/>
      <c r="H535"/>
      <c r="I535"/>
    </row>
    <row r="536" spans="2:9" ht="15">
      <c r="B536"/>
      <c r="C536"/>
      <c r="D536"/>
      <c r="E536"/>
      <c r="F536"/>
      <c r="G536"/>
      <c r="H536"/>
      <c r="I536"/>
    </row>
    <row r="537" spans="2:9" ht="15">
      <c r="B537"/>
      <c r="C537"/>
      <c r="D537"/>
      <c r="E537"/>
      <c r="F537"/>
      <c r="G537"/>
      <c r="H537"/>
      <c r="I537"/>
    </row>
    <row r="538" spans="2:9" ht="15">
      <c r="B538"/>
      <c r="C538"/>
      <c r="D538"/>
      <c r="E538"/>
      <c r="F538"/>
      <c r="G538"/>
      <c r="H538"/>
      <c r="I538"/>
    </row>
    <row r="539" spans="2:9" ht="15">
      <c r="B539"/>
      <c r="C539"/>
      <c r="D539"/>
      <c r="E539"/>
      <c r="F539"/>
      <c r="G539"/>
      <c r="H539"/>
      <c r="I539"/>
    </row>
    <row r="540" spans="2:9" ht="15">
      <c r="B540"/>
      <c r="C540"/>
      <c r="D540"/>
      <c r="E540"/>
      <c r="F540"/>
      <c r="G540"/>
      <c r="H540"/>
      <c r="I540"/>
    </row>
    <row r="541" spans="2:9" ht="15">
      <c r="B541"/>
      <c r="C541"/>
      <c r="D541"/>
      <c r="E541"/>
      <c r="F541"/>
      <c r="G541"/>
      <c r="H541"/>
      <c r="I541"/>
    </row>
    <row r="542" spans="2:9" ht="15">
      <c r="B542"/>
      <c r="C542"/>
      <c r="D542"/>
      <c r="E542"/>
      <c r="F542"/>
      <c r="G542"/>
      <c r="H542"/>
      <c r="I542"/>
    </row>
    <row r="543" spans="2:9" ht="15">
      <c r="B543"/>
      <c r="C543"/>
      <c r="D543"/>
      <c r="E543"/>
      <c r="F543"/>
      <c r="G543"/>
      <c r="H543"/>
      <c r="I543"/>
    </row>
    <row r="544" spans="2:9" ht="15">
      <c r="B544"/>
      <c r="C544"/>
      <c r="D544"/>
      <c r="E544"/>
      <c r="F544"/>
      <c r="G544"/>
      <c r="H544"/>
      <c r="I544"/>
    </row>
    <row r="545" spans="2:9" ht="15">
      <c r="B545"/>
      <c r="C545"/>
      <c r="D545"/>
      <c r="E545"/>
      <c r="F545"/>
      <c r="G545"/>
      <c r="H545"/>
      <c r="I545"/>
    </row>
    <row r="546" spans="2:9" ht="15">
      <c r="B546"/>
      <c r="C546"/>
      <c r="D546"/>
      <c r="E546"/>
      <c r="F546"/>
      <c r="G546"/>
      <c r="H546"/>
      <c r="I546"/>
    </row>
    <row r="547" spans="2:9" ht="15">
      <c r="B547"/>
      <c r="C547"/>
      <c r="D547"/>
      <c r="E547"/>
      <c r="F547"/>
      <c r="G547"/>
      <c r="H547"/>
      <c r="I547"/>
    </row>
    <row r="548" spans="2:9" ht="15">
      <c r="B548"/>
      <c r="C548"/>
      <c r="D548"/>
      <c r="E548"/>
      <c r="F548"/>
      <c r="G548"/>
      <c r="H548"/>
      <c r="I548"/>
    </row>
    <row r="549" spans="2:9" ht="15">
      <c r="B549"/>
      <c r="C549"/>
      <c r="D549"/>
      <c r="E549"/>
      <c r="F549"/>
      <c r="G549"/>
      <c r="H549"/>
      <c r="I549"/>
    </row>
    <row r="550" spans="2:9" ht="15">
      <c r="B550"/>
      <c r="C550"/>
      <c r="D550"/>
      <c r="E550"/>
      <c r="F550"/>
      <c r="G550"/>
      <c r="H550"/>
      <c r="I550"/>
    </row>
    <row r="551" spans="2:9" ht="15">
      <c r="B551"/>
      <c r="C551"/>
      <c r="D551"/>
      <c r="E551"/>
      <c r="F551"/>
      <c r="G551"/>
      <c r="H551"/>
      <c r="I551"/>
    </row>
    <row r="552" spans="2:9" ht="15">
      <c r="B552"/>
      <c r="C552"/>
      <c r="D552"/>
      <c r="E552"/>
      <c r="F552"/>
      <c r="G552"/>
      <c r="H552"/>
      <c r="I552"/>
    </row>
    <row r="553" spans="2:9" ht="15">
      <c r="B553"/>
      <c r="C553"/>
      <c r="D553"/>
      <c r="E553"/>
      <c r="F553"/>
      <c r="G553"/>
      <c r="H553"/>
      <c r="I553"/>
    </row>
    <row r="554" spans="2:9" ht="15">
      <c r="B554"/>
      <c r="C554"/>
      <c r="D554"/>
      <c r="E554"/>
      <c r="F554"/>
      <c r="G554"/>
      <c r="H554"/>
      <c r="I554"/>
    </row>
    <row r="555" spans="2:9" ht="15">
      <c r="B555"/>
      <c r="C555"/>
      <c r="D555"/>
      <c r="E555"/>
      <c r="F555"/>
      <c r="G555"/>
      <c r="H555"/>
      <c r="I555"/>
    </row>
    <row r="556" spans="2:9" ht="15">
      <c r="B556"/>
      <c r="C556"/>
      <c r="D556"/>
      <c r="E556"/>
      <c r="F556"/>
      <c r="G556"/>
      <c r="H556"/>
      <c r="I556"/>
    </row>
    <row r="557" spans="2:9" ht="15">
      <c r="B557"/>
      <c r="C557"/>
      <c r="D557"/>
      <c r="E557"/>
      <c r="F557"/>
      <c r="G557"/>
      <c r="H557"/>
      <c r="I557"/>
    </row>
    <row r="558" spans="2:9" ht="15">
      <c r="B558"/>
      <c r="C558"/>
      <c r="D558"/>
      <c r="E558"/>
      <c r="F558"/>
      <c r="G558"/>
      <c r="H558"/>
      <c r="I558"/>
    </row>
    <row r="559" spans="2:9" ht="15">
      <c r="B559"/>
      <c r="C559"/>
      <c r="D559"/>
      <c r="E559"/>
      <c r="F559"/>
      <c r="G559"/>
      <c r="H559"/>
      <c r="I559"/>
    </row>
    <row r="560" spans="2:9" ht="15">
      <c r="B560"/>
      <c r="C560"/>
      <c r="D560"/>
      <c r="E560"/>
      <c r="F560"/>
      <c r="G560"/>
      <c r="H560"/>
      <c r="I560"/>
    </row>
    <row r="561" spans="2:9" ht="15">
      <c r="B561"/>
      <c r="C561"/>
      <c r="D561"/>
      <c r="E561"/>
      <c r="F561"/>
      <c r="G561"/>
      <c r="H561"/>
      <c r="I561"/>
    </row>
    <row r="562" spans="2:9" ht="15">
      <c r="B562"/>
      <c r="C562"/>
      <c r="D562"/>
      <c r="E562"/>
      <c r="F562"/>
      <c r="G562"/>
      <c r="H562"/>
      <c r="I562"/>
    </row>
    <row r="563" spans="2:9" ht="15">
      <c r="B563"/>
      <c r="C563"/>
      <c r="D563"/>
      <c r="E563"/>
      <c r="F563"/>
      <c r="G563"/>
      <c r="H563"/>
      <c r="I563"/>
    </row>
    <row r="564" spans="2:9" ht="15">
      <c r="B564"/>
      <c r="C564"/>
      <c r="D564"/>
      <c r="E564"/>
      <c r="F564"/>
      <c r="G564"/>
      <c r="H564"/>
      <c r="I564"/>
    </row>
    <row r="565" spans="2:9" ht="15">
      <c r="B565"/>
      <c r="C565"/>
      <c r="D565"/>
      <c r="E565"/>
      <c r="F565"/>
      <c r="G565"/>
      <c r="H565"/>
      <c r="I565"/>
    </row>
    <row r="566" spans="2:9" ht="15">
      <c r="B566"/>
      <c r="C566"/>
      <c r="D566"/>
      <c r="E566"/>
      <c r="F566"/>
      <c r="G566"/>
      <c r="H566"/>
      <c r="I566"/>
    </row>
    <row r="567" spans="2:9" ht="15">
      <c r="B567"/>
      <c r="C567"/>
      <c r="D567"/>
      <c r="E567"/>
      <c r="F567"/>
      <c r="G567"/>
      <c r="H567"/>
      <c r="I567"/>
    </row>
    <row r="568" spans="2:9" ht="15">
      <c r="B568"/>
      <c r="C568"/>
      <c r="D568"/>
      <c r="E568"/>
      <c r="F568"/>
      <c r="G568"/>
      <c r="H568"/>
      <c r="I568"/>
    </row>
    <row r="569" spans="2:9" ht="15">
      <c r="B569"/>
      <c r="C569"/>
      <c r="D569"/>
      <c r="E569"/>
      <c r="F569"/>
      <c r="G569"/>
      <c r="H569"/>
      <c r="I569"/>
    </row>
    <row r="570" spans="2:9" ht="15">
      <c r="B570"/>
      <c r="C570"/>
      <c r="D570"/>
      <c r="E570"/>
      <c r="F570"/>
      <c r="G570"/>
      <c r="H570"/>
      <c r="I570"/>
    </row>
    <row r="571" spans="2:9" ht="15">
      <c r="B571"/>
      <c r="C571"/>
      <c r="D571"/>
      <c r="E571"/>
      <c r="F571"/>
      <c r="G571"/>
      <c r="H571"/>
      <c r="I571"/>
    </row>
    <row r="572" spans="2:9" ht="15">
      <c r="B572"/>
      <c r="C572"/>
      <c r="D572"/>
      <c r="E572"/>
      <c r="F572"/>
      <c r="G572"/>
      <c r="H572"/>
      <c r="I572"/>
    </row>
    <row r="573" spans="2:9" ht="13.5" customHeight="1">
      <c r="B573"/>
      <c r="C573"/>
      <c r="D573"/>
      <c r="E573"/>
      <c r="F573"/>
      <c r="G573"/>
      <c r="H573"/>
      <c r="I573"/>
    </row>
    <row r="574" spans="2:9" ht="15">
      <c r="B574"/>
      <c r="C574"/>
      <c r="D574"/>
      <c r="E574"/>
      <c r="F574"/>
      <c r="G574"/>
      <c r="H574"/>
      <c r="I574"/>
    </row>
    <row r="575" spans="2:9" ht="15">
      <c r="B575"/>
      <c r="C575"/>
      <c r="D575"/>
      <c r="E575"/>
      <c r="F575"/>
      <c r="G575"/>
      <c r="H575"/>
      <c r="I575"/>
    </row>
    <row r="576" spans="2:9" ht="15">
      <c r="B576"/>
      <c r="C576"/>
      <c r="D576"/>
      <c r="E576"/>
      <c r="F576"/>
      <c r="G576"/>
      <c r="H576"/>
      <c r="I576"/>
    </row>
    <row r="577" spans="2:9" ht="15">
      <c r="B577"/>
      <c r="C577"/>
      <c r="D577"/>
      <c r="E577"/>
      <c r="F577"/>
      <c r="G577"/>
      <c r="H577"/>
      <c r="I577"/>
    </row>
    <row r="578" spans="2:9" ht="15">
      <c r="B578"/>
      <c r="C578"/>
      <c r="D578"/>
      <c r="E578"/>
      <c r="F578"/>
      <c r="G578"/>
      <c r="H578"/>
      <c r="I578"/>
    </row>
    <row r="579" spans="2:9" ht="15">
      <c r="B579"/>
      <c r="C579"/>
      <c r="D579"/>
      <c r="E579"/>
      <c r="F579"/>
      <c r="G579"/>
      <c r="H579"/>
      <c r="I579"/>
    </row>
    <row r="580" spans="2:9" ht="15">
      <c r="B580"/>
      <c r="C580"/>
      <c r="D580"/>
      <c r="E580"/>
      <c r="F580"/>
      <c r="G580"/>
      <c r="H580"/>
      <c r="I580"/>
    </row>
    <row r="581" spans="2:9" ht="15">
      <c r="B581"/>
      <c r="C581"/>
      <c r="D581"/>
      <c r="E581"/>
      <c r="F581"/>
      <c r="G581"/>
      <c r="H581"/>
      <c r="I581"/>
    </row>
    <row r="582" spans="2:9" ht="15">
      <c r="B582"/>
      <c r="C582"/>
      <c r="D582"/>
      <c r="E582"/>
      <c r="F582"/>
      <c r="G582"/>
      <c r="H582"/>
      <c r="I582"/>
    </row>
    <row r="583" spans="2:9" ht="15">
      <c r="B583"/>
      <c r="C583"/>
      <c r="D583"/>
      <c r="E583"/>
      <c r="F583"/>
      <c r="G583"/>
      <c r="H583"/>
      <c r="I583"/>
    </row>
    <row r="584" spans="2:9" ht="15">
      <c r="B584"/>
      <c r="C584"/>
      <c r="D584"/>
      <c r="E584"/>
      <c r="F584"/>
      <c r="G584"/>
      <c r="H584"/>
      <c r="I584"/>
    </row>
    <row r="585" spans="2:9" ht="15">
      <c r="B585"/>
      <c r="C585"/>
      <c r="D585"/>
      <c r="E585"/>
      <c r="F585"/>
      <c r="G585"/>
      <c r="H585"/>
      <c r="I585"/>
    </row>
    <row r="586" spans="2:9" ht="15">
      <c r="B586"/>
      <c r="C586"/>
      <c r="D586"/>
      <c r="E586"/>
      <c r="F586"/>
      <c r="G586"/>
      <c r="H586"/>
      <c r="I586"/>
    </row>
    <row r="587" spans="2:9" ht="15">
      <c r="B587"/>
      <c r="C587"/>
      <c r="D587"/>
      <c r="E587"/>
      <c r="F587"/>
      <c r="G587"/>
      <c r="H587"/>
      <c r="I587"/>
    </row>
    <row r="588" spans="2:9" ht="15">
      <c r="B588"/>
      <c r="C588"/>
      <c r="D588"/>
      <c r="E588"/>
      <c r="F588"/>
      <c r="G588"/>
      <c r="H588"/>
      <c r="I588"/>
    </row>
    <row r="589" spans="2:9" ht="15">
      <c r="B589"/>
      <c r="C589"/>
      <c r="D589"/>
      <c r="E589"/>
      <c r="F589"/>
      <c r="G589"/>
      <c r="H589"/>
      <c r="I589"/>
    </row>
    <row r="590" spans="2:9" ht="15">
      <c r="B590"/>
      <c r="C590"/>
      <c r="D590"/>
      <c r="E590"/>
      <c r="F590"/>
      <c r="G590"/>
      <c r="H590"/>
      <c r="I590"/>
    </row>
    <row r="591" spans="2:9" ht="15">
      <c r="B591"/>
      <c r="C591"/>
      <c r="D591"/>
      <c r="E591"/>
      <c r="F591"/>
      <c r="G591"/>
      <c r="H591"/>
      <c r="I591"/>
    </row>
    <row r="592" spans="2:9" ht="15">
      <c r="B592"/>
      <c r="C592"/>
      <c r="D592"/>
      <c r="E592"/>
      <c r="F592"/>
      <c r="G592"/>
      <c r="H592"/>
      <c r="I592"/>
    </row>
    <row r="593" spans="2:9" ht="15">
      <c r="B593"/>
      <c r="C593"/>
      <c r="D593"/>
      <c r="E593"/>
      <c r="F593"/>
      <c r="G593"/>
      <c r="H593"/>
      <c r="I593"/>
    </row>
    <row r="594" spans="2:9" ht="15">
      <c r="B594"/>
      <c r="C594"/>
      <c r="D594"/>
      <c r="E594"/>
      <c r="F594"/>
      <c r="G594"/>
      <c r="H594"/>
      <c r="I594"/>
    </row>
    <row r="595" spans="2:9" ht="15">
      <c r="B595"/>
      <c r="C595"/>
      <c r="D595"/>
      <c r="E595"/>
      <c r="F595"/>
      <c r="G595"/>
      <c r="H595"/>
      <c r="I595"/>
    </row>
    <row r="596" spans="2:9" ht="15">
      <c r="B596"/>
      <c r="C596"/>
      <c r="D596"/>
      <c r="E596"/>
      <c r="F596"/>
      <c r="G596"/>
      <c r="H596"/>
      <c r="I596"/>
    </row>
    <row r="597" spans="2:9" ht="15">
      <c r="B597"/>
      <c r="C597"/>
      <c r="D597"/>
      <c r="E597"/>
      <c r="F597"/>
      <c r="G597"/>
      <c r="H597"/>
      <c r="I597"/>
    </row>
    <row r="598" spans="2:9" ht="15">
      <c r="B598"/>
      <c r="C598"/>
      <c r="D598"/>
      <c r="E598"/>
      <c r="F598"/>
      <c r="G598"/>
      <c r="H598"/>
      <c r="I598"/>
    </row>
    <row r="599" spans="2:9" ht="15">
      <c r="B599"/>
      <c r="C599"/>
      <c r="D599"/>
      <c r="E599"/>
      <c r="F599"/>
      <c r="G599"/>
      <c r="H599"/>
      <c r="I599"/>
    </row>
    <row r="600" spans="2:9" ht="15">
      <c r="B600"/>
      <c r="C600"/>
      <c r="D600"/>
      <c r="E600"/>
      <c r="F600"/>
      <c r="G600"/>
      <c r="H600"/>
      <c r="I600"/>
    </row>
    <row r="601" spans="2:9" ht="15">
      <c r="B601"/>
      <c r="C601"/>
      <c r="D601"/>
      <c r="E601"/>
      <c r="F601"/>
      <c r="G601"/>
      <c r="H601"/>
      <c r="I601"/>
    </row>
    <row r="602" spans="2:9" ht="15">
      <c r="B602"/>
      <c r="C602"/>
      <c r="D602"/>
      <c r="E602"/>
      <c r="F602"/>
      <c r="G602"/>
      <c r="H602"/>
      <c r="I602"/>
    </row>
    <row r="603" spans="2:9" ht="15">
      <c r="B603"/>
      <c r="C603"/>
      <c r="D603"/>
      <c r="E603"/>
      <c r="F603"/>
      <c r="G603"/>
      <c r="H603"/>
      <c r="I603"/>
    </row>
    <row r="604" spans="2:9" ht="15">
      <c r="B604"/>
      <c r="C604"/>
      <c r="D604"/>
      <c r="E604"/>
      <c r="F604"/>
      <c r="G604"/>
      <c r="H604"/>
      <c r="I604"/>
    </row>
    <row r="605" spans="2:9" ht="15">
      <c r="B605"/>
      <c r="C605"/>
      <c r="D605"/>
      <c r="E605"/>
      <c r="F605"/>
      <c r="G605"/>
      <c r="H605"/>
      <c r="I605"/>
    </row>
    <row r="606" spans="2:9" ht="15">
      <c r="B606"/>
      <c r="C606"/>
      <c r="D606"/>
      <c r="E606"/>
      <c r="F606"/>
      <c r="G606"/>
      <c r="H606"/>
      <c r="I606"/>
    </row>
    <row r="607" spans="2:9" ht="15">
      <c r="B607"/>
      <c r="C607"/>
      <c r="D607"/>
      <c r="E607"/>
      <c r="F607"/>
      <c r="G607"/>
      <c r="H607"/>
      <c r="I607"/>
    </row>
    <row r="608" spans="2:9" ht="15">
      <c r="B608"/>
      <c r="C608"/>
      <c r="D608"/>
      <c r="E608"/>
      <c r="F608"/>
      <c r="G608"/>
      <c r="H608"/>
      <c r="I608"/>
    </row>
    <row r="609" spans="2:9" ht="15">
      <c r="B609"/>
      <c r="C609"/>
      <c r="D609"/>
      <c r="E609"/>
      <c r="F609"/>
      <c r="G609"/>
      <c r="H609"/>
      <c r="I609"/>
    </row>
    <row r="610" spans="2:9" ht="15">
      <c r="B610"/>
      <c r="C610"/>
      <c r="D610"/>
      <c r="E610"/>
      <c r="F610"/>
      <c r="G610"/>
      <c r="H610"/>
      <c r="I610"/>
    </row>
    <row r="611" spans="2:9" ht="15">
      <c r="B611"/>
      <c r="C611"/>
      <c r="D611"/>
      <c r="E611"/>
      <c r="F611"/>
      <c r="G611"/>
      <c r="H611"/>
      <c r="I611"/>
    </row>
    <row r="612" spans="2:9" ht="15">
      <c r="B612"/>
      <c r="C612"/>
      <c r="D612"/>
      <c r="E612"/>
      <c r="F612"/>
      <c r="G612"/>
      <c r="H612"/>
      <c r="I612"/>
    </row>
    <row r="613" spans="2:9" ht="15">
      <c r="B613"/>
      <c r="C613"/>
      <c r="D613"/>
      <c r="E613"/>
      <c r="F613"/>
      <c r="G613"/>
      <c r="H613"/>
      <c r="I613"/>
    </row>
    <row r="614" spans="2:9" ht="15">
      <c r="B614"/>
      <c r="C614"/>
      <c r="D614"/>
      <c r="E614"/>
      <c r="F614"/>
      <c r="G614"/>
      <c r="H614"/>
      <c r="I614"/>
    </row>
    <row r="615" spans="2:9" ht="15">
      <c r="B615"/>
      <c r="C615"/>
      <c r="D615"/>
      <c r="E615"/>
      <c r="F615"/>
      <c r="G615"/>
      <c r="H615"/>
      <c r="I615"/>
    </row>
    <row r="616" spans="2:9" ht="15">
      <c r="B616"/>
      <c r="C616"/>
      <c r="D616"/>
      <c r="E616"/>
      <c r="F616"/>
      <c r="G616"/>
      <c r="H616"/>
      <c r="I616"/>
    </row>
    <row r="617" spans="2:9" ht="13.5" customHeight="1">
      <c r="B617"/>
      <c r="C617"/>
      <c r="D617"/>
      <c r="E617"/>
      <c r="F617"/>
      <c r="G617"/>
      <c r="H617"/>
      <c r="I617"/>
    </row>
    <row r="618" spans="2:9" ht="15">
      <c r="B618"/>
      <c r="C618"/>
      <c r="D618"/>
      <c r="E618"/>
      <c r="F618"/>
      <c r="G618"/>
      <c r="H618"/>
      <c r="I618"/>
    </row>
    <row r="619" spans="2:9" ht="15">
      <c r="B619"/>
      <c r="C619"/>
      <c r="D619"/>
      <c r="E619"/>
      <c r="F619"/>
      <c r="G619"/>
      <c r="H619"/>
      <c r="I619"/>
    </row>
    <row r="620" spans="2:9" ht="15">
      <c r="B620"/>
      <c r="C620"/>
      <c r="D620"/>
      <c r="E620"/>
      <c r="F620"/>
      <c r="G620"/>
      <c r="H620"/>
      <c r="I620"/>
    </row>
    <row r="621" spans="2:9" ht="15">
      <c r="B621"/>
      <c r="C621"/>
      <c r="D621"/>
      <c r="E621"/>
      <c r="F621"/>
      <c r="G621"/>
      <c r="H621"/>
      <c r="I621"/>
    </row>
    <row r="622" spans="2:9" ht="15">
      <c r="B622"/>
      <c r="C622"/>
      <c r="D622"/>
      <c r="E622"/>
      <c r="F622"/>
      <c r="G622"/>
      <c r="H622"/>
      <c r="I622"/>
    </row>
    <row r="623" spans="2:9" ht="15">
      <c r="B623"/>
      <c r="C623"/>
      <c r="D623"/>
      <c r="E623"/>
      <c r="F623"/>
      <c r="G623"/>
      <c r="H623"/>
      <c r="I623"/>
    </row>
    <row r="624" spans="2:9" ht="15">
      <c r="B624"/>
      <c r="C624"/>
      <c r="D624"/>
      <c r="E624"/>
      <c r="F624"/>
      <c r="G624"/>
      <c r="H624"/>
      <c r="I624"/>
    </row>
    <row r="625" spans="2:9" ht="15">
      <c r="B625"/>
      <c r="C625"/>
      <c r="D625"/>
      <c r="E625"/>
      <c r="F625"/>
      <c r="G625"/>
      <c r="H625"/>
      <c r="I625"/>
    </row>
    <row r="626" spans="2:9" ht="15">
      <c r="B626"/>
      <c r="C626"/>
      <c r="D626"/>
      <c r="E626"/>
      <c r="F626"/>
      <c r="G626"/>
      <c r="H626"/>
      <c r="I626"/>
    </row>
    <row r="627" spans="2:9" ht="15">
      <c r="B627"/>
      <c r="C627"/>
      <c r="D627"/>
      <c r="E627"/>
      <c r="F627"/>
      <c r="G627"/>
      <c r="H627"/>
      <c r="I627"/>
    </row>
    <row r="628" spans="2:9" ht="15">
      <c r="B628"/>
      <c r="C628"/>
      <c r="D628"/>
      <c r="E628"/>
      <c r="F628"/>
      <c r="G628"/>
      <c r="H628"/>
      <c r="I628"/>
    </row>
    <row r="629" spans="2:9" ht="15">
      <c r="B629"/>
      <c r="C629"/>
      <c r="D629"/>
      <c r="E629"/>
      <c r="F629"/>
      <c r="G629"/>
      <c r="H629"/>
      <c r="I629"/>
    </row>
    <row r="630" spans="2:9" ht="15">
      <c r="B630"/>
      <c r="C630"/>
      <c r="D630"/>
      <c r="E630"/>
      <c r="F630"/>
      <c r="G630"/>
      <c r="H630"/>
      <c r="I630"/>
    </row>
    <row r="631" spans="2:9" ht="15">
      <c r="B631"/>
      <c r="C631"/>
      <c r="D631"/>
      <c r="E631"/>
      <c r="F631"/>
      <c r="G631"/>
      <c r="H631"/>
      <c r="I631"/>
    </row>
    <row r="632" spans="2:9" ht="15">
      <c r="B632"/>
      <c r="C632"/>
      <c r="D632"/>
      <c r="E632"/>
      <c r="F632"/>
      <c r="G632"/>
      <c r="H632"/>
      <c r="I632"/>
    </row>
    <row r="633" spans="2:9" ht="15">
      <c r="B633"/>
      <c r="C633"/>
      <c r="D633"/>
      <c r="E633"/>
      <c r="F633"/>
      <c r="G633"/>
      <c r="H633"/>
      <c r="I633"/>
    </row>
    <row r="634" spans="2:9" ht="15">
      <c r="B634"/>
      <c r="C634"/>
      <c r="D634"/>
      <c r="E634"/>
      <c r="F634"/>
      <c r="G634"/>
      <c r="H634"/>
      <c r="I634"/>
    </row>
    <row r="635" spans="2:9" ht="15">
      <c r="B635"/>
      <c r="C635"/>
      <c r="D635"/>
      <c r="E635"/>
      <c r="F635"/>
      <c r="G635"/>
      <c r="H635"/>
      <c r="I635"/>
    </row>
    <row r="636" spans="2:9" ht="15">
      <c r="B636"/>
      <c r="C636"/>
      <c r="D636"/>
      <c r="E636"/>
      <c r="F636"/>
      <c r="G636"/>
      <c r="H636"/>
      <c r="I636"/>
    </row>
    <row r="637" spans="2:9" ht="15">
      <c r="B637"/>
      <c r="C637"/>
      <c r="D637"/>
      <c r="E637"/>
      <c r="F637"/>
      <c r="G637"/>
      <c r="H637"/>
      <c r="I637"/>
    </row>
    <row r="638" spans="2:9" ht="15">
      <c r="B638"/>
      <c r="C638"/>
      <c r="D638"/>
      <c r="E638"/>
      <c r="F638"/>
      <c r="G638"/>
      <c r="H638"/>
      <c r="I638"/>
    </row>
    <row r="639" spans="2:9" ht="15">
      <c r="B639"/>
      <c r="C639"/>
      <c r="D639"/>
      <c r="E639"/>
      <c r="F639"/>
      <c r="G639"/>
      <c r="H639"/>
      <c r="I639"/>
    </row>
    <row r="640" spans="2:9" ht="15">
      <c r="B640"/>
      <c r="C640"/>
      <c r="D640"/>
      <c r="E640"/>
      <c r="F640"/>
      <c r="G640"/>
      <c r="H640"/>
      <c r="I640"/>
    </row>
    <row r="641" spans="2:9" ht="15">
      <c r="B641"/>
      <c r="C641"/>
      <c r="D641"/>
      <c r="E641"/>
      <c r="F641"/>
      <c r="G641"/>
      <c r="H641"/>
      <c r="I641"/>
    </row>
    <row r="642" spans="2:9" ht="15">
      <c r="B642"/>
      <c r="C642"/>
      <c r="D642"/>
      <c r="E642"/>
      <c r="F642"/>
      <c r="G642"/>
      <c r="H642"/>
      <c r="I642"/>
    </row>
    <row r="643" spans="2:9" ht="15">
      <c r="B643"/>
      <c r="C643"/>
      <c r="D643"/>
      <c r="E643"/>
      <c r="F643"/>
      <c r="G643"/>
      <c r="H643"/>
      <c r="I643"/>
    </row>
    <row r="644" spans="2:9" ht="15">
      <c r="B644"/>
      <c r="C644"/>
      <c r="D644"/>
      <c r="E644"/>
      <c r="F644"/>
      <c r="G644"/>
      <c r="H644"/>
      <c r="I644"/>
    </row>
    <row r="645" spans="2:9" ht="15">
      <c r="B645"/>
      <c r="C645"/>
      <c r="D645"/>
      <c r="E645"/>
      <c r="F645"/>
      <c r="G645"/>
      <c r="H645"/>
      <c r="I645"/>
    </row>
    <row r="646" spans="2:9" ht="15">
      <c r="B646"/>
      <c r="C646"/>
      <c r="D646"/>
      <c r="E646"/>
      <c r="F646"/>
      <c r="G646"/>
      <c r="H646"/>
      <c r="I646"/>
    </row>
    <row r="647" spans="2:9" ht="15">
      <c r="B647"/>
      <c r="C647"/>
      <c r="D647"/>
      <c r="E647"/>
      <c r="F647"/>
      <c r="G647"/>
      <c r="H647"/>
      <c r="I647"/>
    </row>
    <row r="648" spans="2:9" ht="15">
      <c r="B648"/>
      <c r="C648"/>
      <c r="D648"/>
      <c r="E648"/>
      <c r="F648"/>
      <c r="G648"/>
      <c r="H648"/>
      <c r="I648"/>
    </row>
    <row r="649" spans="2:9" ht="15">
      <c r="B649"/>
      <c r="C649"/>
      <c r="D649"/>
      <c r="E649"/>
      <c r="F649"/>
      <c r="G649"/>
      <c r="H649"/>
      <c r="I649"/>
    </row>
    <row r="650" spans="2:9" ht="15">
      <c r="B650"/>
      <c r="C650"/>
      <c r="D650"/>
      <c r="E650"/>
      <c r="F650"/>
      <c r="G650"/>
      <c r="H650"/>
      <c r="I650"/>
    </row>
    <row r="651" spans="2:9" ht="15">
      <c r="B651"/>
      <c r="C651"/>
      <c r="D651"/>
      <c r="E651"/>
      <c r="F651"/>
      <c r="G651"/>
      <c r="H651"/>
      <c r="I651"/>
    </row>
    <row r="652" spans="2:9" ht="15">
      <c r="B652"/>
      <c r="C652"/>
      <c r="D652"/>
      <c r="E652"/>
      <c r="F652"/>
      <c r="G652"/>
      <c r="H652"/>
      <c r="I652"/>
    </row>
    <row r="653" spans="2:9" ht="15">
      <c r="B653"/>
      <c r="C653"/>
      <c r="D653"/>
      <c r="E653"/>
      <c r="F653"/>
      <c r="G653"/>
      <c r="H653"/>
      <c r="I653"/>
    </row>
    <row r="654" spans="2:9" ht="15">
      <c r="B654"/>
      <c r="C654"/>
      <c r="D654"/>
      <c r="E654"/>
      <c r="F654"/>
      <c r="G654"/>
      <c r="H654"/>
      <c r="I654"/>
    </row>
    <row r="655" spans="2:9" ht="15">
      <c r="B655"/>
      <c r="C655"/>
      <c r="D655"/>
      <c r="E655"/>
      <c r="F655"/>
      <c r="G655"/>
      <c r="H655"/>
      <c r="I655"/>
    </row>
    <row r="656" spans="2:9" ht="15">
      <c r="B656"/>
      <c r="C656"/>
      <c r="D656"/>
      <c r="E656"/>
      <c r="F656"/>
      <c r="G656"/>
      <c r="H656"/>
      <c r="I656"/>
    </row>
    <row r="657" spans="2:9" ht="15">
      <c r="B657"/>
      <c r="C657"/>
      <c r="D657"/>
      <c r="E657"/>
      <c r="F657"/>
      <c r="G657"/>
      <c r="H657"/>
      <c r="I657"/>
    </row>
    <row r="658" spans="2:9" ht="15">
      <c r="B658"/>
      <c r="C658"/>
      <c r="D658"/>
      <c r="E658"/>
      <c r="F658"/>
      <c r="G658"/>
      <c r="H658"/>
      <c r="I658"/>
    </row>
    <row r="659" spans="2:9" ht="15">
      <c r="B659"/>
      <c r="C659"/>
      <c r="D659"/>
      <c r="E659"/>
      <c r="F659"/>
      <c r="G659"/>
      <c r="H659"/>
      <c r="I659"/>
    </row>
    <row r="660" spans="2:9" ht="13.5" customHeight="1">
      <c r="B660"/>
      <c r="C660"/>
      <c r="D660"/>
      <c r="E660"/>
      <c r="F660"/>
      <c r="G660"/>
      <c r="H660"/>
      <c r="I660"/>
    </row>
    <row r="661" spans="2:9" ht="15">
      <c r="B661"/>
      <c r="C661"/>
      <c r="D661"/>
      <c r="E661"/>
      <c r="F661"/>
      <c r="G661"/>
      <c r="H661"/>
      <c r="I661"/>
    </row>
    <row r="662" spans="2:9" ht="15">
      <c r="B662"/>
      <c r="C662"/>
      <c r="D662"/>
      <c r="E662"/>
      <c r="F662"/>
      <c r="G662"/>
      <c r="H662"/>
      <c r="I662"/>
    </row>
    <row r="663" spans="2:9" ht="15">
      <c r="B663"/>
      <c r="C663"/>
      <c r="D663"/>
      <c r="E663"/>
      <c r="F663"/>
      <c r="G663"/>
      <c r="H663"/>
      <c r="I663"/>
    </row>
    <row r="664" spans="2:9" ht="15">
      <c r="B664"/>
      <c r="C664"/>
      <c r="D664"/>
      <c r="E664"/>
      <c r="F664"/>
      <c r="G664"/>
      <c r="H664"/>
      <c r="I664"/>
    </row>
    <row r="665" spans="2:9" ht="15">
      <c r="B665"/>
      <c r="C665"/>
      <c r="D665"/>
      <c r="E665"/>
      <c r="F665"/>
      <c r="G665"/>
      <c r="H665"/>
      <c r="I665"/>
    </row>
    <row r="666" spans="2:9" ht="15">
      <c r="B666"/>
      <c r="C666"/>
      <c r="D666"/>
      <c r="E666"/>
      <c r="F666"/>
      <c r="G666"/>
      <c r="H666"/>
      <c r="I666"/>
    </row>
    <row r="667" spans="2:9" ht="15">
      <c r="B667"/>
      <c r="C667"/>
      <c r="D667"/>
      <c r="E667"/>
      <c r="F667"/>
      <c r="G667"/>
      <c r="H667"/>
      <c r="I667"/>
    </row>
    <row r="668" spans="2:9" ht="15">
      <c r="B668"/>
      <c r="C668"/>
      <c r="D668"/>
      <c r="E668"/>
      <c r="F668"/>
      <c r="G668"/>
      <c r="H668"/>
      <c r="I668"/>
    </row>
    <row r="669" spans="2:9" ht="15">
      <c r="B669"/>
      <c r="C669"/>
      <c r="D669"/>
      <c r="E669"/>
      <c r="F669"/>
      <c r="G669"/>
      <c r="H669"/>
      <c r="I669"/>
    </row>
    <row r="670" spans="2:9" ht="15">
      <c r="B670"/>
      <c r="C670"/>
      <c r="D670"/>
      <c r="E670"/>
      <c r="F670"/>
      <c r="G670"/>
      <c r="H670"/>
      <c r="I670"/>
    </row>
    <row r="671" spans="2:9" ht="15">
      <c r="B671"/>
      <c r="C671"/>
      <c r="D671"/>
      <c r="E671"/>
      <c r="F671"/>
      <c r="G671"/>
      <c r="H671"/>
      <c r="I671"/>
    </row>
    <row r="672" spans="2:9" ht="15">
      <c r="B672"/>
      <c r="C672"/>
      <c r="D672"/>
      <c r="E672"/>
      <c r="F672"/>
      <c r="G672"/>
      <c r="H672"/>
      <c r="I672"/>
    </row>
    <row r="673" spans="2:9" ht="15">
      <c r="B673"/>
      <c r="C673"/>
      <c r="D673"/>
      <c r="E673"/>
      <c r="F673"/>
      <c r="G673"/>
      <c r="H673"/>
      <c r="I673"/>
    </row>
    <row r="674" spans="2:9" ht="15">
      <c r="B674"/>
      <c r="C674"/>
      <c r="D674"/>
      <c r="E674"/>
      <c r="F674"/>
      <c r="G674"/>
      <c r="H674"/>
      <c r="I674"/>
    </row>
    <row r="675" spans="2:9" ht="15">
      <c r="B675"/>
      <c r="C675"/>
      <c r="D675"/>
      <c r="E675"/>
      <c r="F675"/>
      <c r="G675"/>
      <c r="H675"/>
      <c r="I675"/>
    </row>
    <row r="676" spans="2:9" ht="15">
      <c r="B676"/>
      <c r="C676"/>
      <c r="D676"/>
      <c r="E676"/>
      <c r="F676"/>
      <c r="G676"/>
      <c r="H676"/>
      <c r="I676"/>
    </row>
    <row r="677" spans="2:9" ht="15">
      <c r="B677"/>
      <c r="C677"/>
      <c r="D677"/>
      <c r="E677"/>
      <c r="F677"/>
      <c r="G677"/>
      <c r="H677"/>
      <c r="I677"/>
    </row>
    <row r="678" spans="2:9" ht="15">
      <c r="B678"/>
      <c r="C678"/>
      <c r="D678"/>
      <c r="E678"/>
      <c r="F678"/>
      <c r="G678"/>
      <c r="H678"/>
      <c r="I678"/>
    </row>
    <row r="679" spans="2:9" ht="15">
      <c r="B679"/>
      <c r="C679"/>
      <c r="D679"/>
      <c r="E679"/>
      <c r="F679"/>
      <c r="G679"/>
      <c r="H679"/>
      <c r="I679"/>
    </row>
    <row r="680" spans="2:9" ht="15">
      <c r="B680"/>
      <c r="C680"/>
      <c r="D680"/>
      <c r="E680"/>
      <c r="F680"/>
      <c r="G680"/>
      <c r="H680"/>
      <c r="I680"/>
    </row>
    <row r="681" spans="2:9" ht="15">
      <c r="B681"/>
      <c r="C681"/>
      <c r="D681"/>
      <c r="E681"/>
      <c r="F681"/>
      <c r="G681"/>
      <c r="H681"/>
      <c r="I681"/>
    </row>
    <row r="682" spans="2:9" ht="15">
      <c r="B682"/>
      <c r="C682"/>
      <c r="D682"/>
      <c r="E682"/>
      <c r="F682"/>
      <c r="G682"/>
      <c r="H682"/>
      <c r="I682"/>
    </row>
    <row r="683" spans="2:9" ht="15">
      <c r="B683"/>
      <c r="C683"/>
      <c r="D683"/>
      <c r="E683"/>
      <c r="F683"/>
      <c r="G683"/>
      <c r="H683"/>
      <c r="I683"/>
    </row>
    <row r="684" spans="2:9" ht="15">
      <c r="B684"/>
      <c r="C684"/>
      <c r="D684"/>
      <c r="E684"/>
      <c r="F684"/>
      <c r="G684"/>
      <c r="H684"/>
      <c r="I684"/>
    </row>
    <row r="685" spans="2:9" ht="15">
      <c r="B685"/>
      <c r="C685"/>
      <c r="D685"/>
      <c r="E685"/>
      <c r="F685"/>
      <c r="G685"/>
      <c r="H685"/>
      <c r="I685"/>
    </row>
    <row r="686" spans="2:9" ht="15">
      <c r="B686"/>
      <c r="C686"/>
      <c r="D686"/>
      <c r="E686"/>
      <c r="F686"/>
      <c r="G686"/>
      <c r="H686"/>
      <c r="I686"/>
    </row>
    <row r="687" spans="2:9" ht="15">
      <c r="B687"/>
      <c r="C687"/>
      <c r="D687"/>
      <c r="E687"/>
      <c r="F687"/>
      <c r="G687"/>
      <c r="H687"/>
      <c r="I687"/>
    </row>
    <row r="688" spans="2:9" ht="15">
      <c r="B688"/>
      <c r="C688"/>
      <c r="D688"/>
      <c r="E688"/>
      <c r="F688"/>
      <c r="G688"/>
      <c r="H688"/>
      <c r="I688"/>
    </row>
    <row r="689" spans="2:9" ht="15">
      <c r="B689"/>
      <c r="C689"/>
      <c r="D689"/>
      <c r="E689"/>
      <c r="F689"/>
      <c r="G689"/>
      <c r="H689"/>
      <c r="I689"/>
    </row>
    <row r="690" spans="2:9" ht="15">
      <c r="B690"/>
      <c r="C690"/>
      <c r="D690"/>
      <c r="E690"/>
      <c r="F690"/>
      <c r="G690"/>
      <c r="H690"/>
      <c r="I690"/>
    </row>
    <row r="691" spans="2:9" ht="15">
      <c r="B691"/>
      <c r="C691"/>
      <c r="D691"/>
      <c r="E691"/>
      <c r="F691"/>
      <c r="G691"/>
      <c r="H691"/>
      <c r="I691"/>
    </row>
    <row r="692" spans="2:9" ht="15">
      <c r="B692"/>
      <c r="C692"/>
      <c r="D692"/>
      <c r="E692"/>
      <c r="F692"/>
      <c r="G692"/>
      <c r="H692"/>
      <c r="I692"/>
    </row>
    <row r="693" spans="2:9" ht="15">
      <c r="B693"/>
      <c r="C693"/>
      <c r="D693"/>
      <c r="E693"/>
      <c r="F693"/>
      <c r="G693"/>
      <c r="H693"/>
      <c r="I693"/>
    </row>
    <row r="694" spans="2:9" ht="15">
      <c r="B694"/>
      <c r="C694"/>
      <c r="D694"/>
      <c r="E694"/>
      <c r="F694"/>
      <c r="G694"/>
      <c r="H694"/>
      <c r="I694"/>
    </row>
    <row r="695" spans="2:9" ht="15">
      <c r="B695"/>
      <c r="C695"/>
      <c r="D695"/>
      <c r="E695"/>
      <c r="F695"/>
      <c r="G695"/>
      <c r="H695"/>
      <c r="I695"/>
    </row>
    <row r="696" spans="2:9" ht="15">
      <c r="B696"/>
      <c r="C696"/>
      <c r="D696"/>
      <c r="E696"/>
      <c r="F696"/>
      <c r="G696"/>
      <c r="H696"/>
      <c r="I696"/>
    </row>
    <row r="697" spans="2:9" ht="15">
      <c r="B697"/>
      <c r="C697"/>
      <c r="D697"/>
      <c r="E697"/>
      <c r="F697"/>
      <c r="G697"/>
      <c r="H697"/>
      <c r="I697"/>
    </row>
    <row r="698" spans="2:9" ht="15">
      <c r="B698"/>
      <c r="C698"/>
      <c r="D698"/>
      <c r="E698"/>
      <c r="F698"/>
      <c r="G698"/>
      <c r="H698"/>
      <c r="I698"/>
    </row>
    <row r="699" spans="2:9" ht="15">
      <c r="B699"/>
      <c r="C699"/>
      <c r="D699"/>
      <c r="E699"/>
      <c r="F699"/>
      <c r="G699"/>
      <c r="H699"/>
      <c r="I699"/>
    </row>
    <row r="700" spans="2:9" ht="15">
      <c r="B700"/>
      <c r="C700"/>
      <c r="D700"/>
      <c r="E700"/>
      <c r="F700"/>
      <c r="G700"/>
      <c r="H700"/>
      <c r="I700"/>
    </row>
    <row r="701" spans="2:9" ht="15">
      <c r="B701"/>
      <c r="C701"/>
      <c r="D701"/>
      <c r="E701"/>
      <c r="F701"/>
      <c r="G701"/>
      <c r="H701"/>
      <c r="I701"/>
    </row>
    <row r="702" spans="2:9" ht="15">
      <c r="B702"/>
      <c r="C702"/>
      <c r="D702"/>
      <c r="E702"/>
      <c r="F702"/>
      <c r="G702"/>
      <c r="H702"/>
      <c r="I702"/>
    </row>
    <row r="703" spans="2:9" ht="15">
      <c r="B703"/>
      <c r="C703"/>
      <c r="D703"/>
      <c r="E703"/>
      <c r="F703"/>
      <c r="G703"/>
      <c r="H703"/>
      <c r="I703"/>
    </row>
    <row r="704" spans="2:9" ht="13.5" customHeight="1">
      <c r="B704"/>
      <c r="C704"/>
      <c r="D704"/>
      <c r="E704"/>
      <c r="F704"/>
      <c r="G704"/>
      <c r="H704"/>
      <c r="I704"/>
    </row>
    <row r="705" spans="2:9" ht="15">
      <c r="B705"/>
      <c r="C705"/>
      <c r="D705"/>
      <c r="E705"/>
      <c r="F705"/>
      <c r="G705"/>
      <c r="H705"/>
      <c r="I705"/>
    </row>
    <row r="706" spans="2:9" ht="15">
      <c r="B706"/>
      <c r="C706"/>
      <c r="D706"/>
      <c r="E706"/>
      <c r="F706"/>
      <c r="G706"/>
      <c r="H706"/>
      <c r="I706"/>
    </row>
    <row r="707" spans="2:9" ht="15">
      <c r="B707"/>
      <c r="C707"/>
      <c r="D707"/>
      <c r="E707"/>
      <c r="F707"/>
      <c r="G707"/>
      <c r="H707"/>
      <c r="I707"/>
    </row>
    <row r="708" spans="2:9" ht="15">
      <c r="B708"/>
      <c r="C708"/>
      <c r="D708"/>
      <c r="E708"/>
      <c r="F708"/>
      <c r="G708"/>
      <c r="H708"/>
      <c r="I708"/>
    </row>
    <row r="709" spans="2:9" ht="15">
      <c r="B709"/>
      <c r="C709"/>
      <c r="D709"/>
      <c r="E709"/>
      <c r="F709"/>
      <c r="G709"/>
      <c r="H709"/>
      <c r="I709"/>
    </row>
    <row r="710" spans="2:9" ht="15">
      <c r="B710"/>
      <c r="C710"/>
      <c r="D710"/>
      <c r="E710"/>
      <c r="F710"/>
      <c r="G710"/>
      <c r="H710"/>
      <c r="I710"/>
    </row>
    <row r="711" spans="2:9" ht="15">
      <c r="B711"/>
      <c r="C711"/>
      <c r="D711"/>
      <c r="E711"/>
      <c r="F711"/>
      <c r="G711"/>
      <c r="H711"/>
      <c r="I711"/>
    </row>
    <row r="712" spans="2:9" ht="15">
      <c r="B712"/>
      <c r="C712"/>
      <c r="D712"/>
      <c r="E712"/>
      <c r="F712"/>
      <c r="G712"/>
      <c r="H712"/>
      <c r="I712"/>
    </row>
    <row r="713" spans="2:9" ht="15">
      <c r="B713"/>
      <c r="C713"/>
      <c r="D713"/>
      <c r="E713"/>
      <c r="F713"/>
      <c r="G713"/>
      <c r="H713"/>
      <c r="I713"/>
    </row>
    <row r="714" spans="2:9" ht="15">
      <c r="B714"/>
      <c r="C714"/>
      <c r="D714"/>
      <c r="E714"/>
      <c r="F714"/>
      <c r="G714"/>
      <c r="H714"/>
      <c r="I714"/>
    </row>
    <row r="715" spans="2:9" ht="15">
      <c r="B715"/>
      <c r="C715"/>
      <c r="D715"/>
      <c r="E715"/>
      <c r="F715"/>
      <c r="G715"/>
      <c r="H715"/>
      <c r="I715"/>
    </row>
    <row r="716" spans="2:9" ht="15">
      <c r="B716"/>
      <c r="C716"/>
      <c r="D716"/>
      <c r="E716"/>
      <c r="F716"/>
      <c r="G716"/>
      <c r="H716"/>
      <c r="I716"/>
    </row>
    <row r="717" spans="2:9" ht="15">
      <c r="B717"/>
      <c r="C717"/>
      <c r="D717"/>
      <c r="E717"/>
      <c r="F717"/>
      <c r="G717"/>
      <c r="H717"/>
      <c r="I717"/>
    </row>
    <row r="718" spans="2:9" ht="15">
      <c r="B718"/>
      <c r="C718"/>
      <c r="D718"/>
      <c r="E718"/>
      <c r="F718"/>
      <c r="G718"/>
      <c r="H718"/>
      <c r="I718"/>
    </row>
    <row r="719" spans="2:9" ht="15">
      <c r="B719"/>
      <c r="C719"/>
      <c r="D719"/>
      <c r="E719"/>
      <c r="F719"/>
      <c r="G719"/>
      <c r="H719"/>
      <c r="I719"/>
    </row>
    <row r="720" spans="2:9" ht="15">
      <c r="B720"/>
      <c r="C720"/>
      <c r="D720"/>
      <c r="E720"/>
      <c r="F720"/>
      <c r="G720"/>
      <c r="H720"/>
      <c r="I720"/>
    </row>
    <row r="721" spans="2:9" ht="15">
      <c r="B721"/>
      <c r="C721"/>
      <c r="D721"/>
      <c r="E721"/>
      <c r="F721"/>
      <c r="G721"/>
      <c r="H721"/>
      <c r="I721"/>
    </row>
    <row r="722" spans="2:9" ht="15">
      <c r="B722"/>
      <c r="C722"/>
      <c r="D722"/>
      <c r="E722"/>
      <c r="F722"/>
      <c r="G722"/>
      <c r="H722"/>
      <c r="I722"/>
    </row>
    <row r="723" spans="2:9" ht="15">
      <c r="B723"/>
      <c r="C723"/>
      <c r="D723"/>
      <c r="E723"/>
      <c r="F723"/>
      <c r="G723"/>
      <c r="H723"/>
      <c r="I723"/>
    </row>
    <row r="724" spans="2:9" ht="15">
      <c r="B724"/>
      <c r="C724"/>
      <c r="D724"/>
      <c r="E724"/>
      <c r="F724"/>
      <c r="G724"/>
      <c r="H724"/>
      <c r="I724"/>
    </row>
    <row r="725" spans="2:9" ht="15">
      <c r="B725"/>
      <c r="C725"/>
      <c r="D725"/>
      <c r="E725"/>
      <c r="F725"/>
      <c r="G725"/>
      <c r="H725"/>
      <c r="I725"/>
    </row>
    <row r="726" spans="2:9" ht="15">
      <c r="B726"/>
      <c r="C726"/>
      <c r="D726"/>
      <c r="E726"/>
      <c r="F726"/>
      <c r="G726"/>
      <c r="H726"/>
      <c r="I726"/>
    </row>
    <row r="727" spans="2:9" ht="15">
      <c r="B727"/>
      <c r="C727"/>
      <c r="D727"/>
      <c r="E727"/>
      <c r="F727"/>
      <c r="G727"/>
      <c r="H727"/>
      <c r="I727"/>
    </row>
    <row r="728" spans="2:9" ht="15">
      <c r="B728"/>
      <c r="C728"/>
      <c r="D728"/>
      <c r="E728"/>
      <c r="F728"/>
      <c r="G728"/>
      <c r="H728"/>
      <c r="I728"/>
    </row>
    <row r="729" spans="2:9" ht="15">
      <c r="B729"/>
      <c r="C729"/>
      <c r="D729"/>
      <c r="E729"/>
      <c r="F729"/>
      <c r="G729"/>
      <c r="H729"/>
      <c r="I729"/>
    </row>
    <row r="730" spans="2:9" ht="15">
      <c r="B730"/>
      <c r="C730"/>
      <c r="D730"/>
      <c r="E730"/>
      <c r="F730"/>
      <c r="G730"/>
      <c r="H730"/>
      <c r="I730"/>
    </row>
    <row r="731" spans="2:9" ht="15">
      <c r="B731"/>
      <c r="C731"/>
      <c r="D731"/>
      <c r="E731"/>
      <c r="F731"/>
      <c r="G731"/>
      <c r="H731"/>
      <c r="I731"/>
    </row>
    <row r="732" spans="2:9" ht="15">
      <c r="B732"/>
      <c r="C732"/>
      <c r="D732"/>
      <c r="E732"/>
      <c r="F732"/>
      <c r="G732"/>
      <c r="H732"/>
      <c r="I732"/>
    </row>
    <row r="733" spans="2:9" ht="15">
      <c r="B733"/>
      <c r="C733"/>
      <c r="D733"/>
      <c r="E733"/>
      <c r="F733"/>
      <c r="G733"/>
      <c r="H733"/>
      <c r="I733"/>
    </row>
    <row r="734" spans="2:9" ht="15">
      <c r="B734"/>
      <c r="C734"/>
      <c r="D734"/>
      <c r="E734"/>
      <c r="F734"/>
      <c r="G734"/>
      <c r="H734"/>
      <c r="I734"/>
    </row>
    <row r="735" spans="2:9" ht="15">
      <c r="B735"/>
      <c r="C735"/>
      <c r="D735"/>
      <c r="E735"/>
      <c r="F735"/>
      <c r="G735"/>
      <c r="H735"/>
      <c r="I735"/>
    </row>
    <row r="736" spans="2:9" ht="15">
      <c r="B736"/>
      <c r="C736"/>
      <c r="D736"/>
      <c r="E736"/>
      <c r="F736"/>
      <c r="G736"/>
      <c r="H736"/>
      <c r="I736"/>
    </row>
    <row r="737" spans="2:9" ht="15">
      <c r="B737"/>
      <c r="C737"/>
      <c r="D737"/>
      <c r="E737"/>
      <c r="F737"/>
      <c r="G737"/>
      <c r="H737"/>
      <c r="I737"/>
    </row>
    <row r="738" spans="2:9" ht="15">
      <c r="B738"/>
      <c r="C738"/>
      <c r="D738"/>
      <c r="E738"/>
      <c r="F738"/>
      <c r="G738"/>
      <c r="H738"/>
      <c r="I738"/>
    </row>
    <row r="739" spans="2:9" ht="15">
      <c r="B739"/>
      <c r="C739"/>
      <c r="D739"/>
      <c r="E739"/>
      <c r="F739"/>
      <c r="G739"/>
      <c r="H739"/>
      <c r="I739"/>
    </row>
    <row r="740" spans="2:9" ht="15">
      <c r="B740"/>
      <c r="C740"/>
      <c r="D740"/>
      <c r="E740"/>
      <c r="F740"/>
      <c r="G740"/>
      <c r="H740"/>
      <c r="I740"/>
    </row>
    <row r="741" spans="2:9" ht="15">
      <c r="B741"/>
      <c r="C741"/>
      <c r="D741"/>
      <c r="E741"/>
      <c r="F741"/>
      <c r="G741"/>
      <c r="H741"/>
      <c r="I741"/>
    </row>
    <row r="742" spans="2:9" ht="15">
      <c r="B742"/>
      <c r="C742"/>
      <c r="D742"/>
      <c r="E742"/>
      <c r="F742"/>
      <c r="G742"/>
      <c r="H742"/>
      <c r="I742"/>
    </row>
    <row r="743" spans="2:9" ht="15">
      <c r="B743"/>
      <c r="C743"/>
      <c r="D743"/>
      <c r="E743"/>
      <c r="F743"/>
      <c r="G743"/>
      <c r="H743"/>
      <c r="I743"/>
    </row>
    <row r="744" spans="2:9" ht="15">
      <c r="B744"/>
      <c r="C744"/>
      <c r="D744"/>
      <c r="E744"/>
      <c r="F744"/>
      <c r="G744"/>
      <c r="H744"/>
      <c r="I744"/>
    </row>
    <row r="745" spans="2:9" ht="15">
      <c r="B745"/>
      <c r="C745"/>
      <c r="D745"/>
      <c r="E745"/>
      <c r="F745"/>
      <c r="G745"/>
      <c r="H745"/>
      <c r="I745"/>
    </row>
    <row r="746" spans="2:9" ht="15">
      <c r="B746"/>
      <c r="C746"/>
      <c r="D746"/>
      <c r="E746"/>
      <c r="F746"/>
      <c r="G746"/>
      <c r="H746"/>
      <c r="I746"/>
    </row>
    <row r="747" spans="2:9" ht="13.5" customHeight="1">
      <c r="B747"/>
      <c r="C747"/>
      <c r="D747"/>
      <c r="E747"/>
      <c r="F747"/>
      <c r="G747"/>
      <c r="H747"/>
      <c r="I747"/>
    </row>
    <row r="748" spans="2:9" ht="15">
      <c r="B748"/>
      <c r="C748"/>
      <c r="D748"/>
      <c r="E748"/>
      <c r="F748"/>
      <c r="G748"/>
      <c r="H748"/>
      <c r="I748"/>
    </row>
    <row r="749" spans="2:9" ht="15">
      <c r="B749"/>
      <c r="C749"/>
      <c r="D749"/>
      <c r="E749"/>
      <c r="F749"/>
      <c r="G749"/>
      <c r="H749"/>
      <c r="I749"/>
    </row>
    <row r="750" spans="2:9" ht="15">
      <c r="B750"/>
      <c r="C750"/>
      <c r="D750"/>
      <c r="E750"/>
      <c r="F750"/>
      <c r="G750"/>
      <c r="H750"/>
      <c r="I750"/>
    </row>
    <row r="751" spans="2:9" ht="15">
      <c r="B751"/>
      <c r="C751"/>
      <c r="D751"/>
      <c r="E751"/>
      <c r="F751"/>
      <c r="G751"/>
      <c r="H751"/>
      <c r="I751"/>
    </row>
    <row r="752" spans="2:9" ht="15">
      <c r="B752"/>
      <c r="C752"/>
      <c r="D752"/>
      <c r="E752"/>
      <c r="F752"/>
      <c r="G752"/>
      <c r="H752"/>
      <c r="I752"/>
    </row>
    <row r="753" spans="2:9" ht="15">
      <c r="B753"/>
      <c r="C753"/>
      <c r="D753"/>
      <c r="E753"/>
      <c r="F753"/>
      <c r="G753"/>
      <c r="H753"/>
      <c r="I753"/>
    </row>
    <row r="754" spans="2:9" ht="15">
      <c r="B754"/>
      <c r="C754"/>
      <c r="D754"/>
      <c r="E754"/>
      <c r="F754"/>
      <c r="G754"/>
      <c r="H754"/>
      <c r="I754"/>
    </row>
    <row r="755" spans="2:9" ht="15">
      <c r="B755"/>
      <c r="C755"/>
      <c r="D755"/>
      <c r="E755"/>
      <c r="F755"/>
      <c r="G755"/>
      <c r="H755"/>
      <c r="I755"/>
    </row>
    <row r="756" spans="2:9" ht="15">
      <c r="B756"/>
      <c r="C756"/>
      <c r="D756"/>
      <c r="E756"/>
      <c r="F756"/>
      <c r="G756"/>
      <c r="H756"/>
      <c r="I756"/>
    </row>
    <row r="757" spans="2:9" ht="15">
      <c r="B757"/>
      <c r="C757"/>
      <c r="D757"/>
      <c r="E757"/>
      <c r="F757"/>
      <c r="G757"/>
      <c r="H757"/>
      <c r="I757"/>
    </row>
    <row r="758" spans="2:9" ht="15">
      <c r="B758"/>
      <c r="C758"/>
      <c r="D758"/>
      <c r="E758"/>
      <c r="F758"/>
      <c r="G758"/>
      <c r="H758"/>
      <c r="I758"/>
    </row>
    <row r="759" spans="2:9" ht="15">
      <c r="B759"/>
      <c r="C759"/>
      <c r="D759"/>
      <c r="E759"/>
      <c r="F759"/>
      <c r="G759"/>
      <c r="H759"/>
      <c r="I759"/>
    </row>
    <row r="760" spans="2:9" ht="15">
      <c r="B760"/>
      <c r="C760"/>
      <c r="D760"/>
      <c r="E760"/>
      <c r="F760"/>
      <c r="G760"/>
      <c r="H760"/>
      <c r="I760"/>
    </row>
    <row r="761" spans="2:9" ht="15">
      <c r="B761"/>
      <c r="C761"/>
      <c r="D761"/>
      <c r="E761"/>
      <c r="F761"/>
      <c r="G761"/>
      <c r="H761"/>
      <c r="I761"/>
    </row>
    <row r="762" spans="2:9" ht="15">
      <c r="B762"/>
      <c r="C762"/>
      <c r="D762"/>
      <c r="E762"/>
      <c r="F762"/>
      <c r="G762"/>
      <c r="H762"/>
      <c r="I762"/>
    </row>
    <row r="763" spans="2:9" ht="15">
      <c r="B763"/>
      <c r="C763"/>
      <c r="D763"/>
      <c r="E763"/>
      <c r="F763"/>
      <c r="G763"/>
      <c r="H763"/>
      <c r="I763"/>
    </row>
    <row r="764" spans="2:9" ht="15">
      <c r="B764"/>
      <c r="C764"/>
      <c r="D764"/>
      <c r="E764"/>
      <c r="F764"/>
      <c r="G764"/>
      <c r="H764"/>
      <c r="I764"/>
    </row>
    <row r="765" spans="2:9" ht="15">
      <c r="B765"/>
      <c r="C765"/>
      <c r="D765"/>
      <c r="E765"/>
      <c r="F765"/>
      <c r="G765"/>
      <c r="H765"/>
      <c r="I765"/>
    </row>
    <row r="766" spans="2:9" ht="15">
      <c r="B766"/>
      <c r="C766"/>
      <c r="D766"/>
      <c r="E766"/>
      <c r="F766"/>
      <c r="G766"/>
      <c r="H766"/>
      <c r="I766"/>
    </row>
    <row r="767" spans="2:9" ht="15">
      <c r="B767"/>
      <c r="C767"/>
      <c r="D767"/>
      <c r="E767"/>
      <c r="F767"/>
      <c r="G767"/>
      <c r="H767"/>
      <c r="I767"/>
    </row>
    <row r="768" spans="2:9" ht="15">
      <c r="B768"/>
      <c r="C768"/>
      <c r="D768"/>
      <c r="E768"/>
      <c r="F768"/>
      <c r="G768"/>
      <c r="H768"/>
      <c r="I768"/>
    </row>
    <row r="769" spans="2:9" ht="15">
      <c r="B769"/>
      <c r="C769"/>
      <c r="D769"/>
      <c r="E769"/>
      <c r="F769"/>
      <c r="G769"/>
      <c r="H769"/>
      <c r="I769"/>
    </row>
    <row r="770" spans="2:9" ht="15">
      <c r="B770"/>
      <c r="C770"/>
      <c r="D770"/>
      <c r="E770"/>
      <c r="F770"/>
      <c r="G770"/>
      <c r="H770"/>
      <c r="I770"/>
    </row>
    <row r="771" spans="2:9" ht="15">
      <c r="B771"/>
      <c r="C771"/>
      <c r="D771"/>
      <c r="E771"/>
      <c r="F771"/>
      <c r="G771"/>
      <c r="H771"/>
      <c r="I771"/>
    </row>
    <row r="772" spans="2:9" ht="15">
      <c r="B772"/>
      <c r="C772"/>
      <c r="D772"/>
      <c r="E772"/>
      <c r="F772"/>
      <c r="G772"/>
      <c r="H772"/>
      <c r="I772"/>
    </row>
    <row r="773" spans="2:9" ht="15">
      <c r="B773"/>
      <c r="C773"/>
      <c r="D773"/>
      <c r="E773"/>
      <c r="F773"/>
      <c r="G773"/>
      <c r="H773"/>
      <c r="I773"/>
    </row>
    <row r="774" spans="2:9" ht="15">
      <c r="B774"/>
      <c r="C774"/>
      <c r="D774"/>
      <c r="E774"/>
      <c r="F774"/>
      <c r="G774"/>
      <c r="H774"/>
      <c r="I774"/>
    </row>
    <row r="775" spans="2:9" ht="15">
      <c r="B775"/>
      <c r="C775"/>
      <c r="D775"/>
      <c r="E775"/>
      <c r="F775"/>
      <c r="G775"/>
      <c r="H775"/>
      <c r="I775"/>
    </row>
    <row r="776" spans="2:9" ht="15">
      <c r="B776"/>
      <c r="C776"/>
      <c r="D776"/>
      <c r="E776"/>
      <c r="F776"/>
      <c r="G776"/>
      <c r="H776"/>
      <c r="I776"/>
    </row>
    <row r="777" spans="2:9" ht="15">
      <c r="B777"/>
      <c r="C777"/>
      <c r="D777"/>
      <c r="E777"/>
      <c r="F777"/>
      <c r="G777"/>
      <c r="H777"/>
      <c r="I777"/>
    </row>
    <row r="778" spans="2:9" ht="15">
      <c r="B778"/>
      <c r="C778"/>
      <c r="D778"/>
      <c r="E778"/>
      <c r="F778"/>
      <c r="G778"/>
      <c r="H778"/>
      <c r="I778"/>
    </row>
    <row r="779" spans="2:9" ht="15">
      <c r="B779"/>
      <c r="C779"/>
      <c r="D779"/>
      <c r="E779"/>
      <c r="F779"/>
      <c r="G779"/>
      <c r="H779"/>
      <c r="I779"/>
    </row>
    <row r="780" spans="2:9" ht="15">
      <c r="B780"/>
      <c r="C780"/>
      <c r="D780"/>
      <c r="E780"/>
      <c r="F780"/>
      <c r="G780"/>
      <c r="H780"/>
      <c r="I780"/>
    </row>
    <row r="781" spans="2:9" ht="15">
      <c r="B781"/>
      <c r="C781"/>
      <c r="D781"/>
      <c r="E781"/>
      <c r="F781"/>
      <c r="G781"/>
      <c r="H781"/>
      <c r="I781"/>
    </row>
    <row r="782" spans="2:9" ht="15">
      <c r="B782"/>
      <c r="C782"/>
      <c r="D782"/>
      <c r="E782"/>
      <c r="F782"/>
      <c r="G782"/>
      <c r="H782"/>
      <c r="I782"/>
    </row>
    <row r="783" spans="2:9" ht="15">
      <c r="B783"/>
      <c r="C783"/>
      <c r="D783"/>
      <c r="E783"/>
      <c r="F783"/>
      <c r="G783"/>
      <c r="H783"/>
      <c r="I783"/>
    </row>
    <row r="784" spans="2:9" ht="15">
      <c r="B784"/>
      <c r="C784"/>
      <c r="D784"/>
      <c r="E784"/>
      <c r="F784"/>
      <c r="G784"/>
      <c r="H784"/>
      <c r="I784"/>
    </row>
    <row r="785" spans="2:9" ht="15">
      <c r="B785"/>
      <c r="C785"/>
      <c r="D785"/>
      <c r="E785"/>
      <c r="F785"/>
      <c r="G785"/>
      <c r="H785"/>
      <c r="I785"/>
    </row>
    <row r="786" spans="2:9" ht="15">
      <c r="B786"/>
      <c r="C786"/>
      <c r="D786"/>
      <c r="E786"/>
      <c r="F786"/>
      <c r="G786"/>
      <c r="H786"/>
      <c r="I786"/>
    </row>
    <row r="787" spans="2:9" ht="15">
      <c r="B787"/>
      <c r="C787"/>
      <c r="D787"/>
      <c r="E787"/>
      <c r="F787"/>
      <c r="G787"/>
      <c r="H787"/>
      <c r="I787"/>
    </row>
    <row r="788" spans="2:9" ht="15">
      <c r="B788"/>
      <c r="C788"/>
      <c r="D788"/>
      <c r="E788"/>
      <c r="F788"/>
      <c r="G788"/>
      <c r="H788"/>
      <c r="I788"/>
    </row>
    <row r="789" spans="2:9" ht="15">
      <c r="B789"/>
      <c r="C789"/>
      <c r="D789"/>
      <c r="E789"/>
      <c r="F789"/>
      <c r="G789"/>
      <c r="H789"/>
      <c r="I789"/>
    </row>
    <row r="790" spans="2:9" ht="15">
      <c r="B790"/>
      <c r="C790"/>
      <c r="D790"/>
      <c r="E790"/>
      <c r="F790"/>
      <c r="G790"/>
      <c r="H790"/>
      <c r="I790"/>
    </row>
    <row r="791" spans="2:9" ht="13.5" customHeight="1">
      <c r="B791"/>
      <c r="C791"/>
      <c r="D791"/>
      <c r="E791"/>
      <c r="F791"/>
      <c r="G791"/>
      <c r="H791"/>
      <c r="I791"/>
    </row>
    <row r="792" spans="2:9" ht="15">
      <c r="B792"/>
      <c r="C792"/>
      <c r="D792"/>
      <c r="E792"/>
      <c r="F792"/>
      <c r="G792"/>
      <c r="H792"/>
      <c r="I792"/>
    </row>
    <row r="793" spans="2:9" ht="15">
      <c r="B793"/>
      <c r="C793"/>
      <c r="D793"/>
      <c r="E793"/>
      <c r="F793"/>
      <c r="G793"/>
      <c r="H793"/>
      <c r="I793"/>
    </row>
    <row r="794" spans="2:9" ht="15">
      <c r="B794"/>
      <c r="C794"/>
      <c r="D794"/>
      <c r="E794"/>
      <c r="F794"/>
      <c r="G794"/>
      <c r="H794"/>
      <c r="I794"/>
    </row>
    <row r="795" spans="2:9" ht="15">
      <c r="B795"/>
      <c r="C795"/>
      <c r="D795"/>
      <c r="E795"/>
      <c r="F795"/>
      <c r="G795"/>
      <c r="H795"/>
      <c r="I795"/>
    </row>
    <row r="796" spans="2:9" ht="15">
      <c r="B796"/>
      <c r="C796"/>
      <c r="D796"/>
      <c r="E796"/>
      <c r="F796"/>
      <c r="G796"/>
      <c r="H796"/>
      <c r="I796"/>
    </row>
    <row r="797" spans="2:9" ht="15">
      <c r="B797"/>
      <c r="C797"/>
      <c r="D797"/>
      <c r="E797"/>
      <c r="F797"/>
      <c r="G797"/>
      <c r="H797"/>
      <c r="I797"/>
    </row>
    <row r="798" spans="2:9" ht="15">
      <c r="B798"/>
      <c r="C798"/>
      <c r="D798"/>
      <c r="E798"/>
      <c r="F798"/>
      <c r="G798"/>
      <c r="H798"/>
      <c r="I798"/>
    </row>
    <row r="799" spans="2:9" ht="15">
      <c r="B799"/>
      <c r="C799"/>
      <c r="D799"/>
      <c r="E799"/>
      <c r="F799"/>
      <c r="G799"/>
      <c r="H799"/>
      <c r="I799"/>
    </row>
    <row r="800" spans="2:9" ht="15">
      <c r="B800"/>
      <c r="C800"/>
      <c r="D800"/>
      <c r="E800"/>
      <c r="F800"/>
      <c r="G800"/>
      <c r="H800"/>
      <c r="I800"/>
    </row>
    <row r="801" spans="2:9" ht="15">
      <c r="B801"/>
      <c r="C801"/>
      <c r="D801"/>
      <c r="E801"/>
      <c r="F801"/>
      <c r="G801"/>
      <c r="H801"/>
      <c r="I801"/>
    </row>
    <row r="802" spans="2:9" ht="15">
      <c r="B802"/>
      <c r="C802"/>
      <c r="D802"/>
      <c r="E802"/>
      <c r="F802"/>
      <c r="G802"/>
      <c r="H802"/>
      <c r="I802"/>
    </row>
    <row r="803" spans="2:9" ht="15">
      <c r="B803"/>
      <c r="C803"/>
      <c r="D803"/>
      <c r="E803"/>
      <c r="F803"/>
      <c r="G803"/>
      <c r="H803"/>
      <c r="I803"/>
    </row>
    <row r="804" spans="2:9" ht="15">
      <c r="B804"/>
      <c r="C804"/>
      <c r="D804"/>
      <c r="E804"/>
      <c r="F804"/>
      <c r="G804"/>
      <c r="H804"/>
      <c r="I804"/>
    </row>
    <row r="805" spans="2:9" ht="15">
      <c r="B805"/>
      <c r="C805"/>
      <c r="D805"/>
      <c r="E805"/>
      <c r="F805"/>
      <c r="G805"/>
      <c r="H805"/>
      <c r="I805"/>
    </row>
    <row r="806" spans="2:9" ht="15">
      <c r="B806"/>
      <c r="C806"/>
      <c r="D806"/>
      <c r="E806"/>
      <c r="F806"/>
      <c r="G806"/>
      <c r="H806"/>
      <c r="I806"/>
    </row>
    <row r="807" spans="2:9" ht="15">
      <c r="B807"/>
      <c r="C807"/>
      <c r="D807"/>
      <c r="E807"/>
      <c r="F807"/>
      <c r="G807"/>
      <c r="H807"/>
      <c r="I807"/>
    </row>
    <row r="808" spans="2:9" ht="15">
      <c r="B808"/>
      <c r="C808"/>
      <c r="D808"/>
      <c r="E808"/>
      <c r="F808"/>
      <c r="G808"/>
      <c r="H808"/>
      <c r="I808"/>
    </row>
    <row r="809" spans="2:9" ht="15">
      <c r="B809"/>
      <c r="C809"/>
      <c r="D809"/>
      <c r="E809"/>
      <c r="F809"/>
      <c r="G809"/>
      <c r="H809"/>
      <c r="I809"/>
    </row>
    <row r="810" spans="2:9" ht="15">
      <c r="B810"/>
      <c r="C810"/>
      <c r="D810"/>
      <c r="E810"/>
      <c r="F810"/>
      <c r="G810"/>
      <c r="H810"/>
      <c r="I810"/>
    </row>
    <row r="811" spans="2:9" ht="15">
      <c r="B811"/>
      <c r="C811"/>
      <c r="D811"/>
      <c r="E811"/>
      <c r="F811"/>
      <c r="G811"/>
      <c r="H811"/>
      <c r="I811"/>
    </row>
    <row r="812" spans="2:9" ht="15">
      <c r="B812"/>
      <c r="C812"/>
      <c r="D812"/>
      <c r="E812"/>
      <c r="F812"/>
      <c r="G812"/>
      <c r="H812"/>
      <c r="I812"/>
    </row>
    <row r="813" spans="2:9" ht="15">
      <c r="B813"/>
      <c r="C813"/>
      <c r="D813"/>
      <c r="E813"/>
      <c r="F813"/>
      <c r="G813"/>
      <c r="H813"/>
      <c r="I813"/>
    </row>
    <row r="814" spans="2:9" ht="15">
      <c r="B814"/>
      <c r="C814"/>
      <c r="D814"/>
      <c r="E814"/>
      <c r="F814"/>
      <c r="G814"/>
      <c r="H814"/>
      <c r="I814"/>
    </row>
    <row r="815" spans="2:9" ht="15">
      <c r="B815"/>
      <c r="C815"/>
      <c r="D815"/>
      <c r="E815"/>
      <c r="F815"/>
      <c r="G815"/>
      <c r="H815"/>
      <c r="I815"/>
    </row>
    <row r="816" spans="2:9" ht="15">
      <c r="B816"/>
      <c r="C816"/>
      <c r="D816"/>
      <c r="E816"/>
      <c r="F816"/>
      <c r="G816"/>
      <c r="H816"/>
      <c r="I816"/>
    </row>
    <row r="817" spans="2:9" ht="15">
      <c r="B817"/>
      <c r="C817"/>
      <c r="D817"/>
      <c r="E817"/>
      <c r="F817"/>
      <c r="G817"/>
      <c r="H817"/>
      <c r="I817"/>
    </row>
    <row r="818" spans="2:9" ht="15">
      <c r="B818"/>
      <c r="C818"/>
      <c r="D818"/>
      <c r="E818"/>
      <c r="F818"/>
      <c r="G818"/>
      <c r="H818"/>
      <c r="I818"/>
    </row>
    <row r="819" spans="2:9" ht="15">
      <c r="B819"/>
      <c r="C819"/>
      <c r="D819"/>
      <c r="E819"/>
      <c r="F819"/>
      <c r="G819"/>
      <c r="H819"/>
      <c r="I819"/>
    </row>
    <row r="820" spans="2:9" ht="15">
      <c r="B820"/>
      <c r="C820"/>
      <c r="D820"/>
      <c r="E820"/>
      <c r="F820"/>
      <c r="G820"/>
      <c r="H820"/>
      <c r="I820"/>
    </row>
    <row r="821" spans="2:9" ht="15">
      <c r="B821"/>
      <c r="C821"/>
      <c r="D821"/>
      <c r="E821"/>
      <c r="F821"/>
      <c r="G821"/>
      <c r="H821"/>
      <c r="I821"/>
    </row>
    <row r="822" spans="2:9" ht="15">
      <c r="B822"/>
      <c r="C822"/>
      <c r="D822"/>
      <c r="E822"/>
      <c r="F822"/>
      <c r="G822"/>
      <c r="H822"/>
      <c r="I822"/>
    </row>
    <row r="823" spans="2:9" ht="15">
      <c r="B823"/>
      <c r="C823"/>
      <c r="D823"/>
      <c r="E823"/>
      <c r="F823"/>
      <c r="G823"/>
      <c r="H823"/>
      <c r="I823"/>
    </row>
    <row r="824" spans="2:9" ht="15">
      <c r="B824"/>
      <c r="C824"/>
      <c r="D824"/>
      <c r="E824"/>
      <c r="F824"/>
      <c r="G824"/>
      <c r="H824"/>
      <c r="I824"/>
    </row>
    <row r="825" spans="2:9" ht="15">
      <c r="B825"/>
      <c r="C825"/>
      <c r="D825"/>
      <c r="E825"/>
      <c r="F825"/>
      <c r="G825"/>
      <c r="H825"/>
      <c r="I825"/>
    </row>
    <row r="826" spans="2:9" ht="15">
      <c r="B826"/>
      <c r="C826"/>
      <c r="D826"/>
      <c r="E826"/>
      <c r="F826"/>
      <c r="G826"/>
      <c r="H826"/>
      <c r="I826"/>
    </row>
    <row r="827" spans="2:9" ht="15">
      <c r="B827"/>
      <c r="C827"/>
      <c r="D827"/>
      <c r="E827"/>
      <c r="F827"/>
      <c r="G827"/>
      <c r="H827"/>
      <c r="I827"/>
    </row>
    <row r="828" spans="2:9" ht="15">
      <c r="B828"/>
      <c r="C828"/>
      <c r="D828"/>
      <c r="E828"/>
      <c r="F828"/>
      <c r="G828"/>
      <c r="H828"/>
      <c r="I828"/>
    </row>
    <row r="829" spans="2:9" ht="15">
      <c r="B829"/>
      <c r="C829"/>
      <c r="D829"/>
      <c r="E829"/>
      <c r="F829"/>
      <c r="G829"/>
      <c r="H829"/>
      <c r="I829"/>
    </row>
    <row r="830" spans="2:9" ht="15">
      <c r="B830"/>
      <c r="C830"/>
      <c r="D830"/>
      <c r="E830"/>
      <c r="F830"/>
      <c r="G830"/>
      <c r="H830"/>
      <c r="I830"/>
    </row>
    <row r="831" spans="2:9" ht="15">
      <c r="B831"/>
      <c r="C831"/>
      <c r="D831"/>
      <c r="E831"/>
      <c r="F831"/>
      <c r="G831"/>
      <c r="H831"/>
      <c r="I831"/>
    </row>
    <row r="832" spans="2:9" ht="15">
      <c r="B832"/>
      <c r="C832"/>
      <c r="D832"/>
      <c r="E832"/>
      <c r="F832"/>
      <c r="G832"/>
      <c r="H832"/>
      <c r="I832"/>
    </row>
    <row r="833" spans="2:9" ht="15">
      <c r="B833"/>
      <c r="C833"/>
      <c r="D833"/>
      <c r="E833"/>
      <c r="F833"/>
      <c r="G833"/>
      <c r="H833"/>
      <c r="I833"/>
    </row>
    <row r="834" spans="2:9" ht="15">
      <c r="B834"/>
      <c r="C834"/>
      <c r="D834"/>
      <c r="E834"/>
      <c r="F834"/>
      <c r="G834"/>
      <c r="H834"/>
      <c r="I834"/>
    </row>
    <row r="835" spans="2:9" ht="13.5" customHeight="1">
      <c r="B835"/>
      <c r="C835"/>
      <c r="D835"/>
      <c r="E835"/>
      <c r="F835"/>
      <c r="G835"/>
      <c r="H835"/>
      <c r="I835"/>
    </row>
    <row r="836" spans="2:9" ht="15">
      <c r="B836"/>
      <c r="C836"/>
      <c r="D836"/>
      <c r="E836"/>
      <c r="F836"/>
      <c r="G836"/>
      <c r="H836"/>
      <c r="I836"/>
    </row>
    <row r="837" spans="2:9" ht="15">
      <c r="B837"/>
      <c r="C837"/>
      <c r="D837"/>
      <c r="E837"/>
      <c r="F837"/>
      <c r="G837"/>
      <c r="H837"/>
      <c r="I837"/>
    </row>
    <row r="838" spans="2:9" ht="15">
      <c r="B838"/>
      <c r="C838"/>
      <c r="D838"/>
      <c r="E838"/>
      <c r="F838"/>
      <c r="G838"/>
      <c r="H838"/>
      <c r="I838"/>
    </row>
    <row r="839" spans="2:9" ht="15">
      <c r="B839"/>
      <c r="C839"/>
      <c r="D839"/>
      <c r="E839"/>
      <c r="F839"/>
      <c r="G839"/>
      <c r="H839"/>
      <c r="I839"/>
    </row>
    <row r="840" spans="2:9" ht="15">
      <c r="B840"/>
      <c r="C840"/>
      <c r="D840"/>
      <c r="E840"/>
      <c r="F840"/>
      <c r="G840"/>
      <c r="H840"/>
      <c r="I840"/>
    </row>
    <row r="841" spans="2:9" ht="15">
      <c r="B841"/>
      <c r="C841"/>
      <c r="D841"/>
      <c r="E841"/>
      <c r="F841"/>
      <c r="G841"/>
      <c r="H841"/>
      <c r="I841"/>
    </row>
    <row r="842" spans="2:9" ht="15">
      <c r="B842"/>
      <c r="C842"/>
      <c r="D842"/>
      <c r="E842"/>
      <c r="F842"/>
      <c r="G842"/>
      <c r="H842"/>
      <c r="I842"/>
    </row>
    <row r="843" spans="2:9" ht="15">
      <c r="B843"/>
      <c r="C843"/>
      <c r="D843"/>
      <c r="E843"/>
      <c r="F843"/>
      <c r="G843"/>
      <c r="H843"/>
      <c r="I843"/>
    </row>
    <row r="844" spans="2:9" ht="15">
      <c r="B844"/>
      <c r="C844"/>
      <c r="D844"/>
      <c r="E844"/>
      <c r="F844"/>
      <c r="G844"/>
      <c r="H844"/>
      <c r="I844"/>
    </row>
    <row r="845" spans="2:9" ht="15">
      <c r="B845"/>
      <c r="C845"/>
      <c r="D845"/>
      <c r="E845"/>
      <c r="F845"/>
      <c r="G845"/>
      <c r="H845"/>
      <c r="I845"/>
    </row>
    <row r="846" spans="2:9" ht="15">
      <c r="B846"/>
      <c r="C846"/>
      <c r="D846"/>
      <c r="E846"/>
      <c r="F846"/>
      <c r="G846"/>
      <c r="H846"/>
      <c r="I846"/>
    </row>
    <row r="847" spans="2:9" ht="15">
      <c r="B847"/>
      <c r="C847"/>
      <c r="D847"/>
      <c r="E847"/>
      <c r="F847"/>
      <c r="G847"/>
      <c r="H847"/>
      <c r="I847"/>
    </row>
    <row r="848" spans="2:9" ht="15">
      <c r="B848"/>
      <c r="C848"/>
      <c r="D848"/>
      <c r="E848"/>
      <c r="F848"/>
      <c r="G848"/>
      <c r="H848"/>
      <c r="I848"/>
    </row>
    <row r="849" spans="2:9" ht="15">
      <c r="B849"/>
      <c r="C849"/>
      <c r="D849"/>
      <c r="E849"/>
      <c r="F849"/>
      <c r="G849"/>
      <c r="H849"/>
      <c r="I849"/>
    </row>
    <row r="850" spans="2:9" ht="15">
      <c r="B850"/>
      <c r="C850"/>
      <c r="D850"/>
      <c r="E850"/>
      <c r="F850"/>
      <c r="G850"/>
      <c r="H850"/>
      <c r="I850"/>
    </row>
    <row r="851" spans="2:9" ht="15">
      <c r="B851"/>
      <c r="C851"/>
      <c r="D851"/>
      <c r="E851"/>
      <c r="F851"/>
      <c r="G851"/>
      <c r="H851"/>
      <c r="I851"/>
    </row>
    <row r="852" spans="2:9" ht="15">
      <c r="B852"/>
      <c r="C852"/>
      <c r="D852"/>
      <c r="E852"/>
      <c r="F852"/>
      <c r="G852"/>
      <c r="H852"/>
      <c r="I852"/>
    </row>
    <row r="853" spans="2:9" ht="15">
      <c r="B853"/>
      <c r="C853"/>
      <c r="D853"/>
      <c r="E853"/>
      <c r="F853"/>
      <c r="G853"/>
      <c r="H853"/>
      <c r="I853"/>
    </row>
    <row r="854" spans="2:9" ht="15">
      <c r="B854"/>
      <c r="C854"/>
      <c r="D854"/>
      <c r="E854"/>
      <c r="F854"/>
      <c r="G854"/>
      <c r="H854"/>
      <c r="I854"/>
    </row>
    <row r="855" spans="2:9" ht="15">
      <c r="B855"/>
      <c r="C855"/>
      <c r="D855"/>
      <c r="E855"/>
      <c r="F855"/>
      <c r="G855"/>
      <c r="H855"/>
      <c r="I855"/>
    </row>
    <row r="856" spans="2:9" ht="15">
      <c r="B856"/>
      <c r="C856"/>
      <c r="D856"/>
      <c r="E856"/>
      <c r="F856"/>
      <c r="G856"/>
      <c r="H856"/>
      <c r="I856"/>
    </row>
    <row r="857" spans="2:9" ht="15">
      <c r="B857"/>
      <c r="C857"/>
      <c r="D857"/>
      <c r="E857"/>
      <c r="F857"/>
      <c r="G857"/>
      <c r="H857"/>
      <c r="I857"/>
    </row>
    <row r="858" spans="2:9" ht="15">
      <c r="B858"/>
      <c r="C858"/>
      <c r="D858"/>
      <c r="E858"/>
      <c r="F858"/>
      <c r="G858"/>
      <c r="H858"/>
      <c r="I858"/>
    </row>
    <row r="859" spans="2:9" ht="15">
      <c r="B859"/>
      <c r="C859"/>
      <c r="D859"/>
      <c r="E859"/>
      <c r="F859"/>
      <c r="G859"/>
      <c r="H859"/>
      <c r="I859"/>
    </row>
    <row r="860" spans="2:9" ht="15">
      <c r="B860"/>
      <c r="C860"/>
      <c r="D860"/>
      <c r="E860"/>
      <c r="F860"/>
      <c r="G860"/>
      <c r="H860"/>
      <c r="I860"/>
    </row>
    <row r="861" spans="2:9" ht="15">
      <c r="B861"/>
      <c r="C861"/>
      <c r="D861"/>
      <c r="E861"/>
      <c r="F861"/>
      <c r="G861"/>
      <c r="H861"/>
      <c r="I861"/>
    </row>
    <row r="862" spans="2:9" ht="15">
      <c r="B862"/>
      <c r="C862"/>
      <c r="D862"/>
      <c r="E862"/>
      <c r="F862"/>
      <c r="G862"/>
      <c r="H862"/>
      <c r="I862"/>
    </row>
    <row r="863" spans="2:9" ht="15">
      <c r="B863"/>
      <c r="C863"/>
      <c r="D863"/>
      <c r="E863"/>
      <c r="F863"/>
      <c r="G863"/>
      <c r="H863"/>
      <c r="I863"/>
    </row>
    <row r="864" spans="2:9" ht="15">
      <c r="B864"/>
      <c r="C864"/>
      <c r="D864"/>
      <c r="E864"/>
      <c r="F864"/>
      <c r="G864"/>
      <c r="H864"/>
      <c r="I864"/>
    </row>
    <row r="865" spans="2:9" ht="15">
      <c r="B865"/>
      <c r="C865"/>
      <c r="D865"/>
      <c r="E865"/>
      <c r="F865"/>
      <c r="G865"/>
      <c r="H865"/>
      <c r="I865"/>
    </row>
    <row r="866" spans="2:9" ht="15">
      <c r="B866"/>
      <c r="C866"/>
      <c r="D866"/>
      <c r="E866"/>
      <c r="F866"/>
      <c r="G866"/>
      <c r="H866"/>
      <c r="I866"/>
    </row>
    <row r="867" spans="2:9" ht="15">
      <c r="B867"/>
      <c r="C867"/>
      <c r="D867"/>
      <c r="E867"/>
      <c r="F867"/>
      <c r="G867"/>
      <c r="H867"/>
      <c r="I867"/>
    </row>
    <row r="868" spans="2:9" ht="15">
      <c r="B868"/>
      <c r="C868"/>
      <c r="D868"/>
      <c r="E868"/>
      <c r="F868"/>
      <c r="G868"/>
      <c r="H868"/>
      <c r="I868"/>
    </row>
    <row r="869" spans="2:9" ht="15">
      <c r="B869"/>
      <c r="C869"/>
      <c r="D869"/>
      <c r="E869"/>
      <c r="F869"/>
      <c r="G869"/>
      <c r="H869"/>
      <c r="I869"/>
    </row>
    <row r="870" spans="2:9" ht="15">
      <c r="B870"/>
      <c r="C870"/>
      <c r="D870"/>
      <c r="E870"/>
      <c r="F870"/>
      <c r="G870"/>
      <c r="H870"/>
      <c r="I870"/>
    </row>
    <row r="871" spans="2:9" ht="15">
      <c r="B871"/>
      <c r="C871"/>
      <c r="D871"/>
      <c r="E871"/>
      <c r="F871"/>
      <c r="G871"/>
      <c r="H871"/>
      <c r="I871"/>
    </row>
    <row r="872" spans="2:9" ht="15">
      <c r="B872"/>
      <c r="C872"/>
      <c r="D872"/>
      <c r="E872"/>
      <c r="F872"/>
      <c r="G872"/>
      <c r="H872"/>
      <c r="I872"/>
    </row>
    <row r="873" spans="2:9" ht="15">
      <c r="B873"/>
      <c r="C873"/>
      <c r="D873"/>
      <c r="E873"/>
      <c r="F873"/>
      <c r="G873"/>
      <c r="H873"/>
      <c r="I873"/>
    </row>
    <row r="874" spans="2:9" ht="15">
      <c r="B874"/>
      <c r="C874"/>
      <c r="D874"/>
      <c r="E874"/>
      <c r="F874"/>
      <c r="G874"/>
      <c r="H874"/>
      <c r="I874"/>
    </row>
    <row r="875" spans="2:9" ht="15">
      <c r="B875"/>
      <c r="C875"/>
      <c r="D875"/>
      <c r="E875"/>
      <c r="F875"/>
      <c r="G875"/>
      <c r="H875"/>
      <c r="I875"/>
    </row>
    <row r="876" spans="2:9" ht="15">
      <c r="B876"/>
      <c r="C876"/>
      <c r="D876"/>
      <c r="E876"/>
      <c r="F876"/>
      <c r="G876"/>
      <c r="H876"/>
      <c r="I876"/>
    </row>
    <row r="877" spans="2:9" ht="15">
      <c r="B877"/>
      <c r="C877"/>
      <c r="D877"/>
      <c r="E877"/>
      <c r="F877"/>
      <c r="G877"/>
      <c r="H877"/>
      <c r="I877"/>
    </row>
    <row r="878" spans="2:9" ht="15">
      <c r="B878"/>
      <c r="C878"/>
      <c r="D878"/>
      <c r="E878"/>
      <c r="F878"/>
      <c r="G878"/>
      <c r="H878"/>
      <c r="I878"/>
    </row>
    <row r="879" spans="2:9" ht="13.5" customHeight="1">
      <c r="B879"/>
      <c r="C879"/>
      <c r="D879"/>
      <c r="E879"/>
      <c r="F879"/>
      <c r="G879"/>
      <c r="H879"/>
      <c r="I879"/>
    </row>
    <row r="880" spans="2:9" ht="15">
      <c r="B880"/>
      <c r="C880"/>
      <c r="D880"/>
      <c r="E880"/>
      <c r="F880"/>
      <c r="G880"/>
      <c r="H880"/>
      <c r="I880"/>
    </row>
    <row r="881" spans="2:9" ht="15">
      <c r="B881"/>
      <c r="C881"/>
      <c r="D881"/>
      <c r="E881"/>
      <c r="F881"/>
      <c r="G881"/>
      <c r="H881"/>
      <c r="I881"/>
    </row>
    <row r="882" spans="2:9" ht="15">
      <c r="B882"/>
      <c r="C882"/>
      <c r="D882"/>
      <c r="E882"/>
      <c r="F882"/>
      <c r="G882"/>
      <c r="H882"/>
      <c r="I882"/>
    </row>
    <row r="883" spans="2:9" ht="15">
      <c r="B883"/>
      <c r="C883"/>
      <c r="D883"/>
      <c r="E883"/>
      <c r="F883"/>
      <c r="G883"/>
      <c r="H883"/>
      <c r="I883"/>
    </row>
    <row r="884" spans="2:9" ht="15">
      <c r="B884"/>
      <c r="C884"/>
      <c r="D884"/>
      <c r="E884"/>
      <c r="F884"/>
      <c r="G884"/>
      <c r="H884"/>
      <c r="I884"/>
    </row>
    <row r="885" spans="2:9" ht="15">
      <c r="B885"/>
      <c r="C885"/>
      <c r="D885"/>
      <c r="E885"/>
      <c r="F885"/>
      <c r="G885"/>
      <c r="H885"/>
      <c r="I885"/>
    </row>
    <row r="886" spans="2:9" ht="15">
      <c r="B886"/>
      <c r="C886"/>
      <c r="D886"/>
      <c r="E886"/>
      <c r="F886"/>
      <c r="G886"/>
      <c r="H886"/>
      <c r="I886"/>
    </row>
    <row r="887" spans="2:9" ht="15">
      <c r="B887"/>
      <c r="C887"/>
      <c r="D887"/>
      <c r="E887"/>
      <c r="F887"/>
      <c r="G887"/>
      <c r="H887"/>
      <c r="I887"/>
    </row>
    <row r="888" spans="2:9" ht="15">
      <c r="B888"/>
      <c r="C888"/>
      <c r="D888"/>
      <c r="E888"/>
      <c r="F888"/>
      <c r="G888"/>
      <c r="H888"/>
      <c r="I888"/>
    </row>
    <row r="889" spans="2:9" ht="15">
      <c r="B889"/>
      <c r="C889"/>
      <c r="D889"/>
      <c r="E889"/>
      <c r="F889"/>
      <c r="G889"/>
      <c r="H889"/>
      <c r="I889"/>
    </row>
    <row r="890" spans="2:9" ht="15">
      <c r="B890"/>
      <c r="C890"/>
      <c r="D890"/>
      <c r="E890"/>
      <c r="F890"/>
      <c r="G890"/>
      <c r="H890"/>
      <c r="I890"/>
    </row>
    <row r="891" spans="2:9" ht="15">
      <c r="B891"/>
      <c r="C891"/>
      <c r="D891"/>
      <c r="E891"/>
      <c r="F891"/>
      <c r="G891"/>
      <c r="H891"/>
      <c r="I891"/>
    </row>
    <row r="892" spans="2:9" ht="15">
      <c r="B892"/>
      <c r="C892"/>
      <c r="D892"/>
      <c r="E892"/>
      <c r="F892"/>
      <c r="G892"/>
      <c r="H892"/>
      <c r="I892"/>
    </row>
    <row r="893" spans="2:9" ht="15">
      <c r="B893"/>
      <c r="C893"/>
      <c r="D893"/>
      <c r="E893"/>
      <c r="F893"/>
      <c r="G893"/>
      <c r="H893"/>
      <c r="I893"/>
    </row>
    <row r="894" spans="2:9" ht="15">
      <c r="B894"/>
      <c r="C894"/>
      <c r="D894"/>
      <c r="E894"/>
      <c r="F894"/>
      <c r="G894"/>
      <c r="H894"/>
      <c r="I894"/>
    </row>
    <row r="895" spans="2:9" ht="15">
      <c r="B895"/>
      <c r="C895"/>
      <c r="D895"/>
      <c r="E895"/>
      <c r="F895"/>
      <c r="G895"/>
      <c r="H895"/>
      <c r="I895"/>
    </row>
    <row r="896" spans="2:9" ht="15">
      <c r="B896"/>
      <c r="C896"/>
      <c r="D896"/>
      <c r="E896"/>
      <c r="F896"/>
      <c r="G896"/>
      <c r="H896"/>
      <c r="I896"/>
    </row>
    <row r="897" spans="2:9" ht="15">
      <c r="B897"/>
      <c r="C897"/>
      <c r="D897"/>
      <c r="E897"/>
      <c r="F897"/>
      <c r="G897"/>
      <c r="H897"/>
      <c r="I897"/>
    </row>
    <row r="898" spans="2:9" ht="15">
      <c r="B898"/>
      <c r="C898"/>
      <c r="D898"/>
      <c r="E898"/>
      <c r="F898"/>
      <c r="G898"/>
      <c r="H898"/>
      <c r="I898"/>
    </row>
    <row r="899" spans="2:9" ht="15">
      <c r="B899"/>
      <c r="C899"/>
      <c r="D899"/>
      <c r="E899"/>
      <c r="F899"/>
      <c r="G899"/>
      <c r="H899"/>
      <c r="I899"/>
    </row>
    <row r="900" spans="2:9" ht="15">
      <c r="B900"/>
      <c r="C900"/>
      <c r="D900"/>
      <c r="E900"/>
      <c r="F900"/>
      <c r="G900"/>
      <c r="H900"/>
      <c r="I900"/>
    </row>
    <row r="901" spans="2:9" ht="15">
      <c r="B901"/>
      <c r="C901"/>
      <c r="D901"/>
      <c r="E901"/>
      <c r="F901"/>
      <c r="G901"/>
      <c r="H901"/>
      <c r="I901"/>
    </row>
    <row r="902" spans="2:9" ht="15">
      <c r="B902"/>
      <c r="C902"/>
      <c r="D902"/>
      <c r="E902"/>
      <c r="F902"/>
      <c r="G902"/>
      <c r="H902"/>
      <c r="I902"/>
    </row>
    <row r="903" spans="2:9" ht="15">
      <c r="B903"/>
      <c r="C903"/>
      <c r="D903"/>
      <c r="E903"/>
      <c r="F903"/>
      <c r="G903"/>
      <c r="H903"/>
      <c r="I903"/>
    </row>
    <row r="904" spans="2:9" ht="15">
      <c r="B904"/>
      <c r="C904"/>
      <c r="D904"/>
      <c r="E904"/>
      <c r="F904"/>
      <c r="G904"/>
      <c r="H904"/>
      <c r="I904"/>
    </row>
    <row r="905" spans="2:9" ht="15">
      <c r="B905"/>
      <c r="C905"/>
      <c r="D905"/>
      <c r="E905"/>
      <c r="F905"/>
      <c r="G905"/>
      <c r="H905"/>
      <c r="I905"/>
    </row>
    <row r="906" spans="2:9" ht="15">
      <c r="B906"/>
      <c r="C906"/>
      <c r="D906"/>
      <c r="E906"/>
      <c r="F906"/>
      <c r="G906"/>
      <c r="H906"/>
      <c r="I906"/>
    </row>
    <row r="907" spans="2:9" ht="15">
      <c r="B907"/>
      <c r="C907"/>
      <c r="D907"/>
      <c r="E907"/>
      <c r="F907"/>
      <c r="G907"/>
      <c r="H907"/>
      <c r="I907"/>
    </row>
    <row r="908" spans="2:9" ht="15">
      <c r="B908"/>
      <c r="C908"/>
      <c r="D908"/>
      <c r="E908"/>
      <c r="F908"/>
      <c r="G908"/>
      <c r="H908"/>
      <c r="I908"/>
    </row>
    <row r="909" spans="2:9" ht="15">
      <c r="B909"/>
      <c r="C909"/>
      <c r="D909"/>
      <c r="E909"/>
      <c r="F909"/>
      <c r="G909"/>
      <c r="H909"/>
      <c r="I909"/>
    </row>
    <row r="910" spans="2:9" ht="15">
      <c r="B910"/>
      <c r="C910"/>
      <c r="D910"/>
      <c r="E910"/>
      <c r="F910"/>
      <c r="G910"/>
      <c r="H910"/>
      <c r="I910"/>
    </row>
    <row r="911" spans="2:9" ht="15">
      <c r="B911"/>
      <c r="C911"/>
      <c r="D911"/>
      <c r="E911"/>
      <c r="F911"/>
      <c r="G911"/>
      <c r="H911"/>
      <c r="I911"/>
    </row>
    <row r="912" spans="2:9" ht="15">
      <c r="B912"/>
      <c r="C912"/>
      <c r="D912"/>
      <c r="E912"/>
      <c r="F912"/>
      <c r="G912"/>
      <c r="H912"/>
      <c r="I912"/>
    </row>
    <row r="913" spans="2:9" ht="15">
      <c r="B913"/>
      <c r="C913"/>
      <c r="D913"/>
      <c r="E913"/>
      <c r="F913"/>
      <c r="G913"/>
      <c r="H913"/>
      <c r="I913"/>
    </row>
    <row r="914" spans="2:9" ht="15">
      <c r="B914"/>
      <c r="C914"/>
      <c r="D914"/>
      <c r="E914"/>
      <c r="F914"/>
      <c r="G914"/>
      <c r="H914"/>
      <c r="I914"/>
    </row>
    <row r="915" spans="2:9" ht="15">
      <c r="B915"/>
      <c r="C915"/>
      <c r="D915"/>
      <c r="E915"/>
      <c r="F915"/>
      <c r="G915"/>
      <c r="H915"/>
      <c r="I915"/>
    </row>
    <row r="916" spans="2:9" ht="15">
      <c r="B916"/>
      <c r="C916"/>
      <c r="D916"/>
      <c r="E916"/>
      <c r="F916"/>
      <c r="G916"/>
      <c r="H916"/>
      <c r="I916"/>
    </row>
    <row r="917" spans="2:9" ht="15">
      <c r="B917"/>
      <c r="C917"/>
      <c r="D917"/>
      <c r="E917"/>
      <c r="F917"/>
      <c r="G917"/>
      <c r="H917"/>
      <c r="I917"/>
    </row>
    <row r="918" spans="2:9" ht="15">
      <c r="B918"/>
      <c r="C918"/>
      <c r="D918"/>
      <c r="E918"/>
      <c r="F918"/>
      <c r="G918"/>
      <c r="H918"/>
      <c r="I918"/>
    </row>
    <row r="919" spans="2:9" ht="15">
      <c r="B919"/>
      <c r="C919"/>
      <c r="D919"/>
      <c r="E919"/>
      <c r="F919"/>
      <c r="G919"/>
      <c r="H919"/>
      <c r="I919"/>
    </row>
    <row r="920" spans="2:9" ht="15">
      <c r="B920"/>
      <c r="C920"/>
      <c r="D920"/>
      <c r="E920"/>
      <c r="F920"/>
      <c r="G920"/>
      <c r="H920"/>
      <c r="I920"/>
    </row>
    <row r="921" spans="2:9" ht="15">
      <c r="B921"/>
      <c r="C921"/>
      <c r="D921"/>
      <c r="E921"/>
      <c r="F921"/>
      <c r="G921"/>
      <c r="H921"/>
      <c r="I921"/>
    </row>
    <row r="922" spans="2:9" ht="15">
      <c r="B922"/>
      <c r="C922"/>
      <c r="D922"/>
      <c r="E922"/>
      <c r="F922"/>
      <c r="G922"/>
      <c r="H922"/>
      <c r="I922"/>
    </row>
    <row r="923" spans="2:9" ht="13.5" customHeight="1">
      <c r="B923"/>
      <c r="C923"/>
      <c r="D923"/>
      <c r="E923"/>
      <c r="F923"/>
      <c r="G923"/>
      <c r="H923"/>
      <c r="I923"/>
    </row>
    <row r="924" spans="2:9" ht="15">
      <c r="B924"/>
      <c r="C924"/>
      <c r="D924"/>
      <c r="E924"/>
      <c r="F924"/>
      <c r="G924"/>
      <c r="H924"/>
      <c r="I924"/>
    </row>
    <row r="925" spans="2:9" ht="15">
      <c r="B925"/>
      <c r="C925"/>
      <c r="D925"/>
      <c r="E925"/>
      <c r="F925"/>
      <c r="G925"/>
      <c r="H925"/>
      <c r="I925"/>
    </row>
    <row r="926" spans="2:9" ht="15">
      <c r="B926"/>
      <c r="C926"/>
      <c r="D926"/>
      <c r="E926"/>
      <c r="F926"/>
      <c r="G926"/>
      <c r="H926"/>
      <c r="I926"/>
    </row>
    <row r="927" spans="2:9" ht="15">
      <c r="B927"/>
      <c r="C927"/>
      <c r="D927"/>
      <c r="E927"/>
      <c r="F927"/>
      <c r="G927"/>
      <c r="H927"/>
      <c r="I927"/>
    </row>
    <row r="928" spans="2:9" ht="15">
      <c r="B928"/>
      <c r="C928"/>
      <c r="D928"/>
      <c r="E928"/>
      <c r="F928"/>
      <c r="G928"/>
      <c r="H928"/>
      <c r="I928"/>
    </row>
    <row r="929" spans="2:9" ht="15">
      <c r="B929"/>
      <c r="C929"/>
      <c r="D929"/>
      <c r="E929"/>
      <c r="F929"/>
      <c r="G929"/>
      <c r="H929"/>
      <c r="I929"/>
    </row>
    <row r="930" spans="2:9" ht="15">
      <c r="B930"/>
      <c r="C930"/>
      <c r="D930"/>
      <c r="E930"/>
      <c r="F930"/>
      <c r="G930"/>
      <c r="H930"/>
      <c r="I930"/>
    </row>
    <row r="931" spans="2:9" ht="15">
      <c r="B931"/>
      <c r="C931"/>
      <c r="D931"/>
      <c r="E931"/>
      <c r="F931"/>
      <c r="G931"/>
      <c r="H931"/>
      <c r="I931"/>
    </row>
    <row r="932" spans="2:9" ht="15">
      <c r="B932"/>
      <c r="C932"/>
      <c r="D932"/>
      <c r="E932"/>
      <c r="F932"/>
      <c r="G932"/>
      <c r="H932"/>
      <c r="I932"/>
    </row>
    <row r="933" spans="2:9" ht="15">
      <c r="B933"/>
      <c r="C933"/>
      <c r="D933"/>
      <c r="E933"/>
      <c r="F933"/>
      <c r="G933"/>
      <c r="H933"/>
      <c r="I933"/>
    </row>
    <row r="934" spans="2:9" ht="15">
      <c r="B934"/>
      <c r="C934"/>
      <c r="D934"/>
      <c r="E934"/>
      <c r="F934"/>
      <c r="G934"/>
      <c r="H934"/>
      <c r="I934"/>
    </row>
    <row r="935" spans="2:9" ht="15">
      <c r="B935"/>
      <c r="C935"/>
      <c r="D935"/>
      <c r="E935"/>
      <c r="F935"/>
      <c r="G935"/>
      <c r="H935"/>
      <c r="I935"/>
    </row>
    <row r="936" spans="2:9" ht="15">
      <c r="B936"/>
      <c r="C936"/>
      <c r="D936"/>
      <c r="E936"/>
      <c r="F936"/>
      <c r="G936"/>
      <c r="H936"/>
      <c r="I936"/>
    </row>
    <row r="937" spans="2:9" ht="15">
      <c r="B937"/>
      <c r="C937"/>
      <c r="D937"/>
      <c r="E937"/>
      <c r="F937"/>
      <c r="G937"/>
      <c r="H937"/>
      <c r="I937"/>
    </row>
    <row r="938" spans="2:9" ht="15">
      <c r="B938"/>
      <c r="C938"/>
      <c r="D938"/>
      <c r="E938"/>
      <c r="F938"/>
      <c r="G938"/>
      <c r="H938"/>
      <c r="I938"/>
    </row>
    <row r="939" spans="2:9" ht="15">
      <c r="B939"/>
      <c r="C939"/>
      <c r="D939"/>
      <c r="E939"/>
      <c r="F939"/>
      <c r="G939"/>
      <c r="H939"/>
      <c r="I939"/>
    </row>
    <row r="940" spans="2:9" ht="15">
      <c r="B940"/>
      <c r="C940"/>
      <c r="D940"/>
      <c r="E940"/>
      <c r="F940"/>
      <c r="G940"/>
      <c r="H940"/>
      <c r="I940"/>
    </row>
    <row r="941" spans="2:9" ht="15">
      <c r="B941"/>
      <c r="C941"/>
      <c r="D941"/>
      <c r="E941"/>
      <c r="F941"/>
      <c r="G941"/>
      <c r="H941"/>
      <c r="I941"/>
    </row>
    <row r="942" spans="2:9" ht="15">
      <c r="B942"/>
      <c r="C942"/>
      <c r="D942"/>
      <c r="E942"/>
      <c r="F942"/>
      <c r="G942"/>
      <c r="H942"/>
      <c r="I942"/>
    </row>
    <row r="943" spans="2:9" ht="15">
      <c r="B943"/>
      <c r="C943"/>
      <c r="D943"/>
      <c r="E943"/>
      <c r="F943"/>
      <c r="G943"/>
      <c r="H943"/>
      <c r="I943"/>
    </row>
    <row r="944" spans="2:9" ht="15">
      <c r="B944"/>
      <c r="C944"/>
      <c r="D944"/>
      <c r="E944"/>
      <c r="F944"/>
      <c r="G944"/>
      <c r="H944"/>
      <c r="I944"/>
    </row>
    <row r="945" spans="2:9" ht="15">
      <c r="B945"/>
      <c r="C945"/>
      <c r="D945"/>
      <c r="E945"/>
      <c r="F945"/>
      <c r="G945"/>
      <c r="H945"/>
      <c r="I945"/>
    </row>
    <row r="946" spans="2:9" ht="15">
      <c r="B946"/>
      <c r="C946"/>
      <c r="D946"/>
      <c r="E946"/>
      <c r="F946"/>
      <c r="G946"/>
      <c r="H946"/>
      <c r="I946"/>
    </row>
    <row r="947" spans="2:9" ht="15">
      <c r="B947"/>
      <c r="C947"/>
      <c r="D947"/>
      <c r="E947"/>
      <c r="F947"/>
      <c r="G947"/>
      <c r="H947"/>
      <c r="I947"/>
    </row>
    <row r="948" spans="2:9" ht="15">
      <c r="B948"/>
      <c r="C948"/>
      <c r="D948"/>
      <c r="E948"/>
      <c r="F948"/>
      <c r="G948"/>
      <c r="H948"/>
      <c r="I948"/>
    </row>
    <row r="949" spans="2:9" ht="15">
      <c r="B949"/>
      <c r="C949"/>
      <c r="D949"/>
      <c r="E949"/>
      <c r="F949"/>
      <c r="G949"/>
      <c r="H949"/>
      <c r="I949"/>
    </row>
    <row r="950" spans="2:9" ht="15">
      <c r="B950"/>
      <c r="C950"/>
      <c r="D950"/>
      <c r="E950"/>
      <c r="F950"/>
      <c r="G950"/>
      <c r="H950"/>
      <c r="I950"/>
    </row>
    <row r="951" spans="2:9" ht="15">
      <c r="B951"/>
      <c r="C951"/>
      <c r="D951"/>
      <c r="E951"/>
      <c r="F951"/>
      <c r="G951"/>
      <c r="H951"/>
      <c r="I951"/>
    </row>
    <row r="952" spans="2:9" ht="15">
      <c r="B952"/>
      <c r="C952"/>
      <c r="D952"/>
      <c r="E952"/>
      <c r="F952"/>
      <c r="G952"/>
      <c r="H952"/>
      <c r="I952"/>
    </row>
    <row r="953" spans="2:9" ht="15">
      <c r="B953"/>
      <c r="C953"/>
      <c r="D953"/>
      <c r="E953"/>
      <c r="F953"/>
      <c r="G953"/>
      <c r="H953"/>
      <c r="I953"/>
    </row>
    <row r="954" spans="2:9" ht="15">
      <c r="B954"/>
      <c r="C954"/>
      <c r="D954"/>
      <c r="E954"/>
      <c r="F954"/>
      <c r="G954"/>
      <c r="H954"/>
      <c r="I954"/>
    </row>
    <row r="955" spans="2:9" ht="15">
      <c r="B955"/>
      <c r="C955"/>
      <c r="D955"/>
      <c r="E955"/>
      <c r="F955"/>
      <c r="G955"/>
      <c r="H955"/>
      <c r="I955"/>
    </row>
    <row r="956" spans="2:9" ht="15">
      <c r="B956"/>
      <c r="C956"/>
      <c r="D956"/>
      <c r="E956"/>
      <c r="F956"/>
      <c r="G956"/>
      <c r="H956"/>
      <c r="I956"/>
    </row>
    <row r="957" spans="2:9" ht="15">
      <c r="B957"/>
      <c r="C957"/>
      <c r="D957"/>
      <c r="E957"/>
      <c r="F957"/>
      <c r="G957"/>
      <c r="H957"/>
      <c r="I957"/>
    </row>
    <row r="958" spans="2:9" ht="15">
      <c r="B958"/>
      <c r="C958"/>
      <c r="D958"/>
      <c r="E958"/>
      <c r="F958"/>
      <c r="G958"/>
      <c r="H958"/>
      <c r="I958"/>
    </row>
    <row r="959" spans="2:9" ht="15">
      <c r="B959"/>
      <c r="C959"/>
      <c r="D959"/>
      <c r="E959"/>
      <c r="F959"/>
      <c r="G959"/>
      <c r="H959"/>
      <c r="I959"/>
    </row>
    <row r="960" spans="2:9" ht="15">
      <c r="B960"/>
      <c r="C960"/>
      <c r="D960"/>
      <c r="E960"/>
      <c r="F960"/>
      <c r="G960"/>
      <c r="H960"/>
      <c r="I960"/>
    </row>
    <row r="961" spans="2:9" ht="15">
      <c r="B961"/>
      <c r="C961"/>
      <c r="D961"/>
      <c r="E961"/>
      <c r="F961"/>
      <c r="G961"/>
      <c r="H961"/>
      <c r="I961"/>
    </row>
    <row r="962" spans="2:9" ht="15">
      <c r="B962"/>
      <c r="C962"/>
      <c r="D962"/>
      <c r="E962"/>
      <c r="F962"/>
      <c r="G962"/>
      <c r="H962"/>
      <c r="I962"/>
    </row>
    <row r="963" spans="2:9" ht="15">
      <c r="B963"/>
      <c r="C963"/>
      <c r="D963"/>
      <c r="E963"/>
      <c r="F963"/>
      <c r="G963"/>
      <c r="H963"/>
      <c r="I963"/>
    </row>
    <row r="964" spans="2:9" ht="15">
      <c r="B964"/>
      <c r="C964"/>
      <c r="D964"/>
      <c r="E964"/>
      <c r="F964"/>
      <c r="G964"/>
      <c r="H964"/>
      <c r="I964"/>
    </row>
    <row r="965" spans="2:9" ht="15">
      <c r="B965"/>
      <c r="C965"/>
      <c r="D965"/>
      <c r="E965"/>
      <c r="F965"/>
      <c r="G965"/>
      <c r="H965"/>
      <c r="I965"/>
    </row>
    <row r="966" spans="2:9" ht="15">
      <c r="B966"/>
      <c r="C966"/>
      <c r="D966"/>
      <c r="E966"/>
      <c r="F966"/>
      <c r="G966"/>
      <c r="H966"/>
      <c r="I966"/>
    </row>
    <row r="967" spans="2:9" ht="15">
      <c r="B967"/>
      <c r="C967"/>
      <c r="D967"/>
      <c r="E967"/>
      <c r="F967"/>
      <c r="G967"/>
      <c r="H967"/>
      <c r="I967"/>
    </row>
    <row r="968" spans="2:9" ht="15">
      <c r="B968"/>
      <c r="C968"/>
      <c r="D968"/>
      <c r="E968"/>
      <c r="F968"/>
      <c r="G968"/>
      <c r="H968"/>
      <c r="I968"/>
    </row>
    <row r="969" spans="2:9" ht="15">
      <c r="B969"/>
      <c r="C969"/>
      <c r="D969"/>
      <c r="E969"/>
      <c r="F969"/>
      <c r="G969"/>
      <c r="H969"/>
      <c r="I969"/>
    </row>
    <row r="970" spans="2:9" ht="15">
      <c r="B970"/>
      <c r="C970"/>
      <c r="D970"/>
      <c r="E970"/>
      <c r="F970"/>
      <c r="G970"/>
      <c r="H970"/>
      <c r="I970"/>
    </row>
    <row r="971" spans="2:9" ht="15">
      <c r="B971"/>
      <c r="C971"/>
      <c r="D971"/>
      <c r="E971"/>
      <c r="F971"/>
      <c r="G971"/>
      <c r="H971"/>
      <c r="I971"/>
    </row>
    <row r="972" spans="2:9" ht="15">
      <c r="B972"/>
      <c r="C972"/>
      <c r="D972"/>
      <c r="E972"/>
      <c r="F972"/>
      <c r="G972"/>
      <c r="H972"/>
      <c r="I972"/>
    </row>
    <row r="973" spans="2:9" ht="15">
      <c r="B973"/>
      <c r="C973"/>
      <c r="D973"/>
      <c r="E973"/>
      <c r="F973"/>
      <c r="G973"/>
      <c r="H973"/>
      <c r="I973"/>
    </row>
    <row r="974" spans="2:9" ht="15">
      <c r="B974"/>
      <c r="C974"/>
      <c r="D974"/>
      <c r="E974"/>
      <c r="F974"/>
      <c r="G974"/>
      <c r="H974"/>
      <c r="I974"/>
    </row>
    <row r="975" spans="2:9" ht="15">
      <c r="B975"/>
      <c r="C975"/>
      <c r="D975"/>
      <c r="E975"/>
      <c r="F975"/>
      <c r="G975"/>
      <c r="H975"/>
      <c r="I975"/>
    </row>
    <row r="976" spans="2:9" ht="15">
      <c r="B976"/>
      <c r="C976"/>
      <c r="D976"/>
      <c r="E976"/>
      <c r="F976"/>
      <c r="G976"/>
      <c r="H976"/>
      <c r="I976"/>
    </row>
    <row r="977" spans="2:9" ht="15">
      <c r="B977"/>
      <c r="C977"/>
      <c r="D977"/>
      <c r="E977"/>
      <c r="F977"/>
      <c r="G977"/>
      <c r="H977"/>
      <c r="I977"/>
    </row>
    <row r="978" spans="2:9" ht="15">
      <c r="B978"/>
      <c r="C978"/>
      <c r="D978"/>
      <c r="E978"/>
      <c r="F978"/>
      <c r="G978"/>
      <c r="H978"/>
      <c r="I978"/>
    </row>
    <row r="979" spans="2:9" ht="15">
      <c r="B979"/>
      <c r="C979"/>
      <c r="D979"/>
      <c r="E979"/>
      <c r="F979"/>
      <c r="G979"/>
      <c r="H979"/>
      <c r="I979"/>
    </row>
    <row r="980" spans="2:9" ht="15">
      <c r="B980"/>
      <c r="C980"/>
      <c r="D980"/>
      <c r="E980"/>
      <c r="F980"/>
      <c r="G980"/>
      <c r="H980"/>
      <c r="I980"/>
    </row>
    <row r="981" spans="2:9" ht="15">
      <c r="B981"/>
      <c r="C981"/>
      <c r="D981"/>
      <c r="E981"/>
      <c r="F981"/>
      <c r="G981"/>
      <c r="H981"/>
      <c r="I981"/>
    </row>
    <row r="982" spans="2:9" ht="15">
      <c r="B982"/>
      <c r="C982"/>
      <c r="D982"/>
      <c r="E982"/>
      <c r="F982"/>
      <c r="G982"/>
      <c r="H982"/>
      <c r="I982"/>
    </row>
    <row r="983" spans="2:9" ht="15">
      <c r="B983"/>
      <c r="C983"/>
      <c r="D983"/>
      <c r="E983"/>
      <c r="F983"/>
      <c r="G983"/>
      <c r="H983"/>
      <c r="I983"/>
    </row>
    <row r="984" spans="2:9" ht="15">
      <c r="B984"/>
      <c r="C984"/>
      <c r="D984"/>
      <c r="E984"/>
      <c r="F984"/>
      <c r="G984"/>
      <c r="H984"/>
      <c r="I984"/>
    </row>
    <row r="985" spans="2:9" ht="15">
      <c r="B985"/>
      <c r="C985"/>
      <c r="D985"/>
      <c r="E985"/>
      <c r="F985"/>
      <c r="G985"/>
      <c r="H985"/>
      <c r="I985"/>
    </row>
    <row r="986" spans="2:9" ht="15">
      <c r="B986"/>
      <c r="C986"/>
      <c r="D986"/>
      <c r="E986"/>
      <c r="F986"/>
      <c r="G986"/>
      <c r="H986"/>
      <c r="I986"/>
    </row>
    <row r="987" spans="2:9" ht="15">
      <c r="B987"/>
      <c r="C987"/>
      <c r="D987"/>
      <c r="E987"/>
      <c r="F987"/>
      <c r="G987"/>
      <c r="H987"/>
      <c r="I987"/>
    </row>
    <row r="988" spans="2:9" ht="15">
      <c r="B988"/>
      <c r="C988"/>
      <c r="D988"/>
      <c r="E988"/>
      <c r="F988"/>
      <c r="G988"/>
      <c r="H988"/>
      <c r="I988"/>
    </row>
    <row r="989" spans="2:9" ht="15">
      <c r="B989"/>
      <c r="C989"/>
      <c r="D989"/>
      <c r="E989"/>
      <c r="F989"/>
      <c r="G989"/>
      <c r="H989"/>
      <c r="I989"/>
    </row>
    <row r="990" spans="2:9" ht="15">
      <c r="B990"/>
      <c r="C990"/>
      <c r="D990"/>
      <c r="E990"/>
      <c r="F990"/>
      <c r="G990"/>
      <c r="H990"/>
      <c r="I990"/>
    </row>
    <row r="991" spans="2:9" ht="15">
      <c r="B991"/>
      <c r="C991"/>
      <c r="D991"/>
      <c r="E991"/>
      <c r="F991"/>
      <c r="G991"/>
      <c r="H991"/>
      <c r="I991"/>
    </row>
    <row r="992" spans="2:9" ht="15">
      <c r="B992"/>
      <c r="C992"/>
      <c r="D992"/>
      <c r="E992"/>
      <c r="F992"/>
      <c r="G992"/>
      <c r="H992"/>
      <c r="I992"/>
    </row>
    <row r="993" spans="2:9" ht="15">
      <c r="B993"/>
      <c r="C993"/>
      <c r="D993"/>
      <c r="E993"/>
      <c r="F993"/>
      <c r="G993"/>
      <c r="H993"/>
      <c r="I993"/>
    </row>
    <row r="994" spans="2:9" ht="15">
      <c r="B994"/>
      <c r="C994"/>
      <c r="D994"/>
      <c r="E994"/>
      <c r="F994"/>
      <c r="G994"/>
      <c r="H994"/>
      <c r="I994"/>
    </row>
    <row r="995" spans="2:9" ht="15">
      <c r="B995"/>
      <c r="C995"/>
      <c r="D995"/>
      <c r="E995"/>
      <c r="F995"/>
      <c r="G995"/>
      <c r="H995"/>
      <c r="I995"/>
    </row>
    <row r="996" spans="2:9" ht="15">
      <c r="B996"/>
      <c r="C996"/>
      <c r="D996"/>
      <c r="E996"/>
      <c r="F996"/>
      <c r="G996"/>
      <c r="H996"/>
      <c r="I996"/>
    </row>
    <row r="997" spans="2:9" ht="15">
      <c r="B997"/>
      <c r="C997"/>
      <c r="D997"/>
      <c r="E997"/>
      <c r="F997"/>
      <c r="G997"/>
      <c r="H997"/>
      <c r="I997"/>
    </row>
    <row r="998" spans="2:9" ht="15">
      <c r="B998"/>
      <c r="C998"/>
      <c r="D998"/>
      <c r="E998"/>
      <c r="F998"/>
      <c r="G998"/>
      <c r="H998"/>
      <c r="I998"/>
    </row>
    <row r="999" spans="2:9" ht="15">
      <c r="B999"/>
      <c r="C999"/>
      <c r="D999"/>
      <c r="E999"/>
      <c r="F999"/>
      <c r="G999"/>
      <c r="H999"/>
      <c r="I999"/>
    </row>
    <row r="1000" spans="2:9" ht="15">
      <c r="B1000"/>
      <c r="C1000"/>
      <c r="D1000"/>
      <c r="E1000"/>
      <c r="F1000"/>
      <c r="G1000"/>
      <c r="H1000"/>
      <c r="I1000"/>
    </row>
    <row r="1001" spans="2:9" ht="15">
      <c r="B1001"/>
      <c r="C1001"/>
      <c r="D1001"/>
      <c r="E1001"/>
      <c r="F1001"/>
      <c r="G1001"/>
      <c r="H1001"/>
      <c r="I1001"/>
    </row>
    <row r="1002" spans="2:9" ht="15">
      <c r="B1002"/>
      <c r="C1002"/>
      <c r="D1002"/>
      <c r="E1002"/>
      <c r="F1002"/>
      <c r="G1002"/>
      <c r="H1002"/>
      <c r="I1002"/>
    </row>
    <row r="1003" spans="2:9" ht="15">
      <c r="B1003"/>
      <c r="C1003"/>
      <c r="D1003"/>
      <c r="E1003"/>
      <c r="F1003"/>
      <c r="G1003"/>
      <c r="H1003"/>
      <c r="I1003"/>
    </row>
    <row r="1004" spans="2:9" ht="15">
      <c r="B1004"/>
      <c r="C1004"/>
      <c r="D1004"/>
      <c r="E1004"/>
      <c r="F1004"/>
      <c r="G1004"/>
      <c r="H1004"/>
      <c r="I1004"/>
    </row>
    <row r="1005" spans="2:9" ht="15">
      <c r="B1005"/>
      <c r="C1005"/>
      <c r="D1005"/>
      <c r="E1005"/>
      <c r="F1005"/>
      <c r="G1005"/>
      <c r="H1005"/>
      <c r="I1005"/>
    </row>
    <row r="1006" spans="2:9" ht="15">
      <c r="B1006"/>
      <c r="C1006"/>
      <c r="D1006"/>
      <c r="E1006"/>
      <c r="F1006"/>
      <c r="G1006"/>
      <c r="H1006"/>
      <c r="I1006"/>
    </row>
    <row r="1007" spans="2:9" ht="15">
      <c r="B1007"/>
      <c r="C1007"/>
      <c r="D1007"/>
      <c r="E1007"/>
      <c r="F1007"/>
      <c r="G1007"/>
      <c r="H1007"/>
      <c r="I1007"/>
    </row>
    <row r="1008" spans="2:9" ht="15">
      <c r="B1008"/>
      <c r="C1008"/>
      <c r="D1008"/>
      <c r="E1008"/>
      <c r="F1008"/>
      <c r="G1008"/>
      <c r="H1008"/>
      <c r="I1008"/>
    </row>
    <row r="1009" spans="2:9" ht="15">
      <c r="B1009"/>
      <c r="C1009"/>
      <c r="D1009"/>
      <c r="E1009"/>
      <c r="F1009"/>
      <c r="G1009"/>
      <c r="H1009"/>
      <c r="I1009"/>
    </row>
    <row r="1010" spans="2:9" ht="13.5" customHeight="1">
      <c r="B1010"/>
      <c r="C1010"/>
      <c r="D1010"/>
      <c r="E1010"/>
      <c r="F1010"/>
      <c r="G1010"/>
      <c r="H1010"/>
      <c r="I1010"/>
    </row>
    <row r="1011" spans="2:9" ht="15">
      <c r="B1011"/>
      <c r="C1011"/>
      <c r="D1011"/>
      <c r="E1011"/>
      <c r="F1011"/>
      <c r="G1011"/>
      <c r="H1011"/>
      <c r="I1011"/>
    </row>
    <row r="1012" spans="2:9" ht="15">
      <c r="B1012"/>
      <c r="C1012"/>
      <c r="D1012"/>
      <c r="E1012"/>
      <c r="F1012"/>
      <c r="G1012"/>
      <c r="H1012"/>
      <c r="I1012"/>
    </row>
    <row r="1013" spans="2:9" ht="15">
      <c r="B1013"/>
      <c r="C1013"/>
      <c r="D1013"/>
      <c r="E1013"/>
      <c r="F1013"/>
      <c r="G1013"/>
      <c r="H1013"/>
      <c r="I1013"/>
    </row>
    <row r="1014" spans="2:9" ht="15">
      <c r="B1014"/>
      <c r="C1014"/>
      <c r="D1014"/>
      <c r="E1014"/>
      <c r="F1014"/>
      <c r="G1014"/>
      <c r="H1014"/>
      <c r="I1014"/>
    </row>
    <row r="1015" spans="2:9" ht="15">
      <c r="B1015"/>
      <c r="C1015"/>
      <c r="D1015"/>
      <c r="E1015"/>
      <c r="F1015"/>
      <c r="G1015"/>
      <c r="H1015"/>
      <c r="I1015"/>
    </row>
    <row r="1016" spans="2:9" ht="15">
      <c r="B1016"/>
      <c r="C1016"/>
      <c r="D1016"/>
      <c r="E1016"/>
      <c r="F1016"/>
      <c r="G1016"/>
      <c r="H1016"/>
      <c r="I1016"/>
    </row>
    <row r="1017" spans="2:9" ht="15">
      <c r="B1017"/>
      <c r="C1017"/>
      <c r="D1017"/>
      <c r="E1017"/>
      <c r="F1017"/>
      <c r="G1017"/>
      <c r="H1017"/>
      <c r="I1017"/>
    </row>
    <row r="1018" spans="2:9" ht="15">
      <c r="B1018"/>
      <c r="C1018"/>
      <c r="D1018"/>
      <c r="E1018"/>
      <c r="F1018"/>
      <c r="G1018"/>
      <c r="H1018"/>
      <c r="I1018"/>
    </row>
    <row r="1019" spans="2:9" ht="15">
      <c r="B1019"/>
      <c r="C1019"/>
      <c r="D1019"/>
      <c r="E1019"/>
      <c r="F1019"/>
      <c r="G1019"/>
      <c r="H1019"/>
      <c r="I1019"/>
    </row>
    <row r="1020" spans="2:9" ht="15">
      <c r="B1020"/>
      <c r="C1020"/>
      <c r="D1020"/>
      <c r="E1020"/>
      <c r="F1020"/>
      <c r="G1020"/>
      <c r="H1020"/>
      <c r="I1020"/>
    </row>
    <row r="1021" spans="2:9" ht="15">
      <c r="B1021"/>
      <c r="C1021"/>
      <c r="D1021"/>
      <c r="E1021"/>
      <c r="F1021"/>
      <c r="G1021"/>
      <c r="H1021"/>
      <c r="I1021"/>
    </row>
    <row r="1022" spans="2:9" ht="15">
      <c r="B1022"/>
      <c r="C1022"/>
      <c r="D1022"/>
      <c r="E1022"/>
      <c r="F1022"/>
      <c r="G1022"/>
      <c r="H1022"/>
      <c r="I1022"/>
    </row>
    <row r="1023" spans="2:9" ht="15">
      <c r="B1023"/>
      <c r="C1023"/>
      <c r="D1023"/>
      <c r="E1023"/>
      <c r="F1023"/>
      <c r="G1023"/>
      <c r="H1023"/>
      <c r="I1023"/>
    </row>
    <row r="1024" spans="2:9" ht="15">
      <c r="B1024"/>
      <c r="C1024"/>
      <c r="D1024"/>
      <c r="E1024"/>
      <c r="F1024"/>
      <c r="G1024"/>
      <c r="H1024"/>
      <c r="I1024"/>
    </row>
    <row r="1025" spans="2:9" ht="15">
      <c r="B1025"/>
      <c r="C1025"/>
      <c r="D1025"/>
      <c r="E1025"/>
      <c r="F1025"/>
      <c r="G1025"/>
      <c r="H1025"/>
      <c r="I1025"/>
    </row>
    <row r="1026" spans="2:9" ht="15">
      <c r="B1026"/>
      <c r="C1026"/>
      <c r="D1026"/>
      <c r="E1026"/>
      <c r="F1026"/>
      <c r="G1026"/>
      <c r="H1026"/>
      <c r="I1026"/>
    </row>
    <row r="1027" spans="2:9" ht="15">
      <c r="B1027"/>
      <c r="C1027"/>
      <c r="D1027"/>
      <c r="E1027"/>
      <c r="F1027"/>
      <c r="G1027"/>
      <c r="H1027"/>
      <c r="I1027"/>
    </row>
    <row r="1028" spans="2:9" ht="15">
      <c r="B1028"/>
      <c r="C1028"/>
      <c r="D1028"/>
      <c r="E1028"/>
      <c r="F1028"/>
      <c r="G1028"/>
      <c r="H1028"/>
      <c r="I1028"/>
    </row>
    <row r="1029" spans="2:9" ht="15">
      <c r="B1029"/>
      <c r="C1029"/>
      <c r="D1029"/>
      <c r="E1029"/>
      <c r="F1029"/>
      <c r="G1029"/>
      <c r="H1029"/>
      <c r="I1029"/>
    </row>
    <row r="1030" spans="2:9" ht="15">
      <c r="B1030"/>
      <c r="C1030"/>
      <c r="D1030"/>
      <c r="E1030"/>
      <c r="F1030"/>
      <c r="G1030"/>
      <c r="H1030"/>
      <c r="I1030"/>
    </row>
    <row r="1031" spans="2:9" ht="15">
      <c r="B1031"/>
      <c r="C1031"/>
      <c r="D1031"/>
      <c r="E1031"/>
      <c r="F1031"/>
      <c r="G1031"/>
      <c r="H1031"/>
      <c r="I1031"/>
    </row>
    <row r="1032" spans="2:9" ht="15">
      <c r="B1032"/>
      <c r="C1032"/>
      <c r="D1032"/>
      <c r="E1032"/>
      <c r="F1032"/>
      <c r="G1032"/>
      <c r="H1032"/>
      <c r="I1032"/>
    </row>
    <row r="1033" spans="2:9" ht="15">
      <c r="B1033"/>
      <c r="C1033"/>
      <c r="D1033"/>
      <c r="E1033"/>
      <c r="F1033"/>
      <c r="G1033"/>
      <c r="H1033"/>
      <c r="I1033"/>
    </row>
    <row r="1034" spans="2:9" ht="15">
      <c r="B1034"/>
      <c r="C1034"/>
      <c r="D1034"/>
      <c r="E1034"/>
      <c r="F1034"/>
      <c r="G1034"/>
      <c r="H1034"/>
      <c r="I1034"/>
    </row>
    <row r="1035" spans="2:9" ht="15">
      <c r="B1035"/>
      <c r="C1035"/>
      <c r="D1035"/>
      <c r="E1035"/>
      <c r="F1035"/>
      <c r="G1035"/>
      <c r="H1035"/>
      <c r="I1035"/>
    </row>
    <row r="1036" spans="2:9" ht="15">
      <c r="B1036"/>
      <c r="C1036"/>
      <c r="D1036"/>
      <c r="E1036"/>
      <c r="F1036"/>
      <c r="G1036"/>
      <c r="H1036"/>
      <c r="I1036"/>
    </row>
    <row r="1037" spans="2:9" ht="15">
      <c r="B1037"/>
      <c r="C1037"/>
      <c r="D1037"/>
      <c r="E1037"/>
      <c r="F1037"/>
      <c r="G1037"/>
      <c r="H1037"/>
      <c r="I1037"/>
    </row>
    <row r="1038" spans="2:9" ht="15">
      <c r="B1038"/>
      <c r="C1038"/>
      <c r="D1038"/>
      <c r="E1038"/>
      <c r="F1038"/>
      <c r="G1038"/>
      <c r="H1038"/>
      <c r="I1038"/>
    </row>
    <row r="1039" spans="2:9" ht="15">
      <c r="B1039"/>
      <c r="C1039"/>
      <c r="D1039"/>
      <c r="E1039"/>
      <c r="F1039"/>
      <c r="G1039"/>
      <c r="H1039"/>
      <c r="I1039"/>
    </row>
    <row r="1040" spans="2:9" ht="15">
      <c r="B1040"/>
      <c r="C1040"/>
      <c r="D1040"/>
      <c r="E1040"/>
      <c r="F1040"/>
      <c r="G1040"/>
      <c r="H1040"/>
      <c r="I1040"/>
    </row>
    <row r="1041" spans="2:9" ht="15">
      <c r="B1041"/>
      <c r="C1041"/>
      <c r="D1041"/>
      <c r="E1041"/>
      <c r="F1041"/>
      <c r="G1041"/>
      <c r="H1041"/>
      <c r="I1041"/>
    </row>
    <row r="1042" spans="2:9" ht="15">
      <c r="B1042"/>
      <c r="C1042"/>
      <c r="D1042"/>
      <c r="E1042"/>
      <c r="F1042"/>
      <c r="G1042"/>
      <c r="H1042"/>
      <c r="I1042"/>
    </row>
    <row r="1043" spans="2:9" ht="15">
      <c r="B1043"/>
      <c r="C1043"/>
      <c r="D1043"/>
      <c r="E1043"/>
      <c r="F1043"/>
      <c r="G1043"/>
      <c r="H1043"/>
      <c r="I1043"/>
    </row>
    <row r="1044" spans="2:9" ht="15">
      <c r="B1044"/>
      <c r="C1044"/>
      <c r="D1044"/>
      <c r="E1044"/>
      <c r="F1044"/>
      <c r="G1044"/>
      <c r="H1044"/>
      <c r="I1044"/>
    </row>
    <row r="1045" spans="2:9" ht="15">
      <c r="B1045"/>
      <c r="C1045"/>
      <c r="D1045"/>
      <c r="E1045"/>
      <c r="F1045"/>
      <c r="G1045"/>
      <c r="H1045"/>
      <c r="I1045"/>
    </row>
    <row r="1046" spans="2:9" ht="15">
      <c r="B1046"/>
      <c r="C1046"/>
      <c r="D1046"/>
      <c r="E1046"/>
      <c r="F1046"/>
      <c r="G1046"/>
      <c r="H1046"/>
      <c r="I1046"/>
    </row>
    <row r="1047" spans="2:9" ht="15">
      <c r="B1047"/>
      <c r="C1047"/>
      <c r="D1047"/>
      <c r="E1047"/>
      <c r="F1047"/>
      <c r="G1047"/>
      <c r="H1047"/>
      <c r="I1047"/>
    </row>
    <row r="1048" spans="2:9" ht="15">
      <c r="B1048"/>
      <c r="C1048"/>
      <c r="D1048"/>
      <c r="E1048"/>
      <c r="F1048"/>
      <c r="G1048"/>
      <c r="H1048"/>
      <c r="I1048"/>
    </row>
    <row r="1049" spans="2:9" ht="15">
      <c r="B1049"/>
      <c r="C1049"/>
      <c r="D1049"/>
      <c r="E1049"/>
      <c r="F1049"/>
      <c r="G1049"/>
      <c r="H1049"/>
      <c r="I1049"/>
    </row>
    <row r="1050" spans="2:9" ht="15">
      <c r="B1050"/>
      <c r="C1050"/>
      <c r="D1050"/>
      <c r="E1050"/>
      <c r="F1050"/>
      <c r="G1050"/>
      <c r="H1050"/>
      <c r="I1050"/>
    </row>
    <row r="1051" spans="2:9" ht="15">
      <c r="B1051"/>
      <c r="C1051"/>
      <c r="D1051"/>
      <c r="E1051"/>
      <c r="F1051"/>
      <c r="G1051"/>
      <c r="H1051"/>
      <c r="I1051"/>
    </row>
    <row r="1052" spans="2:9" ht="15">
      <c r="B1052"/>
      <c r="C1052"/>
      <c r="D1052"/>
      <c r="E1052"/>
      <c r="F1052"/>
      <c r="G1052"/>
      <c r="H1052"/>
      <c r="I1052"/>
    </row>
    <row r="1053" spans="2:9" ht="15">
      <c r="B1053"/>
      <c r="C1053"/>
      <c r="D1053"/>
      <c r="E1053"/>
      <c r="F1053"/>
      <c r="G1053"/>
      <c r="H1053"/>
      <c r="I1053"/>
    </row>
    <row r="1054" spans="2:9" ht="15">
      <c r="B1054"/>
      <c r="C1054"/>
      <c r="D1054"/>
      <c r="E1054"/>
      <c r="F1054"/>
      <c r="G1054"/>
      <c r="H1054"/>
      <c r="I1054"/>
    </row>
    <row r="1055" spans="2:9" ht="15">
      <c r="B1055"/>
      <c r="C1055"/>
      <c r="D1055"/>
      <c r="E1055"/>
      <c r="F1055"/>
      <c r="G1055"/>
      <c r="H1055"/>
      <c r="I1055"/>
    </row>
    <row r="1056" spans="2:9" ht="15">
      <c r="B1056"/>
      <c r="C1056"/>
      <c r="D1056"/>
      <c r="E1056"/>
      <c r="F1056"/>
      <c r="G1056"/>
      <c r="H1056"/>
      <c r="I1056"/>
    </row>
    <row r="1057" spans="2:9" ht="15">
      <c r="B1057"/>
      <c r="C1057"/>
      <c r="D1057"/>
      <c r="E1057"/>
      <c r="F1057"/>
      <c r="G1057"/>
      <c r="H1057"/>
      <c r="I1057"/>
    </row>
    <row r="1058" spans="2:9" ht="15">
      <c r="B1058"/>
      <c r="C1058"/>
      <c r="D1058"/>
      <c r="E1058"/>
      <c r="F1058"/>
      <c r="G1058"/>
      <c r="H1058"/>
      <c r="I1058"/>
    </row>
    <row r="1059" spans="2:9" ht="15">
      <c r="B1059"/>
      <c r="C1059"/>
      <c r="D1059"/>
      <c r="E1059"/>
      <c r="F1059"/>
      <c r="G1059"/>
      <c r="H1059"/>
      <c r="I1059"/>
    </row>
    <row r="1060" spans="2:9" ht="15">
      <c r="B1060"/>
      <c r="C1060"/>
      <c r="D1060"/>
      <c r="E1060"/>
      <c r="F1060"/>
      <c r="G1060"/>
      <c r="H1060"/>
      <c r="I1060"/>
    </row>
    <row r="1061" spans="2:9" ht="15">
      <c r="B1061"/>
      <c r="C1061"/>
      <c r="D1061"/>
      <c r="E1061"/>
      <c r="F1061"/>
      <c r="G1061"/>
      <c r="H1061"/>
      <c r="I1061"/>
    </row>
    <row r="1062" spans="2:9" ht="15">
      <c r="B1062"/>
      <c r="C1062"/>
      <c r="D1062"/>
      <c r="E1062"/>
      <c r="F1062"/>
      <c r="G1062"/>
      <c r="H1062"/>
      <c r="I1062"/>
    </row>
    <row r="1063" spans="2:9" ht="15">
      <c r="B1063"/>
      <c r="C1063"/>
      <c r="D1063"/>
      <c r="E1063"/>
      <c r="F1063"/>
      <c r="G1063"/>
      <c r="H1063"/>
      <c r="I1063"/>
    </row>
    <row r="1064" spans="2:9" ht="15">
      <c r="B1064"/>
      <c r="C1064"/>
      <c r="D1064"/>
      <c r="E1064"/>
      <c r="F1064"/>
      <c r="G1064"/>
      <c r="H1064"/>
      <c r="I1064"/>
    </row>
    <row r="1065" spans="2:9" ht="15">
      <c r="B1065"/>
      <c r="C1065"/>
      <c r="D1065"/>
      <c r="E1065"/>
      <c r="F1065"/>
      <c r="G1065"/>
      <c r="H1065"/>
      <c r="I1065"/>
    </row>
    <row r="1066" spans="2:9" ht="15">
      <c r="B1066"/>
      <c r="C1066"/>
      <c r="D1066"/>
      <c r="E1066"/>
      <c r="F1066"/>
      <c r="G1066"/>
      <c r="H1066"/>
      <c r="I1066"/>
    </row>
    <row r="1067" spans="2:9" ht="15">
      <c r="B1067"/>
      <c r="C1067"/>
      <c r="D1067"/>
      <c r="E1067"/>
      <c r="F1067"/>
      <c r="G1067"/>
      <c r="H1067"/>
      <c r="I1067"/>
    </row>
    <row r="1068" spans="2:9" ht="15">
      <c r="B1068"/>
      <c r="C1068"/>
      <c r="D1068"/>
      <c r="E1068"/>
      <c r="F1068"/>
      <c r="G1068"/>
      <c r="H1068"/>
      <c r="I1068"/>
    </row>
    <row r="1069" spans="2:9" ht="15">
      <c r="B1069"/>
      <c r="C1069"/>
      <c r="D1069"/>
      <c r="E1069"/>
      <c r="F1069"/>
      <c r="G1069"/>
      <c r="H1069"/>
      <c r="I1069"/>
    </row>
    <row r="1070" spans="2:9" ht="15">
      <c r="B1070"/>
      <c r="C1070"/>
      <c r="D1070"/>
      <c r="E1070"/>
      <c r="F1070"/>
      <c r="G1070"/>
      <c r="H1070"/>
      <c r="I1070"/>
    </row>
    <row r="1071" spans="2:9" ht="15">
      <c r="B1071"/>
      <c r="C1071"/>
      <c r="D1071"/>
      <c r="E1071"/>
      <c r="F1071"/>
      <c r="G1071"/>
      <c r="H1071"/>
      <c r="I1071"/>
    </row>
    <row r="1072" spans="2:9" ht="15">
      <c r="B1072"/>
      <c r="C1072"/>
      <c r="D1072"/>
      <c r="E1072"/>
      <c r="F1072"/>
      <c r="G1072"/>
      <c r="H1072"/>
      <c r="I1072"/>
    </row>
    <row r="1073" spans="2:9" ht="15">
      <c r="B1073"/>
      <c r="C1073"/>
      <c r="D1073"/>
      <c r="E1073"/>
      <c r="F1073"/>
      <c r="G1073"/>
      <c r="H1073"/>
      <c r="I1073"/>
    </row>
    <row r="1074" spans="2:9" ht="15">
      <c r="B1074"/>
      <c r="C1074"/>
      <c r="D1074"/>
      <c r="E1074"/>
      <c r="F1074"/>
      <c r="G1074"/>
      <c r="H1074"/>
      <c r="I1074"/>
    </row>
    <row r="1075" spans="2:9" ht="15">
      <c r="B1075"/>
      <c r="C1075"/>
      <c r="D1075"/>
      <c r="E1075"/>
      <c r="F1075"/>
      <c r="G1075"/>
      <c r="H1075"/>
      <c r="I1075"/>
    </row>
    <row r="1076" spans="2:9" ht="15">
      <c r="B1076"/>
      <c r="C1076"/>
      <c r="D1076"/>
      <c r="E1076"/>
      <c r="F1076"/>
      <c r="G1076"/>
      <c r="H1076"/>
      <c r="I1076"/>
    </row>
    <row r="1077" spans="2:9" ht="15">
      <c r="B1077"/>
      <c r="C1077"/>
      <c r="D1077"/>
      <c r="E1077"/>
      <c r="F1077"/>
      <c r="G1077"/>
      <c r="H1077"/>
      <c r="I1077"/>
    </row>
    <row r="1078" spans="2:9" ht="15">
      <c r="B1078"/>
      <c r="C1078"/>
      <c r="D1078"/>
      <c r="E1078"/>
      <c r="F1078"/>
      <c r="G1078"/>
      <c r="H1078"/>
      <c r="I1078"/>
    </row>
    <row r="1079" spans="2:9" ht="15">
      <c r="B1079"/>
      <c r="C1079"/>
      <c r="D1079"/>
      <c r="E1079"/>
      <c r="F1079"/>
      <c r="G1079"/>
      <c r="H1079"/>
      <c r="I1079"/>
    </row>
    <row r="1080" spans="2:9" ht="15">
      <c r="B1080"/>
      <c r="C1080"/>
      <c r="D1080"/>
      <c r="E1080"/>
      <c r="F1080"/>
      <c r="G1080"/>
      <c r="H1080"/>
      <c r="I1080"/>
    </row>
    <row r="1081" spans="2:9" ht="15">
      <c r="B1081"/>
      <c r="C1081"/>
      <c r="D1081"/>
      <c r="E1081"/>
      <c r="F1081"/>
      <c r="G1081"/>
      <c r="H1081"/>
      <c r="I1081"/>
    </row>
    <row r="1082" spans="2:9" ht="15">
      <c r="B1082"/>
      <c r="C1082"/>
      <c r="D1082"/>
      <c r="E1082"/>
      <c r="F1082"/>
      <c r="G1082"/>
      <c r="H1082"/>
      <c r="I1082"/>
    </row>
    <row r="1083" spans="2:9" ht="15">
      <c r="B1083"/>
      <c r="C1083"/>
      <c r="D1083"/>
      <c r="E1083"/>
      <c r="F1083"/>
      <c r="G1083"/>
      <c r="H1083"/>
      <c r="I1083"/>
    </row>
    <row r="1084" spans="2:9" ht="15">
      <c r="B1084"/>
      <c r="C1084"/>
      <c r="D1084"/>
      <c r="E1084"/>
      <c r="F1084"/>
      <c r="G1084"/>
      <c r="H1084"/>
      <c r="I1084"/>
    </row>
    <row r="1085" spans="2:9" ht="15">
      <c r="B1085"/>
      <c r="C1085"/>
      <c r="D1085"/>
      <c r="E1085"/>
      <c r="F1085"/>
      <c r="G1085"/>
      <c r="H1085"/>
      <c r="I1085"/>
    </row>
    <row r="1086" spans="2:9" ht="15">
      <c r="B1086"/>
      <c r="C1086"/>
      <c r="D1086"/>
      <c r="E1086"/>
      <c r="F1086"/>
      <c r="G1086"/>
      <c r="H1086"/>
      <c r="I1086"/>
    </row>
    <row r="1087" spans="2:9" ht="15">
      <c r="B1087"/>
      <c r="C1087"/>
      <c r="D1087"/>
      <c r="E1087"/>
      <c r="F1087"/>
      <c r="G1087"/>
      <c r="H1087"/>
      <c r="I1087"/>
    </row>
    <row r="1088" spans="2:9" ht="15">
      <c r="B1088"/>
      <c r="C1088"/>
      <c r="D1088"/>
      <c r="E1088"/>
      <c r="F1088"/>
      <c r="G1088"/>
      <c r="H1088"/>
      <c r="I1088"/>
    </row>
    <row r="1089" spans="2:9" ht="15">
      <c r="B1089"/>
      <c r="C1089"/>
      <c r="D1089"/>
      <c r="E1089"/>
      <c r="F1089"/>
      <c r="G1089"/>
      <c r="H1089"/>
      <c r="I1089"/>
    </row>
    <row r="1090" spans="2:9" ht="15">
      <c r="B1090"/>
      <c r="C1090"/>
      <c r="D1090"/>
      <c r="E1090"/>
      <c r="F1090"/>
      <c r="G1090"/>
      <c r="H1090"/>
      <c r="I1090"/>
    </row>
    <row r="1091" spans="2:9" ht="15">
      <c r="B1091"/>
      <c r="C1091"/>
      <c r="D1091"/>
      <c r="E1091"/>
      <c r="F1091"/>
      <c r="G1091"/>
      <c r="H1091"/>
      <c r="I1091"/>
    </row>
    <row r="1092" spans="2:9" ht="15">
      <c r="B1092"/>
      <c r="C1092"/>
      <c r="D1092"/>
      <c r="E1092"/>
      <c r="F1092"/>
      <c r="G1092"/>
      <c r="H1092"/>
      <c r="I1092"/>
    </row>
    <row r="1093" spans="2:9" ht="15">
      <c r="B1093"/>
      <c r="C1093"/>
      <c r="D1093"/>
      <c r="E1093"/>
      <c r="F1093"/>
      <c r="G1093"/>
      <c r="H1093"/>
      <c r="I1093"/>
    </row>
    <row r="1094" spans="2:9" ht="15">
      <c r="B1094"/>
      <c r="C1094"/>
      <c r="D1094"/>
      <c r="E1094"/>
      <c r="F1094"/>
      <c r="G1094"/>
      <c r="H1094"/>
      <c r="I1094"/>
    </row>
    <row r="1095" spans="2:9" ht="15">
      <c r="B1095"/>
      <c r="C1095"/>
      <c r="D1095"/>
      <c r="E1095"/>
      <c r="F1095"/>
      <c r="G1095"/>
      <c r="H1095"/>
      <c r="I1095"/>
    </row>
    <row r="1096" spans="2:9" ht="15">
      <c r="B1096"/>
      <c r="C1096"/>
      <c r="D1096"/>
      <c r="E1096"/>
      <c r="F1096"/>
      <c r="G1096"/>
      <c r="H1096"/>
      <c r="I1096"/>
    </row>
    <row r="1097" spans="2:9" ht="15">
      <c r="B1097"/>
      <c r="C1097"/>
      <c r="D1097"/>
      <c r="E1097"/>
      <c r="F1097"/>
      <c r="G1097"/>
      <c r="H1097"/>
      <c r="I1097"/>
    </row>
    <row r="1098" spans="2:9" ht="15">
      <c r="B1098"/>
      <c r="C1098"/>
      <c r="D1098"/>
      <c r="E1098"/>
      <c r="F1098"/>
      <c r="G1098"/>
      <c r="H1098"/>
      <c r="I1098"/>
    </row>
    <row r="1099" spans="2:9" ht="15">
      <c r="B1099"/>
      <c r="C1099"/>
      <c r="D1099"/>
      <c r="E1099"/>
      <c r="F1099"/>
      <c r="G1099"/>
      <c r="H1099"/>
      <c r="I1099"/>
    </row>
    <row r="1100" spans="2:9" ht="15">
      <c r="B1100"/>
      <c r="C1100"/>
      <c r="D1100"/>
      <c r="E1100"/>
      <c r="F1100"/>
      <c r="G1100"/>
      <c r="H1100"/>
      <c r="I1100"/>
    </row>
    <row r="1101" spans="2:9" ht="15">
      <c r="B1101"/>
      <c r="C1101"/>
      <c r="D1101"/>
      <c r="E1101"/>
      <c r="F1101"/>
      <c r="G1101"/>
      <c r="H1101"/>
      <c r="I1101"/>
    </row>
    <row r="1102" spans="2:9" ht="15">
      <c r="B1102"/>
      <c r="C1102"/>
      <c r="D1102"/>
      <c r="E1102"/>
      <c r="F1102"/>
      <c r="G1102"/>
      <c r="H1102"/>
      <c r="I1102"/>
    </row>
    <row r="1103" spans="2:9" ht="15">
      <c r="B1103"/>
      <c r="C1103"/>
      <c r="D1103"/>
      <c r="E1103"/>
      <c r="F1103"/>
      <c r="G1103"/>
      <c r="H1103"/>
      <c r="I1103"/>
    </row>
    <row r="1104" spans="2:9" ht="15">
      <c r="B1104"/>
      <c r="C1104"/>
      <c r="D1104"/>
      <c r="E1104"/>
      <c r="F1104"/>
      <c r="G1104"/>
      <c r="H1104"/>
      <c r="I1104"/>
    </row>
    <row r="1105" spans="2:9" ht="15">
      <c r="B1105"/>
      <c r="C1105"/>
      <c r="D1105"/>
      <c r="E1105"/>
      <c r="F1105"/>
      <c r="G1105"/>
      <c r="H1105"/>
      <c r="I1105"/>
    </row>
    <row r="1106" spans="2:9" ht="15">
      <c r="B1106"/>
      <c r="C1106"/>
      <c r="D1106"/>
      <c r="E1106"/>
      <c r="F1106"/>
      <c r="G1106"/>
      <c r="H1106"/>
      <c r="I1106"/>
    </row>
    <row r="1107" spans="2:9" ht="15">
      <c r="B1107"/>
      <c r="C1107"/>
      <c r="D1107"/>
      <c r="E1107"/>
      <c r="F1107"/>
      <c r="G1107"/>
      <c r="H1107"/>
      <c r="I1107"/>
    </row>
    <row r="1108" spans="2:9" ht="15">
      <c r="B1108"/>
      <c r="C1108"/>
      <c r="D1108"/>
      <c r="E1108"/>
      <c r="F1108"/>
      <c r="G1108"/>
      <c r="H1108"/>
      <c r="I1108"/>
    </row>
    <row r="1109" spans="2:9" ht="15">
      <c r="B1109"/>
      <c r="C1109"/>
      <c r="D1109"/>
      <c r="E1109"/>
      <c r="F1109"/>
      <c r="G1109"/>
      <c r="H1109"/>
      <c r="I1109"/>
    </row>
    <row r="1110" spans="2:9" ht="15">
      <c r="B1110"/>
      <c r="C1110"/>
      <c r="D1110"/>
      <c r="E1110"/>
      <c r="F1110"/>
      <c r="G1110"/>
      <c r="H1110"/>
      <c r="I1110"/>
    </row>
    <row r="1111" spans="2:9" ht="15">
      <c r="B1111"/>
      <c r="C1111"/>
      <c r="D1111"/>
      <c r="E1111"/>
      <c r="F1111"/>
      <c r="G1111"/>
      <c r="H1111"/>
      <c r="I1111"/>
    </row>
    <row r="1112" spans="2:9" ht="15">
      <c r="B1112"/>
      <c r="C1112"/>
      <c r="D1112"/>
      <c r="E1112"/>
      <c r="F1112"/>
      <c r="G1112"/>
      <c r="H1112"/>
      <c r="I1112"/>
    </row>
    <row r="1113" spans="2:9" ht="15">
      <c r="B1113"/>
      <c r="C1113"/>
      <c r="D1113"/>
      <c r="E1113"/>
      <c r="F1113"/>
      <c r="G1113"/>
      <c r="H1113"/>
      <c r="I1113"/>
    </row>
    <row r="1114" spans="2:9" ht="15">
      <c r="B1114"/>
      <c r="C1114"/>
      <c r="D1114"/>
      <c r="E1114"/>
      <c r="F1114"/>
      <c r="G1114"/>
      <c r="H1114"/>
      <c r="I1114"/>
    </row>
    <row r="1115" spans="2:9" ht="15">
      <c r="B1115"/>
      <c r="C1115"/>
      <c r="D1115"/>
      <c r="E1115"/>
      <c r="F1115"/>
      <c r="G1115"/>
      <c r="H1115"/>
      <c r="I1115"/>
    </row>
    <row r="1116" spans="2:9" ht="15">
      <c r="B1116"/>
      <c r="C1116"/>
      <c r="D1116"/>
      <c r="E1116"/>
      <c r="F1116"/>
      <c r="G1116"/>
      <c r="H1116"/>
      <c r="I1116"/>
    </row>
    <row r="1117" spans="2:9" ht="15">
      <c r="B1117"/>
      <c r="C1117"/>
      <c r="D1117"/>
      <c r="E1117"/>
      <c r="F1117"/>
      <c r="G1117"/>
      <c r="H1117"/>
      <c r="I1117"/>
    </row>
    <row r="1118" spans="2:9" ht="15">
      <c r="B1118"/>
      <c r="C1118"/>
      <c r="D1118"/>
      <c r="E1118"/>
      <c r="F1118"/>
      <c r="G1118"/>
      <c r="H1118"/>
      <c r="I1118"/>
    </row>
    <row r="1119" spans="2:9" ht="15">
      <c r="B1119"/>
      <c r="C1119"/>
      <c r="D1119"/>
      <c r="E1119"/>
      <c r="F1119"/>
      <c r="G1119"/>
      <c r="H1119"/>
      <c r="I1119"/>
    </row>
    <row r="1120" spans="2:9" ht="15">
      <c r="B1120"/>
      <c r="C1120"/>
      <c r="D1120"/>
      <c r="E1120"/>
      <c r="F1120"/>
      <c r="G1120"/>
      <c r="H1120"/>
      <c r="I1120"/>
    </row>
    <row r="1121" spans="2:9" ht="15">
      <c r="B1121"/>
      <c r="C1121"/>
      <c r="D1121"/>
      <c r="E1121"/>
      <c r="F1121"/>
      <c r="G1121"/>
      <c r="H1121"/>
      <c r="I1121"/>
    </row>
    <row r="1122" spans="2:9" ht="15">
      <c r="B1122"/>
      <c r="C1122"/>
      <c r="D1122"/>
      <c r="E1122"/>
      <c r="F1122"/>
      <c r="G1122"/>
      <c r="H1122"/>
      <c r="I1122"/>
    </row>
    <row r="1123" spans="2:9" ht="15">
      <c r="B1123"/>
      <c r="C1123"/>
      <c r="D1123"/>
      <c r="E1123"/>
      <c r="F1123"/>
      <c r="G1123"/>
      <c r="H1123"/>
      <c r="I1123"/>
    </row>
    <row r="1124" spans="2:9" ht="15">
      <c r="B1124"/>
      <c r="C1124"/>
      <c r="D1124"/>
      <c r="E1124"/>
      <c r="F1124"/>
      <c r="G1124"/>
      <c r="H1124"/>
      <c r="I1124"/>
    </row>
    <row r="1125" spans="2:9" ht="15">
      <c r="B1125"/>
      <c r="C1125"/>
      <c r="D1125"/>
      <c r="E1125"/>
      <c r="F1125"/>
      <c r="G1125"/>
      <c r="H1125"/>
      <c r="I1125"/>
    </row>
    <row r="1126" spans="2:9" ht="15">
      <c r="B1126"/>
      <c r="C1126"/>
      <c r="D1126"/>
      <c r="E1126"/>
      <c r="F1126"/>
      <c r="G1126"/>
      <c r="H1126"/>
      <c r="I1126"/>
    </row>
    <row r="1127" spans="2:9" ht="15">
      <c r="B1127"/>
      <c r="C1127"/>
      <c r="D1127"/>
      <c r="E1127"/>
      <c r="F1127"/>
      <c r="G1127"/>
      <c r="H1127"/>
      <c r="I1127"/>
    </row>
    <row r="1128" spans="2:9" ht="15">
      <c r="B1128"/>
      <c r="C1128"/>
      <c r="D1128"/>
      <c r="E1128"/>
      <c r="F1128"/>
      <c r="G1128"/>
      <c r="H1128"/>
      <c r="I1128"/>
    </row>
    <row r="1129" spans="2:9" ht="15">
      <c r="B1129"/>
      <c r="C1129"/>
      <c r="D1129"/>
      <c r="E1129"/>
      <c r="F1129"/>
      <c r="G1129"/>
      <c r="H1129"/>
      <c r="I1129"/>
    </row>
    <row r="1130" spans="2:9" ht="15">
      <c r="B1130"/>
      <c r="C1130"/>
      <c r="D1130"/>
      <c r="E1130"/>
      <c r="F1130"/>
      <c r="G1130"/>
      <c r="H1130"/>
      <c r="I1130"/>
    </row>
    <row r="1131" spans="2:9" ht="15">
      <c r="B1131"/>
      <c r="C1131"/>
      <c r="D1131"/>
      <c r="E1131"/>
      <c r="F1131"/>
      <c r="G1131"/>
      <c r="H1131"/>
      <c r="I1131"/>
    </row>
    <row r="1132" spans="2:9" ht="15">
      <c r="B1132"/>
      <c r="C1132"/>
      <c r="D1132"/>
      <c r="E1132"/>
      <c r="F1132"/>
      <c r="G1132"/>
      <c r="H1132"/>
      <c r="I1132"/>
    </row>
    <row r="1133" spans="2:9" ht="15">
      <c r="B1133"/>
      <c r="C1133"/>
      <c r="D1133"/>
      <c r="E1133"/>
      <c r="F1133"/>
      <c r="G1133"/>
      <c r="H1133"/>
      <c r="I1133"/>
    </row>
    <row r="1134" spans="2:9" ht="15">
      <c r="B1134"/>
      <c r="C1134"/>
      <c r="D1134"/>
      <c r="E1134"/>
      <c r="F1134"/>
      <c r="G1134"/>
      <c r="H1134"/>
      <c r="I1134"/>
    </row>
    <row r="1135" spans="2:9" ht="15">
      <c r="B1135"/>
      <c r="C1135"/>
      <c r="D1135"/>
      <c r="E1135"/>
      <c r="F1135"/>
      <c r="G1135"/>
      <c r="H1135"/>
      <c r="I1135"/>
    </row>
    <row r="1136" spans="2:9" ht="15">
      <c r="B1136"/>
      <c r="C1136"/>
      <c r="D1136"/>
      <c r="E1136"/>
      <c r="F1136"/>
      <c r="G1136"/>
      <c r="H1136"/>
      <c r="I1136"/>
    </row>
    <row r="1137" spans="2:9" ht="15">
      <c r="B1137"/>
      <c r="C1137"/>
      <c r="D1137"/>
      <c r="E1137"/>
      <c r="F1137"/>
      <c r="G1137"/>
      <c r="H1137"/>
      <c r="I1137"/>
    </row>
    <row r="1138" spans="2:9" ht="15">
      <c r="B1138"/>
      <c r="C1138"/>
      <c r="D1138"/>
      <c r="E1138"/>
      <c r="F1138"/>
      <c r="G1138"/>
      <c r="H1138"/>
      <c r="I1138"/>
    </row>
    <row r="1139" spans="2:9" ht="15">
      <c r="B1139"/>
      <c r="C1139"/>
      <c r="D1139"/>
      <c r="E1139"/>
      <c r="F1139"/>
      <c r="G1139"/>
      <c r="H1139"/>
      <c r="I1139"/>
    </row>
    <row r="1140" spans="2:9" ht="15">
      <c r="B1140"/>
      <c r="C1140"/>
      <c r="D1140"/>
      <c r="E1140"/>
      <c r="F1140"/>
      <c r="G1140"/>
      <c r="H1140"/>
      <c r="I1140"/>
    </row>
    <row r="1141" spans="2:9" ht="15">
      <c r="B1141"/>
      <c r="C1141"/>
      <c r="D1141"/>
      <c r="E1141"/>
      <c r="F1141"/>
      <c r="G1141"/>
      <c r="H1141"/>
      <c r="I1141"/>
    </row>
    <row r="1142" spans="2:9" ht="15">
      <c r="B1142"/>
      <c r="C1142"/>
      <c r="D1142"/>
      <c r="E1142"/>
      <c r="F1142"/>
      <c r="G1142"/>
      <c r="H1142"/>
      <c r="I1142"/>
    </row>
    <row r="1143" spans="2:9" ht="15">
      <c r="B1143"/>
      <c r="C1143"/>
      <c r="D1143"/>
      <c r="E1143"/>
      <c r="F1143"/>
      <c r="G1143"/>
      <c r="H1143"/>
      <c r="I1143"/>
    </row>
    <row r="1144" spans="2:9" ht="15">
      <c r="B1144"/>
      <c r="C1144"/>
      <c r="D1144"/>
      <c r="E1144"/>
      <c r="F1144"/>
      <c r="G1144"/>
      <c r="H1144"/>
      <c r="I1144"/>
    </row>
    <row r="1145" spans="2:9" ht="15">
      <c r="B1145"/>
      <c r="C1145"/>
      <c r="D1145"/>
      <c r="E1145"/>
      <c r="F1145"/>
      <c r="G1145"/>
      <c r="H1145"/>
      <c r="I1145"/>
    </row>
    <row r="1146" spans="2:9" ht="15">
      <c r="B1146"/>
      <c r="C1146"/>
      <c r="D1146"/>
      <c r="E1146"/>
      <c r="F1146"/>
      <c r="G1146"/>
      <c r="H1146"/>
      <c r="I1146"/>
    </row>
    <row r="1147" spans="2:9" ht="15">
      <c r="B1147"/>
      <c r="C1147"/>
      <c r="D1147"/>
      <c r="E1147"/>
      <c r="F1147"/>
      <c r="G1147"/>
      <c r="H1147"/>
      <c r="I1147"/>
    </row>
    <row r="1148" spans="2:9" ht="15">
      <c r="B1148"/>
      <c r="C1148"/>
      <c r="D1148"/>
      <c r="E1148"/>
      <c r="F1148"/>
      <c r="G1148"/>
      <c r="H1148"/>
      <c r="I1148"/>
    </row>
    <row r="1149" spans="2:9" ht="15">
      <c r="B1149"/>
      <c r="C1149"/>
      <c r="D1149"/>
      <c r="E1149"/>
      <c r="F1149"/>
      <c r="G1149"/>
      <c r="H1149"/>
      <c r="I1149"/>
    </row>
    <row r="1150" spans="2:9" ht="15">
      <c r="B1150"/>
      <c r="C1150"/>
      <c r="D1150"/>
      <c r="E1150"/>
      <c r="F1150"/>
      <c r="G1150"/>
      <c r="H1150"/>
      <c r="I1150"/>
    </row>
    <row r="1151" spans="2:9" ht="15">
      <c r="B1151"/>
      <c r="C1151"/>
      <c r="D1151"/>
      <c r="E1151"/>
      <c r="F1151"/>
      <c r="G1151"/>
      <c r="H1151"/>
      <c r="I1151"/>
    </row>
    <row r="1152" spans="2:9" ht="15">
      <c r="B1152"/>
      <c r="C1152"/>
      <c r="D1152"/>
      <c r="E1152"/>
      <c r="F1152"/>
      <c r="G1152"/>
      <c r="H1152"/>
      <c r="I1152"/>
    </row>
    <row r="1153" spans="2:9" ht="15">
      <c r="B1153"/>
      <c r="C1153"/>
      <c r="D1153"/>
      <c r="E1153"/>
      <c r="F1153"/>
      <c r="G1153"/>
      <c r="H1153"/>
      <c r="I1153"/>
    </row>
    <row r="1154" spans="2:9" ht="15">
      <c r="B1154"/>
      <c r="C1154"/>
      <c r="D1154"/>
      <c r="E1154"/>
      <c r="F1154"/>
      <c r="G1154"/>
      <c r="H1154"/>
      <c r="I1154"/>
    </row>
    <row r="1155" spans="2:9" ht="15">
      <c r="B1155"/>
      <c r="C1155"/>
      <c r="D1155"/>
      <c r="E1155"/>
      <c r="F1155"/>
      <c r="G1155"/>
      <c r="H1155"/>
      <c r="I1155"/>
    </row>
    <row r="1156" spans="2:9" ht="15">
      <c r="B1156"/>
      <c r="C1156"/>
      <c r="D1156"/>
      <c r="E1156"/>
      <c r="F1156"/>
      <c r="G1156"/>
      <c r="H1156"/>
      <c r="I1156"/>
    </row>
    <row r="1157" spans="2:9" ht="15">
      <c r="B1157"/>
      <c r="C1157"/>
      <c r="D1157"/>
      <c r="E1157"/>
      <c r="F1157"/>
      <c r="G1157"/>
      <c r="H1157"/>
      <c r="I1157"/>
    </row>
    <row r="1158" spans="2:9" ht="15">
      <c r="B1158"/>
      <c r="C1158"/>
      <c r="D1158"/>
      <c r="E1158"/>
      <c r="F1158"/>
      <c r="G1158"/>
      <c r="H1158"/>
      <c r="I1158"/>
    </row>
    <row r="1159" spans="2:9" ht="15">
      <c r="B1159"/>
      <c r="C1159"/>
      <c r="D1159"/>
      <c r="E1159"/>
      <c r="F1159"/>
      <c r="G1159"/>
      <c r="H1159"/>
      <c r="I1159"/>
    </row>
    <row r="1160" spans="2:9" ht="15">
      <c r="B1160"/>
      <c r="C1160"/>
      <c r="D1160"/>
      <c r="E1160"/>
      <c r="F1160"/>
      <c r="G1160"/>
      <c r="H1160"/>
      <c r="I1160"/>
    </row>
    <row r="1161" spans="2:9" ht="15">
      <c r="B1161"/>
      <c r="C1161"/>
      <c r="D1161"/>
      <c r="E1161"/>
      <c r="F1161"/>
      <c r="G1161"/>
      <c r="H1161"/>
      <c r="I1161"/>
    </row>
    <row r="1162" spans="2:9" ht="15">
      <c r="B1162"/>
      <c r="C1162"/>
      <c r="D1162"/>
      <c r="E1162"/>
      <c r="F1162"/>
      <c r="G1162"/>
      <c r="H1162"/>
      <c r="I1162"/>
    </row>
    <row r="1163" spans="2:9" ht="15">
      <c r="B1163"/>
      <c r="C1163"/>
      <c r="D1163"/>
      <c r="E1163"/>
      <c r="F1163"/>
      <c r="G1163"/>
      <c r="H1163"/>
      <c r="I1163"/>
    </row>
    <row r="1164" spans="2:9" ht="15">
      <c r="B1164"/>
      <c r="C1164"/>
      <c r="D1164"/>
      <c r="E1164"/>
      <c r="F1164"/>
      <c r="G1164"/>
      <c r="H1164"/>
      <c r="I1164"/>
    </row>
    <row r="1165" spans="2:9" ht="15">
      <c r="B1165"/>
      <c r="C1165"/>
      <c r="D1165"/>
      <c r="E1165"/>
      <c r="F1165"/>
      <c r="G1165"/>
      <c r="H1165"/>
      <c r="I1165"/>
    </row>
    <row r="1166" spans="2:9" ht="15">
      <c r="B1166"/>
      <c r="C1166"/>
      <c r="D1166"/>
      <c r="E1166"/>
      <c r="F1166"/>
      <c r="G1166"/>
      <c r="H1166"/>
      <c r="I1166"/>
    </row>
    <row r="1167" spans="2:9" ht="15">
      <c r="B1167"/>
      <c r="C1167"/>
      <c r="D1167"/>
      <c r="E1167"/>
      <c r="F1167"/>
      <c r="G1167"/>
      <c r="H1167"/>
      <c r="I1167"/>
    </row>
    <row r="1168" spans="2:9" ht="15">
      <c r="B1168"/>
      <c r="C1168"/>
      <c r="D1168"/>
      <c r="E1168"/>
      <c r="F1168"/>
      <c r="G1168"/>
      <c r="H1168"/>
      <c r="I1168"/>
    </row>
    <row r="1169" spans="2:9" ht="15">
      <c r="B1169"/>
      <c r="C1169"/>
      <c r="D1169"/>
      <c r="E1169"/>
      <c r="F1169"/>
      <c r="G1169"/>
      <c r="H1169"/>
      <c r="I1169"/>
    </row>
    <row r="1170" spans="2:9" ht="15">
      <c r="B1170"/>
      <c r="C1170"/>
      <c r="D1170"/>
      <c r="E1170"/>
      <c r="F1170"/>
      <c r="G1170"/>
      <c r="H1170"/>
      <c r="I1170"/>
    </row>
    <row r="1171" spans="2:9" ht="15">
      <c r="B1171"/>
      <c r="C1171"/>
      <c r="D1171"/>
      <c r="E1171"/>
      <c r="F1171"/>
      <c r="G1171"/>
      <c r="H1171"/>
      <c r="I1171"/>
    </row>
    <row r="1172" spans="2:9" ht="15">
      <c r="B1172"/>
      <c r="C1172"/>
      <c r="D1172"/>
      <c r="E1172"/>
      <c r="F1172"/>
      <c r="G1172"/>
      <c r="H1172"/>
      <c r="I1172"/>
    </row>
    <row r="1173" spans="2:9" ht="15">
      <c r="B1173"/>
      <c r="C1173"/>
      <c r="D1173"/>
      <c r="E1173"/>
      <c r="F1173"/>
      <c r="G1173"/>
      <c r="H1173"/>
      <c r="I1173"/>
    </row>
    <row r="1174" spans="2:9" ht="15">
      <c r="B1174"/>
      <c r="C1174"/>
      <c r="D1174"/>
      <c r="E1174"/>
      <c r="F1174"/>
      <c r="G1174"/>
      <c r="H1174"/>
      <c r="I1174"/>
    </row>
    <row r="1175" spans="2:9" ht="15">
      <c r="B1175"/>
      <c r="C1175"/>
      <c r="D1175"/>
      <c r="E1175"/>
      <c r="F1175"/>
      <c r="G1175"/>
      <c r="H1175"/>
      <c r="I1175"/>
    </row>
    <row r="1176" spans="2:9" ht="15">
      <c r="B1176"/>
      <c r="C1176"/>
      <c r="D1176"/>
      <c r="E1176"/>
      <c r="F1176"/>
      <c r="G1176"/>
      <c r="H1176"/>
      <c r="I1176"/>
    </row>
    <row r="1177" spans="2:9" ht="15">
      <c r="B1177"/>
      <c r="C1177"/>
      <c r="D1177"/>
      <c r="E1177"/>
      <c r="F1177"/>
      <c r="G1177"/>
      <c r="H1177"/>
      <c r="I1177"/>
    </row>
    <row r="1178" spans="2:9" ht="15">
      <c r="B1178"/>
      <c r="C1178"/>
      <c r="D1178"/>
      <c r="E1178"/>
      <c r="F1178"/>
      <c r="G1178"/>
      <c r="H1178"/>
      <c r="I1178"/>
    </row>
    <row r="1179" spans="2:9" ht="15">
      <c r="B1179"/>
      <c r="C1179"/>
      <c r="D1179"/>
      <c r="E1179"/>
      <c r="F1179"/>
      <c r="G1179"/>
      <c r="H1179"/>
      <c r="I1179"/>
    </row>
    <row r="1180" spans="2:9" ht="15">
      <c r="B1180"/>
      <c r="C1180"/>
      <c r="D1180"/>
      <c r="E1180"/>
      <c r="F1180"/>
      <c r="G1180"/>
      <c r="H1180"/>
      <c r="I1180"/>
    </row>
    <row r="1181" spans="2:9" ht="15">
      <c r="B1181"/>
      <c r="C1181"/>
      <c r="D1181"/>
      <c r="E1181"/>
      <c r="F1181"/>
      <c r="G1181"/>
      <c r="H1181"/>
      <c r="I1181"/>
    </row>
    <row r="1182" spans="2:9" ht="15">
      <c r="B1182"/>
      <c r="C1182"/>
      <c r="D1182"/>
      <c r="E1182"/>
      <c r="F1182"/>
      <c r="G1182"/>
      <c r="H1182"/>
      <c r="I1182"/>
    </row>
    <row r="1183" spans="2:9" ht="15">
      <c r="B1183"/>
      <c r="C1183"/>
      <c r="D1183"/>
      <c r="E1183"/>
      <c r="F1183"/>
      <c r="G1183"/>
      <c r="H1183"/>
      <c r="I1183"/>
    </row>
    <row r="1184" spans="2:9" ht="15">
      <c r="B1184"/>
      <c r="C1184"/>
      <c r="D1184"/>
      <c r="E1184"/>
      <c r="F1184"/>
      <c r="G1184"/>
      <c r="H1184"/>
      <c r="I1184"/>
    </row>
    <row r="1185" spans="2:9" ht="15">
      <c r="B1185"/>
      <c r="C1185"/>
      <c r="D1185"/>
      <c r="E1185"/>
      <c r="F1185"/>
      <c r="G1185"/>
      <c r="H1185"/>
      <c r="I1185"/>
    </row>
    <row r="1186" spans="2:9" ht="13.5" customHeight="1">
      <c r="B1186"/>
      <c r="C1186"/>
      <c r="D1186"/>
      <c r="E1186"/>
      <c r="F1186"/>
      <c r="G1186"/>
      <c r="H1186"/>
      <c r="I1186"/>
    </row>
    <row r="1187" spans="2:9" ht="15">
      <c r="B1187"/>
      <c r="C1187"/>
      <c r="D1187"/>
      <c r="E1187"/>
      <c r="F1187"/>
      <c r="G1187"/>
      <c r="H1187"/>
      <c r="I1187"/>
    </row>
    <row r="1188" spans="2:9" ht="15">
      <c r="B1188"/>
      <c r="C1188"/>
      <c r="D1188"/>
      <c r="E1188"/>
      <c r="F1188"/>
      <c r="G1188"/>
      <c r="H1188"/>
      <c r="I1188"/>
    </row>
    <row r="1189" spans="2:9" ht="15">
      <c r="B1189"/>
      <c r="C1189"/>
      <c r="D1189"/>
      <c r="E1189"/>
      <c r="F1189"/>
      <c r="G1189"/>
      <c r="H1189"/>
      <c r="I1189"/>
    </row>
    <row r="1190" spans="2:9" ht="15">
      <c r="B1190"/>
      <c r="C1190"/>
      <c r="D1190"/>
      <c r="E1190"/>
      <c r="F1190"/>
      <c r="G1190"/>
      <c r="H1190"/>
      <c r="I1190"/>
    </row>
    <row r="1191" spans="2:9" ht="15">
      <c r="B1191"/>
      <c r="C1191"/>
      <c r="D1191"/>
      <c r="E1191"/>
      <c r="F1191"/>
      <c r="G1191"/>
      <c r="H1191"/>
      <c r="I1191"/>
    </row>
    <row r="1192" spans="2:9" ht="15">
      <c r="B1192"/>
      <c r="C1192"/>
      <c r="D1192"/>
      <c r="E1192"/>
      <c r="F1192"/>
      <c r="G1192"/>
      <c r="H1192"/>
      <c r="I1192"/>
    </row>
    <row r="1193" spans="2:9" ht="15">
      <c r="B1193"/>
      <c r="C1193"/>
      <c r="D1193"/>
      <c r="E1193"/>
      <c r="F1193"/>
      <c r="G1193"/>
      <c r="H1193"/>
      <c r="I1193"/>
    </row>
    <row r="1194" spans="2:9" ht="15">
      <c r="B1194"/>
      <c r="C1194"/>
      <c r="D1194"/>
      <c r="E1194"/>
      <c r="F1194"/>
      <c r="G1194"/>
      <c r="H1194"/>
      <c r="I1194"/>
    </row>
    <row r="1195" spans="2:9" ht="15">
      <c r="B1195"/>
      <c r="C1195"/>
      <c r="D1195"/>
      <c r="E1195"/>
      <c r="F1195"/>
      <c r="G1195"/>
      <c r="H1195"/>
      <c r="I1195"/>
    </row>
    <row r="1196" spans="2:9" ht="15">
      <c r="B1196"/>
      <c r="C1196"/>
      <c r="D1196"/>
      <c r="E1196"/>
      <c r="F1196"/>
      <c r="G1196"/>
      <c r="H1196"/>
      <c r="I1196"/>
    </row>
    <row r="1197" spans="2:9" ht="15">
      <c r="B1197"/>
      <c r="C1197"/>
      <c r="D1197"/>
      <c r="E1197"/>
      <c r="F1197"/>
      <c r="G1197"/>
      <c r="H1197"/>
      <c r="I1197"/>
    </row>
    <row r="1198" spans="2:9" ht="15">
      <c r="B1198"/>
      <c r="C1198"/>
      <c r="D1198"/>
      <c r="E1198"/>
      <c r="F1198"/>
      <c r="G1198"/>
      <c r="H1198"/>
      <c r="I1198"/>
    </row>
    <row r="1199" spans="2:9" ht="15">
      <c r="B1199"/>
      <c r="C1199"/>
      <c r="D1199"/>
      <c r="E1199"/>
      <c r="F1199"/>
      <c r="G1199"/>
      <c r="H1199"/>
      <c r="I1199"/>
    </row>
    <row r="1200" spans="2:9" ht="15">
      <c r="B1200"/>
      <c r="C1200"/>
      <c r="D1200"/>
      <c r="E1200"/>
      <c r="F1200"/>
      <c r="G1200"/>
      <c r="H1200"/>
      <c r="I1200"/>
    </row>
    <row r="1201" spans="2:9" ht="15">
      <c r="B1201"/>
      <c r="C1201"/>
      <c r="D1201"/>
      <c r="E1201"/>
      <c r="F1201"/>
      <c r="G1201"/>
      <c r="H1201"/>
      <c r="I1201"/>
    </row>
    <row r="1202" spans="2:9" ht="15">
      <c r="B1202"/>
      <c r="C1202"/>
      <c r="D1202"/>
      <c r="E1202"/>
      <c r="F1202"/>
      <c r="G1202"/>
      <c r="H1202"/>
      <c r="I1202"/>
    </row>
    <row r="1203" spans="2:9" ht="15">
      <c r="B1203"/>
      <c r="C1203"/>
      <c r="D1203"/>
      <c r="E1203"/>
      <c r="F1203"/>
      <c r="G1203"/>
      <c r="H1203"/>
      <c r="I1203"/>
    </row>
    <row r="1204" spans="2:9" ht="15">
      <c r="B1204"/>
      <c r="C1204"/>
      <c r="D1204"/>
      <c r="E1204"/>
      <c r="F1204"/>
      <c r="G1204"/>
      <c r="H1204"/>
      <c r="I1204"/>
    </row>
    <row r="1205" spans="2:9" ht="15">
      <c r="B1205"/>
      <c r="C1205"/>
      <c r="D1205"/>
      <c r="E1205"/>
      <c r="F1205"/>
      <c r="G1205"/>
      <c r="H1205"/>
      <c r="I1205"/>
    </row>
    <row r="1206" spans="2:9" ht="15">
      <c r="B1206"/>
      <c r="C1206"/>
      <c r="D1206"/>
      <c r="E1206"/>
      <c r="F1206"/>
      <c r="G1206"/>
      <c r="H1206"/>
      <c r="I1206"/>
    </row>
    <row r="1207" spans="2:9" ht="15">
      <c r="B1207"/>
      <c r="C1207"/>
      <c r="D1207"/>
      <c r="E1207"/>
      <c r="F1207"/>
      <c r="G1207"/>
      <c r="H1207"/>
      <c r="I1207"/>
    </row>
    <row r="1208" spans="2:9" ht="15">
      <c r="B1208"/>
      <c r="C1208"/>
      <c r="D1208"/>
      <c r="E1208"/>
      <c r="F1208"/>
      <c r="G1208"/>
      <c r="H1208"/>
      <c r="I1208"/>
    </row>
    <row r="1209" spans="2:9" ht="15">
      <c r="B1209"/>
      <c r="C1209"/>
      <c r="D1209"/>
      <c r="E1209"/>
      <c r="F1209"/>
      <c r="G1209"/>
      <c r="H1209"/>
      <c r="I1209"/>
    </row>
    <row r="1210" spans="2:9" ht="15">
      <c r="B1210"/>
      <c r="C1210"/>
      <c r="D1210"/>
      <c r="E1210"/>
      <c r="F1210"/>
      <c r="G1210"/>
      <c r="H1210"/>
      <c r="I1210"/>
    </row>
    <row r="1211" spans="2:9" ht="15">
      <c r="B1211"/>
      <c r="C1211"/>
      <c r="D1211"/>
      <c r="E1211"/>
      <c r="F1211"/>
      <c r="G1211"/>
      <c r="H1211"/>
      <c r="I1211"/>
    </row>
    <row r="1212" spans="2:9" ht="15">
      <c r="B1212"/>
      <c r="C1212"/>
      <c r="D1212"/>
      <c r="E1212"/>
      <c r="F1212"/>
      <c r="G1212"/>
      <c r="H1212"/>
      <c r="I1212"/>
    </row>
    <row r="1213" spans="2:9" ht="15">
      <c r="B1213"/>
      <c r="C1213"/>
      <c r="D1213"/>
      <c r="E1213"/>
      <c r="F1213"/>
      <c r="G1213"/>
      <c r="H1213"/>
      <c r="I1213"/>
    </row>
    <row r="1214" spans="2:9" ht="15">
      <c r="B1214"/>
      <c r="C1214"/>
      <c r="D1214"/>
      <c r="E1214"/>
      <c r="F1214"/>
      <c r="G1214"/>
      <c r="H1214"/>
      <c r="I1214"/>
    </row>
    <row r="1215" spans="2:9" ht="15">
      <c r="B1215"/>
      <c r="C1215"/>
      <c r="D1215"/>
      <c r="E1215"/>
      <c r="F1215"/>
      <c r="G1215"/>
      <c r="H1215"/>
      <c r="I1215"/>
    </row>
    <row r="1216" spans="2:9" ht="15">
      <c r="B1216"/>
      <c r="C1216"/>
      <c r="D1216"/>
      <c r="E1216"/>
      <c r="F1216"/>
      <c r="G1216"/>
      <c r="H1216"/>
      <c r="I1216"/>
    </row>
    <row r="1217" spans="2:9" ht="15">
      <c r="B1217"/>
      <c r="C1217"/>
      <c r="D1217"/>
      <c r="E1217"/>
      <c r="F1217"/>
      <c r="G1217"/>
      <c r="H1217"/>
      <c r="I1217"/>
    </row>
    <row r="1218" spans="2:9" ht="15">
      <c r="B1218"/>
      <c r="C1218"/>
      <c r="D1218"/>
      <c r="E1218"/>
      <c r="F1218"/>
      <c r="G1218"/>
      <c r="H1218"/>
      <c r="I1218"/>
    </row>
    <row r="1219" spans="2:9" ht="15">
      <c r="B1219"/>
      <c r="C1219"/>
      <c r="D1219"/>
      <c r="E1219"/>
      <c r="F1219"/>
      <c r="G1219"/>
      <c r="H1219"/>
      <c r="I1219"/>
    </row>
    <row r="1220" spans="2:9" ht="15">
      <c r="B1220"/>
      <c r="C1220"/>
      <c r="D1220"/>
      <c r="E1220"/>
      <c r="F1220"/>
      <c r="G1220"/>
      <c r="H1220"/>
      <c r="I1220"/>
    </row>
    <row r="1221" spans="2:9" ht="15">
      <c r="B1221"/>
      <c r="C1221"/>
      <c r="D1221"/>
      <c r="E1221"/>
      <c r="F1221"/>
      <c r="G1221"/>
      <c r="H1221"/>
      <c r="I1221"/>
    </row>
    <row r="1222" spans="2:9" ht="15">
      <c r="B1222"/>
      <c r="C1222"/>
      <c r="D1222"/>
      <c r="E1222"/>
      <c r="F1222"/>
      <c r="G1222"/>
      <c r="H1222"/>
      <c r="I1222"/>
    </row>
    <row r="1223" spans="2:9" ht="15">
      <c r="B1223"/>
      <c r="C1223"/>
      <c r="D1223"/>
      <c r="E1223"/>
      <c r="F1223"/>
      <c r="G1223"/>
      <c r="H1223"/>
      <c r="I1223"/>
    </row>
    <row r="1224" spans="2:9" ht="15">
      <c r="B1224"/>
      <c r="C1224"/>
      <c r="D1224"/>
      <c r="E1224"/>
      <c r="F1224"/>
      <c r="G1224"/>
      <c r="H1224"/>
      <c r="I1224"/>
    </row>
    <row r="1225" spans="2:9" ht="15">
      <c r="B1225"/>
      <c r="C1225"/>
      <c r="D1225"/>
      <c r="E1225"/>
      <c r="F1225"/>
      <c r="G1225"/>
      <c r="H1225"/>
      <c r="I1225"/>
    </row>
    <row r="1226" spans="2:9" ht="15">
      <c r="B1226"/>
      <c r="C1226"/>
      <c r="D1226"/>
      <c r="E1226"/>
      <c r="F1226"/>
      <c r="G1226"/>
      <c r="H1226"/>
      <c r="I1226"/>
    </row>
    <row r="1227" spans="2:9" ht="15">
      <c r="B1227"/>
      <c r="C1227"/>
      <c r="D1227"/>
      <c r="E1227"/>
      <c r="F1227"/>
      <c r="G1227"/>
      <c r="H1227"/>
      <c r="I1227"/>
    </row>
    <row r="1228" spans="2:9" ht="15">
      <c r="B1228"/>
      <c r="C1228"/>
      <c r="D1228"/>
      <c r="E1228"/>
      <c r="F1228"/>
      <c r="G1228"/>
      <c r="H1228"/>
      <c r="I1228"/>
    </row>
    <row r="1229" spans="2:9" ht="15">
      <c r="B1229"/>
      <c r="C1229"/>
      <c r="D1229"/>
      <c r="E1229"/>
      <c r="F1229"/>
      <c r="G1229"/>
      <c r="H1229"/>
      <c r="I1229"/>
    </row>
    <row r="1230" spans="2:9" ht="13.5" customHeight="1">
      <c r="B1230"/>
      <c r="C1230"/>
      <c r="D1230"/>
      <c r="E1230"/>
      <c r="F1230"/>
      <c r="G1230"/>
      <c r="H1230"/>
      <c r="I1230"/>
    </row>
    <row r="1231" spans="2:9" ht="15">
      <c r="B1231"/>
      <c r="C1231"/>
      <c r="D1231"/>
      <c r="E1231"/>
      <c r="F1231"/>
      <c r="G1231"/>
      <c r="H1231"/>
      <c r="I1231"/>
    </row>
    <row r="1232" spans="2:9" ht="15">
      <c r="B1232"/>
      <c r="C1232"/>
      <c r="D1232"/>
      <c r="E1232"/>
      <c r="F1232"/>
      <c r="G1232"/>
      <c r="H1232"/>
      <c r="I1232"/>
    </row>
    <row r="1233" spans="2:9" ht="15">
      <c r="B1233"/>
      <c r="C1233"/>
      <c r="D1233"/>
      <c r="E1233"/>
      <c r="F1233"/>
      <c r="G1233"/>
      <c r="H1233"/>
      <c r="I1233"/>
    </row>
    <row r="1234" spans="2:9" ht="15">
      <c r="B1234"/>
      <c r="C1234"/>
      <c r="D1234"/>
      <c r="E1234"/>
      <c r="F1234"/>
      <c r="G1234"/>
      <c r="H1234"/>
      <c r="I1234"/>
    </row>
    <row r="1235" spans="2:9" ht="15">
      <c r="B1235"/>
      <c r="C1235"/>
      <c r="D1235"/>
      <c r="E1235"/>
      <c r="F1235"/>
      <c r="G1235"/>
      <c r="H1235"/>
      <c r="I1235"/>
    </row>
    <row r="1236" spans="2:9" ht="15">
      <c r="B1236"/>
      <c r="C1236"/>
      <c r="D1236"/>
      <c r="E1236"/>
      <c r="F1236"/>
      <c r="G1236"/>
      <c r="H1236"/>
      <c r="I1236"/>
    </row>
    <row r="1237" spans="2:9" ht="15">
      <c r="B1237"/>
      <c r="C1237"/>
      <c r="D1237"/>
      <c r="E1237"/>
      <c r="F1237"/>
      <c r="G1237"/>
      <c r="H1237"/>
      <c r="I1237"/>
    </row>
    <row r="1238" spans="2:9" ht="15">
      <c r="B1238"/>
      <c r="C1238"/>
      <c r="D1238"/>
      <c r="E1238"/>
      <c r="F1238"/>
      <c r="G1238"/>
      <c r="H1238"/>
      <c r="I1238"/>
    </row>
    <row r="1239" spans="2:9" ht="15">
      <c r="B1239"/>
      <c r="C1239"/>
      <c r="D1239"/>
      <c r="E1239"/>
      <c r="F1239"/>
      <c r="G1239"/>
      <c r="H1239"/>
      <c r="I1239"/>
    </row>
    <row r="1240" spans="2:9" ht="15">
      <c r="B1240"/>
      <c r="C1240"/>
      <c r="D1240"/>
      <c r="E1240"/>
      <c r="F1240"/>
      <c r="G1240"/>
      <c r="H1240"/>
      <c r="I1240"/>
    </row>
    <row r="1241" spans="2:9" ht="15">
      <c r="B1241"/>
      <c r="C1241"/>
      <c r="D1241"/>
      <c r="E1241"/>
      <c r="F1241"/>
      <c r="G1241"/>
      <c r="H1241"/>
      <c r="I1241"/>
    </row>
    <row r="1242" spans="2:9" ht="15">
      <c r="B1242"/>
      <c r="C1242"/>
      <c r="D1242"/>
      <c r="E1242"/>
      <c r="F1242"/>
      <c r="G1242"/>
      <c r="H1242"/>
      <c r="I1242"/>
    </row>
    <row r="1243" spans="2:9" ht="15">
      <c r="B1243"/>
      <c r="C1243"/>
      <c r="D1243"/>
      <c r="E1243"/>
      <c r="F1243"/>
      <c r="G1243"/>
      <c r="H1243"/>
      <c r="I1243"/>
    </row>
    <row r="1244" spans="2:9" ht="15">
      <c r="B1244"/>
      <c r="C1244"/>
      <c r="D1244"/>
      <c r="E1244"/>
      <c r="F1244"/>
      <c r="G1244"/>
      <c r="H1244"/>
      <c r="I1244"/>
    </row>
    <row r="1245" spans="2:9" ht="15">
      <c r="B1245"/>
      <c r="C1245"/>
      <c r="D1245"/>
      <c r="E1245"/>
      <c r="F1245"/>
      <c r="G1245"/>
      <c r="H1245"/>
      <c r="I1245"/>
    </row>
    <row r="1246" spans="2:9" ht="15">
      <c r="B1246"/>
      <c r="C1246"/>
      <c r="D1246"/>
      <c r="E1246"/>
      <c r="F1246"/>
      <c r="G1246"/>
      <c r="H1246"/>
      <c r="I1246"/>
    </row>
    <row r="1247" spans="2:9" ht="15">
      <c r="B1247"/>
      <c r="C1247"/>
      <c r="D1247"/>
      <c r="E1247"/>
      <c r="F1247"/>
      <c r="G1247"/>
      <c r="H1247"/>
      <c r="I1247"/>
    </row>
    <row r="1248" spans="2:9" ht="15">
      <c r="B1248"/>
      <c r="C1248"/>
      <c r="D1248"/>
      <c r="E1248"/>
      <c r="F1248"/>
      <c r="G1248"/>
      <c r="H1248"/>
      <c r="I1248"/>
    </row>
    <row r="1249" spans="2:9" ht="15">
      <c r="B1249"/>
      <c r="C1249"/>
      <c r="D1249"/>
      <c r="E1249"/>
      <c r="F1249"/>
      <c r="G1249"/>
      <c r="H1249"/>
      <c r="I1249"/>
    </row>
    <row r="1250" spans="2:9" ht="15">
      <c r="B1250"/>
      <c r="C1250"/>
      <c r="D1250"/>
      <c r="E1250"/>
      <c r="F1250"/>
      <c r="G1250"/>
      <c r="H1250"/>
      <c r="I1250"/>
    </row>
    <row r="1251" spans="2:9" ht="15">
      <c r="B1251"/>
      <c r="C1251"/>
      <c r="D1251"/>
      <c r="E1251"/>
      <c r="F1251"/>
      <c r="G1251"/>
      <c r="H1251"/>
      <c r="I1251"/>
    </row>
    <row r="1252" spans="2:9" ht="15">
      <c r="B1252"/>
      <c r="C1252"/>
      <c r="D1252"/>
      <c r="E1252"/>
      <c r="F1252"/>
      <c r="G1252"/>
      <c r="H1252"/>
      <c r="I1252"/>
    </row>
    <row r="1253" spans="2:9" ht="15">
      <c r="B1253"/>
      <c r="C1253"/>
      <c r="D1253"/>
      <c r="E1253"/>
      <c r="F1253"/>
      <c r="G1253"/>
      <c r="H1253"/>
      <c r="I1253"/>
    </row>
    <row r="1254" spans="2:9" ht="15">
      <c r="B1254"/>
      <c r="C1254"/>
      <c r="D1254"/>
      <c r="E1254"/>
      <c r="F1254"/>
      <c r="G1254"/>
      <c r="H1254"/>
      <c r="I1254"/>
    </row>
    <row r="1255" spans="2:9" ht="15">
      <c r="B1255"/>
      <c r="C1255"/>
      <c r="D1255"/>
      <c r="E1255"/>
      <c r="F1255"/>
      <c r="G1255"/>
      <c r="H1255"/>
      <c r="I1255"/>
    </row>
    <row r="1256" spans="2:9" ht="15">
      <c r="B1256"/>
      <c r="C1256"/>
      <c r="D1256"/>
      <c r="E1256"/>
      <c r="F1256"/>
      <c r="G1256"/>
      <c r="H1256"/>
      <c r="I1256"/>
    </row>
    <row r="1257" spans="2:9" ht="15">
      <c r="B1257"/>
      <c r="C1257"/>
      <c r="D1257"/>
      <c r="E1257"/>
      <c r="F1257"/>
      <c r="G1257"/>
      <c r="H1257"/>
      <c r="I1257"/>
    </row>
    <row r="1258" spans="2:9" ht="15">
      <c r="B1258"/>
      <c r="C1258"/>
      <c r="D1258"/>
      <c r="E1258"/>
      <c r="F1258"/>
      <c r="G1258"/>
      <c r="H1258"/>
      <c r="I1258"/>
    </row>
    <row r="1259" spans="2:9" ht="15">
      <c r="B1259"/>
      <c r="C1259"/>
      <c r="D1259"/>
      <c r="E1259"/>
      <c r="F1259"/>
      <c r="G1259"/>
      <c r="H1259"/>
      <c r="I1259"/>
    </row>
    <row r="1260" spans="2:9" ht="15">
      <c r="B1260"/>
      <c r="C1260"/>
      <c r="D1260"/>
      <c r="E1260"/>
      <c r="F1260"/>
      <c r="G1260"/>
      <c r="H1260"/>
      <c r="I1260"/>
    </row>
    <row r="1261" spans="2:9" ht="15">
      <c r="B1261"/>
      <c r="C1261"/>
      <c r="D1261"/>
      <c r="E1261"/>
      <c r="F1261"/>
      <c r="G1261"/>
      <c r="H1261"/>
      <c r="I1261"/>
    </row>
    <row r="1262" spans="2:9" ht="15">
      <c r="B1262"/>
      <c r="C1262"/>
      <c r="D1262"/>
      <c r="E1262"/>
      <c r="F1262"/>
      <c r="G1262"/>
      <c r="H1262"/>
      <c r="I1262"/>
    </row>
    <row r="1263" spans="2:9" ht="15">
      <c r="B1263"/>
      <c r="C1263"/>
      <c r="D1263"/>
      <c r="E1263"/>
      <c r="F1263"/>
      <c r="G1263"/>
      <c r="H1263"/>
      <c r="I1263"/>
    </row>
    <row r="1264" spans="2:9" ht="15">
      <c r="B1264"/>
      <c r="C1264"/>
      <c r="D1264"/>
      <c r="E1264"/>
      <c r="F1264"/>
      <c r="G1264"/>
      <c r="H1264"/>
      <c r="I1264"/>
    </row>
    <row r="1265" spans="2:9" ht="15">
      <c r="B1265"/>
      <c r="C1265"/>
      <c r="D1265"/>
      <c r="E1265"/>
      <c r="F1265"/>
      <c r="G1265"/>
      <c r="H1265"/>
      <c r="I1265"/>
    </row>
    <row r="1266" spans="2:9" ht="15">
      <c r="B1266"/>
      <c r="C1266"/>
      <c r="D1266"/>
      <c r="E1266"/>
      <c r="F1266"/>
      <c r="G1266"/>
      <c r="H1266"/>
      <c r="I1266"/>
    </row>
    <row r="1267" spans="2:9" ht="15">
      <c r="B1267"/>
      <c r="C1267"/>
      <c r="D1267"/>
      <c r="E1267"/>
      <c r="F1267"/>
      <c r="G1267"/>
      <c r="H1267"/>
      <c r="I1267"/>
    </row>
    <row r="1268" spans="2:9" ht="15">
      <c r="B1268"/>
      <c r="C1268"/>
      <c r="D1268"/>
      <c r="E1268"/>
      <c r="F1268"/>
      <c r="G1268"/>
      <c r="H1268"/>
      <c r="I1268"/>
    </row>
    <row r="1269" spans="2:9" ht="15">
      <c r="B1269"/>
      <c r="C1269"/>
      <c r="D1269"/>
      <c r="E1269"/>
      <c r="F1269"/>
      <c r="G1269"/>
      <c r="H1269"/>
      <c r="I1269"/>
    </row>
    <row r="1270" spans="2:9" ht="15">
      <c r="B1270"/>
      <c r="C1270"/>
      <c r="D1270"/>
      <c r="E1270"/>
      <c r="F1270"/>
      <c r="G1270"/>
      <c r="H1270"/>
      <c r="I1270"/>
    </row>
    <row r="1271" spans="2:9" ht="15">
      <c r="B1271"/>
      <c r="C1271"/>
      <c r="D1271"/>
      <c r="E1271"/>
      <c r="F1271"/>
      <c r="G1271"/>
      <c r="H1271"/>
      <c r="I1271"/>
    </row>
    <row r="1272" spans="2:9" ht="15">
      <c r="B1272"/>
      <c r="C1272"/>
      <c r="D1272"/>
      <c r="E1272"/>
      <c r="F1272"/>
      <c r="G1272"/>
      <c r="H1272"/>
      <c r="I1272"/>
    </row>
    <row r="1273" spans="2:9" ht="15">
      <c r="B1273"/>
      <c r="C1273"/>
      <c r="D1273"/>
      <c r="E1273"/>
      <c r="F1273"/>
      <c r="G1273"/>
      <c r="H1273"/>
      <c r="I1273"/>
    </row>
    <row r="1274" spans="2:9" ht="15">
      <c r="B1274"/>
      <c r="C1274"/>
      <c r="D1274"/>
      <c r="E1274"/>
      <c r="F1274"/>
      <c r="G1274"/>
      <c r="H1274"/>
      <c r="I1274"/>
    </row>
    <row r="1275" spans="2:9" ht="15">
      <c r="B1275"/>
      <c r="C1275"/>
      <c r="D1275"/>
      <c r="E1275"/>
      <c r="F1275"/>
      <c r="G1275"/>
      <c r="H1275"/>
      <c r="I1275"/>
    </row>
    <row r="1276" spans="2:9" ht="15">
      <c r="B1276"/>
      <c r="C1276"/>
      <c r="D1276"/>
      <c r="E1276"/>
      <c r="F1276"/>
      <c r="G1276"/>
      <c r="H1276"/>
      <c r="I1276"/>
    </row>
    <row r="1277" spans="2:9" ht="15">
      <c r="B1277"/>
      <c r="C1277"/>
      <c r="D1277"/>
      <c r="E1277"/>
      <c r="F1277"/>
      <c r="G1277"/>
      <c r="H1277"/>
      <c r="I1277"/>
    </row>
    <row r="1278" spans="2:9" ht="15">
      <c r="B1278"/>
      <c r="C1278"/>
      <c r="D1278"/>
      <c r="E1278"/>
      <c r="F1278"/>
      <c r="G1278"/>
      <c r="H1278"/>
      <c r="I1278"/>
    </row>
    <row r="1279" spans="2:9" ht="15">
      <c r="B1279"/>
      <c r="C1279"/>
      <c r="D1279"/>
      <c r="E1279"/>
      <c r="F1279"/>
      <c r="G1279"/>
      <c r="H1279"/>
      <c r="I1279"/>
    </row>
    <row r="1280" spans="2:9" ht="15">
      <c r="B1280"/>
      <c r="C1280"/>
      <c r="D1280"/>
      <c r="E1280"/>
      <c r="F1280"/>
      <c r="G1280"/>
      <c r="H1280"/>
      <c r="I1280"/>
    </row>
    <row r="1281" spans="2:9" ht="15">
      <c r="B1281"/>
      <c r="C1281"/>
      <c r="D1281"/>
      <c r="E1281"/>
      <c r="F1281"/>
      <c r="G1281"/>
      <c r="H1281"/>
      <c r="I1281"/>
    </row>
    <row r="1282" spans="2:9" ht="15">
      <c r="B1282"/>
      <c r="C1282"/>
      <c r="D1282"/>
      <c r="E1282"/>
      <c r="F1282"/>
      <c r="G1282"/>
      <c r="H1282"/>
      <c r="I1282"/>
    </row>
    <row r="1283" spans="2:9" ht="15">
      <c r="B1283"/>
      <c r="C1283"/>
      <c r="D1283"/>
      <c r="E1283"/>
      <c r="F1283"/>
      <c r="G1283"/>
      <c r="H1283"/>
      <c r="I1283"/>
    </row>
    <row r="1284" spans="2:9" ht="15">
      <c r="B1284"/>
      <c r="C1284"/>
      <c r="D1284"/>
      <c r="E1284"/>
      <c r="F1284"/>
      <c r="G1284"/>
      <c r="H1284"/>
      <c r="I1284"/>
    </row>
    <row r="1285" spans="2:9" ht="15">
      <c r="B1285"/>
      <c r="C1285"/>
      <c r="D1285"/>
      <c r="E1285"/>
      <c r="F1285"/>
      <c r="G1285"/>
      <c r="H1285"/>
      <c r="I1285"/>
    </row>
    <row r="1286" spans="2:9" ht="15">
      <c r="B1286"/>
      <c r="C1286"/>
      <c r="D1286"/>
      <c r="E1286"/>
      <c r="F1286"/>
      <c r="G1286"/>
      <c r="H1286"/>
      <c r="I1286"/>
    </row>
    <row r="1287" spans="2:9" ht="15">
      <c r="B1287"/>
      <c r="C1287"/>
      <c r="D1287"/>
      <c r="E1287"/>
      <c r="F1287"/>
      <c r="G1287"/>
      <c r="H1287"/>
      <c r="I1287"/>
    </row>
    <row r="1288" spans="2:9" ht="15">
      <c r="B1288"/>
      <c r="C1288"/>
      <c r="D1288"/>
      <c r="E1288"/>
      <c r="F1288"/>
      <c r="G1288"/>
      <c r="H1288"/>
      <c r="I1288"/>
    </row>
    <row r="1289" spans="2:9" ht="15">
      <c r="B1289"/>
      <c r="C1289"/>
      <c r="D1289"/>
      <c r="E1289"/>
      <c r="F1289"/>
      <c r="G1289"/>
      <c r="H1289"/>
      <c r="I1289"/>
    </row>
    <row r="1290" spans="2:9" ht="15">
      <c r="B1290"/>
      <c r="C1290"/>
      <c r="D1290"/>
      <c r="E1290"/>
      <c r="F1290"/>
      <c r="G1290"/>
      <c r="H1290"/>
      <c r="I1290"/>
    </row>
    <row r="1291" spans="2:9" ht="15">
      <c r="B1291"/>
      <c r="C1291"/>
      <c r="D1291"/>
      <c r="E1291"/>
      <c r="F1291"/>
      <c r="G1291"/>
      <c r="H1291"/>
      <c r="I1291"/>
    </row>
    <row r="1292" spans="2:9" ht="15">
      <c r="B1292"/>
      <c r="C1292"/>
      <c r="D1292"/>
      <c r="E1292"/>
      <c r="F1292"/>
      <c r="G1292"/>
      <c r="H1292"/>
      <c r="I1292"/>
    </row>
    <row r="1293" spans="2:9" ht="15">
      <c r="B1293"/>
      <c r="C1293"/>
      <c r="D1293"/>
      <c r="E1293"/>
      <c r="F1293"/>
      <c r="G1293"/>
      <c r="H1293"/>
      <c r="I1293"/>
    </row>
    <row r="1294" spans="2:9" ht="15">
      <c r="B1294"/>
      <c r="C1294"/>
      <c r="D1294"/>
      <c r="E1294"/>
      <c r="F1294"/>
      <c r="G1294"/>
      <c r="H1294"/>
      <c r="I1294"/>
    </row>
    <row r="1295" spans="2:9" ht="15">
      <c r="B1295"/>
      <c r="C1295"/>
      <c r="D1295"/>
      <c r="E1295"/>
      <c r="F1295"/>
      <c r="G1295"/>
      <c r="H1295"/>
      <c r="I1295"/>
    </row>
    <row r="1296" spans="2:9" ht="15">
      <c r="B1296"/>
      <c r="C1296"/>
      <c r="D1296"/>
      <c r="E1296"/>
      <c r="F1296"/>
      <c r="G1296"/>
      <c r="H1296"/>
      <c r="I1296"/>
    </row>
    <row r="1297" spans="2:9" ht="15">
      <c r="B1297"/>
      <c r="C1297"/>
      <c r="D1297"/>
      <c r="E1297"/>
      <c r="F1297"/>
      <c r="G1297"/>
      <c r="H1297"/>
      <c r="I1297"/>
    </row>
    <row r="1298" spans="2:9" ht="15">
      <c r="B1298"/>
      <c r="C1298"/>
      <c r="D1298"/>
      <c r="E1298"/>
      <c r="F1298"/>
      <c r="G1298"/>
      <c r="H1298"/>
      <c r="I1298"/>
    </row>
    <row r="1299" spans="2:9" ht="15">
      <c r="B1299"/>
      <c r="C1299"/>
      <c r="D1299"/>
      <c r="E1299"/>
      <c r="F1299"/>
      <c r="G1299"/>
      <c r="H1299"/>
      <c r="I1299"/>
    </row>
    <row r="1300" spans="2:9" ht="15">
      <c r="B1300"/>
      <c r="C1300"/>
      <c r="D1300"/>
      <c r="E1300"/>
      <c r="F1300"/>
      <c r="G1300"/>
      <c r="H1300"/>
      <c r="I1300"/>
    </row>
    <row r="1301" spans="2:9" ht="15">
      <c r="B1301"/>
      <c r="C1301"/>
      <c r="D1301"/>
      <c r="E1301"/>
      <c r="F1301"/>
      <c r="G1301"/>
      <c r="H1301"/>
      <c r="I1301"/>
    </row>
    <row r="1302" spans="2:9" ht="15">
      <c r="B1302"/>
      <c r="C1302"/>
      <c r="D1302"/>
      <c r="E1302"/>
      <c r="F1302"/>
      <c r="G1302"/>
      <c r="H1302"/>
      <c r="I1302"/>
    </row>
    <row r="1303" spans="2:9" ht="15">
      <c r="B1303"/>
      <c r="C1303"/>
      <c r="D1303"/>
      <c r="E1303"/>
      <c r="F1303"/>
      <c r="G1303"/>
      <c r="H1303"/>
      <c r="I1303"/>
    </row>
    <row r="1304" spans="2:9" ht="15">
      <c r="B1304"/>
      <c r="C1304"/>
      <c r="D1304"/>
      <c r="E1304"/>
      <c r="F1304"/>
      <c r="G1304"/>
      <c r="H1304"/>
      <c r="I1304"/>
    </row>
    <row r="1305" spans="2:9" ht="15">
      <c r="B1305"/>
      <c r="C1305"/>
      <c r="D1305"/>
      <c r="E1305"/>
      <c r="F1305"/>
      <c r="G1305"/>
      <c r="H1305"/>
      <c r="I1305"/>
    </row>
    <row r="1306" spans="2:9" ht="15">
      <c r="B1306"/>
      <c r="C1306"/>
      <c r="D1306"/>
      <c r="E1306"/>
      <c r="F1306"/>
      <c r="G1306"/>
      <c r="H1306"/>
      <c r="I1306"/>
    </row>
    <row r="1307" spans="2:9" ht="15">
      <c r="B1307"/>
      <c r="C1307"/>
      <c r="D1307"/>
      <c r="E1307"/>
      <c r="F1307"/>
      <c r="G1307"/>
      <c r="H1307"/>
      <c r="I1307"/>
    </row>
    <row r="1308" spans="2:9" ht="15">
      <c r="B1308"/>
      <c r="C1308"/>
      <c r="D1308"/>
      <c r="E1308"/>
      <c r="F1308"/>
      <c r="G1308"/>
      <c r="H1308"/>
      <c r="I1308"/>
    </row>
    <row r="1309" spans="2:9" ht="15">
      <c r="B1309"/>
      <c r="C1309"/>
      <c r="D1309"/>
      <c r="E1309"/>
      <c r="F1309"/>
      <c r="G1309"/>
      <c r="H1309"/>
      <c r="I1309"/>
    </row>
    <row r="1310" spans="2:9" ht="15">
      <c r="B1310"/>
      <c r="C1310"/>
      <c r="D1310"/>
      <c r="E1310"/>
      <c r="F1310"/>
      <c r="G1310"/>
      <c r="H1310"/>
      <c r="I1310"/>
    </row>
    <row r="1311" spans="2:9" ht="15">
      <c r="B1311"/>
      <c r="C1311"/>
      <c r="D1311"/>
      <c r="E1311"/>
      <c r="F1311"/>
      <c r="G1311"/>
      <c r="H1311"/>
      <c r="I1311"/>
    </row>
    <row r="1312" spans="2:9" ht="15">
      <c r="B1312"/>
      <c r="C1312"/>
      <c r="D1312"/>
      <c r="E1312"/>
      <c r="F1312"/>
      <c r="G1312"/>
      <c r="H1312"/>
      <c r="I1312"/>
    </row>
    <row r="1313" spans="2:9" ht="15">
      <c r="B1313"/>
      <c r="C1313"/>
      <c r="D1313"/>
      <c r="E1313"/>
      <c r="F1313"/>
      <c r="G1313"/>
      <c r="H1313"/>
      <c r="I1313"/>
    </row>
    <row r="1314" spans="2:9" ht="15">
      <c r="B1314"/>
      <c r="C1314"/>
      <c r="D1314"/>
      <c r="E1314"/>
      <c r="F1314"/>
      <c r="G1314"/>
      <c r="H1314"/>
      <c r="I1314"/>
    </row>
    <row r="1315" spans="2:9" ht="15">
      <c r="B1315"/>
      <c r="C1315"/>
      <c r="D1315"/>
      <c r="E1315"/>
      <c r="F1315"/>
      <c r="G1315"/>
      <c r="H1315"/>
      <c r="I1315"/>
    </row>
    <row r="1316" spans="2:9" ht="15">
      <c r="B1316"/>
      <c r="C1316"/>
      <c r="D1316"/>
      <c r="E1316"/>
      <c r="F1316"/>
      <c r="G1316"/>
      <c r="H1316"/>
      <c r="I1316"/>
    </row>
    <row r="1317" spans="2:9" ht="15">
      <c r="B1317"/>
      <c r="C1317"/>
      <c r="D1317"/>
      <c r="E1317"/>
      <c r="F1317"/>
      <c r="G1317"/>
      <c r="H1317"/>
      <c r="I1317"/>
    </row>
    <row r="1318" spans="2:9" ht="13.5" customHeight="1">
      <c r="B1318"/>
      <c r="C1318"/>
      <c r="D1318"/>
      <c r="E1318"/>
      <c r="F1318"/>
      <c r="G1318"/>
      <c r="H1318"/>
      <c r="I1318"/>
    </row>
    <row r="1319" spans="2:9" ht="15">
      <c r="B1319"/>
      <c r="C1319"/>
      <c r="D1319"/>
      <c r="E1319"/>
      <c r="F1319"/>
      <c r="G1319"/>
      <c r="H1319"/>
      <c r="I1319"/>
    </row>
    <row r="1320" spans="2:9" ht="15">
      <c r="B1320"/>
      <c r="C1320"/>
      <c r="D1320"/>
      <c r="E1320"/>
      <c r="F1320"/>
      <c r="G1320"/>
      <c r="H1320"/>
      <c r="I1320"/>
    </row>
    <row r="1321" spans="2:9" ht="15">
      <c r="B1321"/>
      <c r="C1321"/>
      <c r="D1321"/>
      <c r="E1321"/>
      <c r="F1321"/>
      <c r="G1321"/>
      <c r="H1321"/>
      <c r="I1321"/>
    </row>
    <row r="1322" spans="2:9" ht="15">
      <c r="B1322"/>
      <c r="C1322"/>
      <c r="D1322"/>
      <c r="E1322"/>
      <c r="F1322"/>
      <c r="G1322"/>
      <c r="H1322"/>
      <c r="I1322"/>
    </row>
    <row r="1323" spans="2:9" ht="15">
      <c r="B1323"/>
      <c r="C1323"/>
      <c r="D1323"/>
      <c r="E1323"/>
      <c r="F1323"/>
      <c r="G1323"/>
      <c r="H1323"/>
      <c r="I1323"/>
    </row>
    <row r="1324" spans="2:9" ht="15">
      <c r="B1324"/>
      <c r="C1324"/>
      <c r="D1324"/>
      <c r="E1324"/>
      <c r="F1324"/>
      <c r="G1324"/>
      <c r="H1324"/>
      <c r="I1324"/>
    </row>
    <row r="1325" spans="2:9" ht="15">
      <c r="B1325"/>
      <c r="C1325"/>
      <c r="D1325"/>
      <c r="E1325"/>
      <c r="F1325"/>
      <c r="G1325"/>
      <c r="H1325"/>
      <c r="I1325"/>
    </row>
    <row r="1326" spans="2:9" ht="15">
      <c r="B1326"/>
      <c r="C1326"/>
      <c r="D1326"/>
      <c r="E1326"/>
      <c r="F1326"/>
      <c r="G1326"/>
      <c r="H1326"/>
      <c r="I1326"/>
    </row>
    <row r="1327" spans="2:9" ht="15">
      <c r="B1327"/>
      <c r="C1327"/>
      <c r="D1327"/>
      <c r="E1327"/>
      <c r="F1327"/>
      <c r="G1327"/>
      <c r="H1327"/>
      <c r="I1327"/>
    </row>
    <row r="1328" spans="2:9" ht="15">
      <c r="B1328"/>
      <c r="C1328"/>
      <c r="D1328"/>
      <c r="E1328"/>
      <c r="F1328"/>
      <c r="G1328"/>
      <c r="H1328"/>
      <c r="I1328"/>
    </row>
    <row r="1329" spans="2:9" ht="15">
      <c r="B1329"/>
      <c r="C1329"/>
      <c r="D1329"/>
      <c r="E1329"/>
      <c r="F1329"/>
      <c r="G1329"/>
      <c r="H1329"/>
      <c r="I1329"/>
    </row>
    <row r="1330" spans="2:9" ht="15">
      <c r="B1330"/>
      <c r="C1330"/>
      <c r="D1330"/>
      <c r="E1330"/>
      <c r="F1330"/>
      <c r="G1330"/>
      <c r="H1330"/>
      <c r="I1330"/>
    </row>
    <row r="1331" spans="2:9" ht="15">
      <c r="B1331"/>
      <c r="C1331"/>
      <c r="D1331"/>
      <c r="E1331"/>
      <c r="F1331"/>
      <c r="G1331"/>
      <c r="H1331"/>
      <c r="I1331"/>
    </row>
    <row r="1332" spans="2:9" ht="15">
      <c r="B1332"/>
      <c r="C1332"/>
      <c r="D1332"/>
      <c r="E1332"/>
      <c r="F1332"/>
      <c r="G1332"/>
      <c r="H1332"/>
      <c r="I1332"/>
    </row>
    <row r="1333" spans="2:9" ht="15">
      <c r="B1333"/>
      <c r="C1333"/>
      <c r="D1333"/>
      <c r="E1333"/>
      <c r="F1333"/>
      <c r="G1333"/>
      <c r="H1333"/>
      <c r="I1333"/>
    </row>
    <row r="1334" spans="2:9" ht="15">
      <c r="B1334"/>
      <c r="C1334"/>
      <c r="D1334"/>
      <c r="E1334"/>
      <c r="F1334"/>
      <c r="G1334"/>
      <c r="H1334"/>
      <c r="I1334"/>
    </row>
    <row r="1335" spans="2:9" ht="15">
      <c r="B1335"/>
      <c r="C1335"/>
      <c r="D1335"/>
      <c r="E1335"/>
      <c r="F1335"/>
      <c r="G1335"/>
      <c r="H1335"/>
      <c r="I1335"/>
    </row>
    <row r="1336" spans="2:9" ht="15">
      <c r="B1336"/>
      <c r="C1336"/>
      <c r="D1336"/>
      <c r="E1336"/>
      <c r="F1336"/>
      <c r="G1336"/>
      <c r="H1336"/>
      <c r="I1336"/>
    </row>
    <row r="1337" spans="2:9" ht="15">
      <c r="B1337"/>
      <c r="C1337"/>
      <c r="D1337"/>
      <c r="E1337"/>
      <c r="F1337"/>
      <c r="G1337"/>
      <c r="H1337"/>
      <c r="I1337"/>
    </row>
    <row r="1338" spans="2:9" ht="15">
      <c r="B1338"/>
      <c r="C1338"/>
      <c r="D1338"/>
      <c r="E1338"/>
      <c r="F1338"/>
      <c r="G1338"/>
      <c r="H1338"/>
      <c r="I1338"/>
    </row>
    <row r="1339" spans="2:9" ht="15">
      <c r="B1339"/>
      <c r="C1339"/>
      <c r="D1339"/>
      <c r="E1339"/>
      <c r="F1339"/>
      <c r="G1339"/>
      <c r="H1339"/>
      <c r="I1339"/>
    </row>
    <row r="1340" spans="2:9" ht="15">
      <c r="B1340"/>
      <c r="C1340"/>
      <c r="D1340"/>
      <c r="E1340"/>
      <c r="F1340"/>
      <c r="G1340"/>
      <c r="H1340"/>
      <c r="I1340"/>
    </row>
    <row r="1341" spans="2:9" ht="15">
      <c r="B1341"/>
      <c r="C1341"/>
      <c r="D1341"/>
      <c r="E1341"/>
      <c r="F1341"/>
      <c r="G1341"/>
      <c r="H1341"/>
      <c r="I1341"/>
    </row>
    <row r="1342" spans="2:9" ht="15">
      <c r="B1342"/>
      <c r="C1342"/>
      <c r="D1342"/>
      <c r="E1342"/>
      <c r="F1342"/>
      <c r="G1342"/>
      <c r="H1342"/>
      <c r="I1342"/>
    </row>
    <row r="1343" spans="2:9" ht="15">
      <c r="B1343"/>
      <c r="C1343"/>
      <c r="D1343"/>
      <c r="E1343"/>
      <c r="F1343"/>
      <c r="G1343"/>
      <c r="H1343"/>
      <c r="I1343"/>
    </row>
    <row r="1344" spans="2:9" ht="15">
      <c r="B1344"/>
      <c r="C1344"/>
      <c r="D1344"/>
      <c r="E1344"/>
      <c r="F1344"/>
      <c r="G1344"/>
      <c r="H1344"/>
      <c r="I1344"/>
    </row>
    <row r="1345" spans="2:9" ht="15">
      <c r="B1345"/>
      <c r="C1345"/>
      <c r="D1345"/>
      <c r="E1345"/>
      <c r="F1345"/>
      <c r="G1345"/>
      <c r="H1345"/>
      <c r="I1345"/>
    </row>
    <row r="1346" spans="2:9" ht="15">
      <c r="B1346"/>
      <c r="C1346"/>
      <c r="D1346"/>
      <c r="E1346"/>
      <c r="F1346"/>
      <c r="G1346"/>
      <c r="H1346"/>
      <c r="I1346"/>
    </row>
    <row r="1347" spans="2:9" ht="15">
      <c r="B1347"/>
      <c r="C1347"/>
      <c r="D1347"/>
      <c r="E1347"/>
      <c r="F1347"/>
      <c r="G1347"/>
      <c r="H1347"/>
      <c r="I1347"/>
    </row>
    <row r="1348" spans="2:9" ht="15">
      <c r="B1348"/>
      <c r="C1348"/>
      <c r="D1348"/>
      <c r="E1348"/>
      <c r="F1348"/>
      <c r="G1348"/>
      <c r="H1348"/>
      <c r="I1348"/>
    </row>
    <row r="1349" spans="2:9" ht="15">
      <c r="B1349"/>
      <c r="C1349"/>
      <c r="D1349"/>
      <c r="E1349"/>
      <c r="F1349"/>
      <c r="G1349"/>
      <c r="H1349"/>
      <c r="I1349"/>
    </row>
    <row r="1350" spans="2:9" ht="15">
      <c r="B1350"/>
      <c r="C1350"/>
      <c r="D1350"/>
      <c r="E1350"/>
      <c r="F1350"/>
      <c r="G1350"/>
      <c r="H1350"/>
      <c r="I1350"/>
    </row>
    <row r="1351" spans="2:9" ht="15">
      <c r="B1351"/>
      <c r="C1351"/>
      <c r="D1351"/>
      <c r="E1351"/>
      <c r="F1351"/>
      <c r="G1351"/>
      <c r="H1351"/>
      <c r="I1351"/>
    </row>
    <row r="1352" spans="2:9" ht="15">
      <c r="B1352"/>
      <c r="C1352"/>
      <c r="D1352"/>
      <c r="E1352"/>
      <c r="F1352"/>
      <c r="G1352"/>
      <c r="H1352"/>
      <c r="I1352"/>
    </row>
    <row r="1353" spans="2:9" ht="15">
      <c r="B1353"/>
      <c r="C1353"/>
      <c r="D1353"/>
      <c r="E1353"/>
      <c r="F1353"/>
      <c r="G1353"/>
      <c r="H1353"/>
      <c r="I1353"/>
    </row>
    <row r="1354" spans="2:9" ht="15">
      <c r="B1354"/>
      <c r="C1354"/>
      <c r="D1354"/>
      <c r="E1354"/>
      <c r="F1354"/>
      <c r="G1354"/>
      <c r="H1354"/>
      <c r="I1354"/>
    </row>
    <row r="1355" spans="2:9" ht="15">
      <c r="B1355"/>
      <c r="C1355"/>
      <c r="D1355"/>
      <c r="E1355"/>
      <c r="F1355"/>
      <c r="G1355"/>
      <c r="H1355"/>
      <c r="I1355"/>
    </row>
    <row r="1356" spans="2:9" ht="15">
      <c r="B1356"/>
      <c r="C1356"/>
      <c r="D1356"/>
      <c r="E1356"/>
      <c r="F1356"/>
      <c r="G1356"/>
      <c r="H1356"/>
      <c r="I1356"/>
    </row>
    <row r="1357" spans="2:9" ht="15">
      <c r="B1357"/>
      <c r="C1357"/>
      <c r="D1357"/>
      <c r="E1357"/>
      <c r="F1357"/>
      <c r="G1357"/>
      <c r="H1357"/>
      <c r="I1357"/>
    </row>
    <row r="1358" spans="2:9" ht="15">
      <c r="B1358"/>
      <c r="C1358"/>
      <c r="D1358"/>
      <c r="E1358"/>
      <c r="F1358"/>
      <c r="G1358"/>
      <c r="H1358"/>
      <c r="I1358"/>
    </row>
    <row r="1359" spans="2:9" ht="15">
      <c r="B1359"/>
      <c r="C1359"/>
      <c r="D1359"/>
      <c r="E1359"/>
      <c r="F1359"/>
      <c r="G1359"/>
      <c r="H1359"/>
      <c r="I1359"/>
    </row>
    <row r="1360" spans="2:9" ht="15">
      <c r="B1360"/>
      <c r="C1360"/>
      <c r="D1360"/>
      <c r="E1360"/>
      <c r="F1360"/>
      <c r="G1360"/>
      <c r="H1360"/>
      <c r="I1360"/>
    </row>
    <row r="1361" spans="2:9" ht="15">
      <c r="B1361"/>
      <c r="C1361"/>
      <c r="D1361"/>
      <c r="E1361"/>
      <c r="F1361"/>
      <c r="G1361"/>
      <c r="H1361"/>
      <c r="I1361"/>
    </row>
    <row r="1362" spans="2:9" ht="13.5" customHeight="1">
      <c r="B1362"/>
      <c r="C1362"/>
      <c r="D1362"/>
      <c r="E1362"/>
      <c r="F1362"/>
      <c r="G1362"/>
      <c r="H1362"/>
      <c r="I1362"/>
    </row>
    <row r="1363" spans="2:9" ht="15">
      <c r="B1363"/>
      <c r="C1363"/>
      <c r="D1363"/>
      <c r="E1363"/>
      <c r="F1363"/>
      <c r="G1363"/>
      <c r="H1363"/>
      <c r="I1363"/>
    </row>
    <row r="1364" spans="2:9" ht="15">
      <c r="B1364"/>
      <c r="C1364"/>
      <c r="D1364"/>
      <c r="E1364"/>
      <c r="F1364"/>
      <c r="G1364"/>
      <c r="H1364"/>
      <c r="I1364"/>
    </row>
    <row r="1365" spans="2:9" ht="15">
      <c r="B1365"/>
      <c r="C1365"/>
      <c r="D1365"/>
      <c r="E1365"/>
      <c r="F1365"/>
      <c r="G1365"/>
      <c r="H1365"/>
      <c r="I1365"/>
    </row>
    <row r="1366" spans="2:9" ht="15">
      <c r="B1366"/>
      <c r="C1366"/>
      <c r="D1366"/>
      <c r="E1366"/>
      <c r="F1366"/>
      <c r="G1366"/>
      <c r="H1366"/>
      <c r="I1366"/>
    </row>
    <row r="1367" spans="2:9" ht="15">
      <c r="B1367"/>
      <c r="C1367"/>
      <c r="D1367"/>
      <c r="E1367"/>
      <c r="F1367"/>
      <c r="G1367"/>
      <c r="H1367"/>
      <c r="I1367"/>
    </row>
    <row r="1368" spans="2:9" ht="15">
      <c r="B1368"/>
      <c r="C1368"/>
      <c r="D1368"/>
      <c r="E1368"/>
      <c r="F1368"/>
      <c r="G1368"/>
      <c r="H1368"/>
      <c r="I1368"/>
    </row>
    <row r="1369" spans="2:9" ht="15">
      <c r="B1369"/>
      <c r="C1369"/>
      <c r="D1369"/>
      <c r="E1369"/>
      <c r="F1369"/>
      <c r="G1369"/>
      <c r="H1369"/>
      <c r="I1369"/>
    </row>
    <row r="1370" spans="2:9" ht="15">
      <c r="B1370"/>
      <c r="C1370"/>
      <c r="D1370"/>
      <c r="E1370"/>
      <c r="F1370"/>
      <c r="G1370"/>
      <c r="H1370"/>
      <c r="I1370"/>
    </row>
    <row r="1371" spans="2:9" ht="15">
      <c r="B1371"/>
      <c r="C1371"/>
      <c r="D1371"/>
      <c r="E1371"/>
      <c r="F1371"/>
      <c r="G1371"/>
      <c r="H1371"/>
      <c r="I1371"/>
    </row>
    <row r="1372" spans="2:9" ht="15">
      <c r="B1372"/>
      <c r="C1372"/>
      <c r="D1372"/>
      <c r="E1372"/>
      <c r="F1372"/>
      <c r="G1372"/>
      <c r="H1372"/>
      <c r="I1372"/>
    </row>
    <row r="1373" spans="2:9" ht="15">
      <c r="B1373"/>
      <c r="C1373"/>
      <c r="D1373"/>
      <c r="E1373"/>
      <c r="F1373"/>
      <c r="G1373"/>
      <c r="H1373"/>
      <c r="I1373"/>
    </row>
    <row r="1374" spans="2:9" ht="15">
      <c r="B1374"/>
      <c r="C1374"/>
      <c r="D1374"/>
      <c r="E1374"/>
      <c r="F1374"/>
      <c r="G1374"/>
      <c r="H1374"/>
      <c r="I1374"/>
    </row>
    <row r="1375" spans="2:9" ht="15">
      <c r="B1375"/>
      <c r="C1375"/>
      <c r="D1375"/>
      <c r="E1375"/>
      <c r="F1375"/>
      <c r="G1375"/>
      <c r="H1375"/>
      <c r="I1375"/>
    </row>
    <row r="1376" spans="2:9" ht="15">
      <c r="B1376"/>
      <c r="C1376"/>
      <c r="D1376"/>
      <c r="E1376"/>
      <c r="F1376"/>
      <c r="G1376"/>
      <c r="H1376"/>
      <c r="I1376"/>
    </row>
    <row r="1377" spans="2:9" ht="15">
      <c r="B1377"/>
      <c r="C1377"/>
      <c r="D1377"/>
      <c r="E1377"/>
      <c r="F1377"/>
      <c r="G1377"/>
      <c r="H1377"/>
      <c r="I1377"/>
    </row>
    <row r="1378" spans="2:9" ht="15">
      <c r="B1378"/>
      <c r="C1378"/>
      <c r="D1378"/>
      <c r="E1378"/>
      <c r="F1378"/>
      <c r="G1378"/>
      <c r="H1378"/>
      <c r="I1378"/>
    </row>
    <row r="1379" spans="2:9" ht="15">
      <c r="B1379"/>
      <c r="C1379"/>
      <c r="D1379"/>
      <c r="E1379"/>
      <c r="F1379"/>
      <c r="G1379"/>
      <c r="H1379"/>
      <c r="I1379"/>
    </row>
    <row r="1380" spans="2:9" ht="15">
      <c r="B1380"/>
      <c r="C1380"/>
      <c r="D1380"/>
      <c r="E1380"/>
      <c r="F1380"/>
      <c r="G1380"/>
      <c r="H1380"/>
      <c r="I1380"/>
    </row>
    <row r="1381" spans="2:9" ht="15">
      <c r="B1381"/>
      <c r="C1381"/>
      <c r="D1381"/>
      <c r="E1381"/>
      <c r="F1381"/>
      <c r="G1381"/>
      <c r="H1381"/>
      <c r="I1381"/>
    </row>
    <row r="1382" spans="2:9" ht="15">
      <c r="B1382"/>
      <c r="C1382"/>
      <c r="D1382"/>
      <c r="E1382"/>
      <c r="F1382"/>
      <c r="G1382"/>
      <c r="H1382"/>
      <c r="I1382"/>
    </row>
    <row r="1383" spans="2:9" ht="15">
      <c r="B1383"/>
      <c r="C1383"/>
      <c r="D1383"/>
      <c r="E1383"/>
      <c r="F1383"/>
      <c r="G1383"/>
      <c r="H1383"/>
      <c r="I1383"/>
    </row>
    <row r="1384" spans="2:9" ht="15">
      <c r="B1384"/>
      <c r="C1384"/>
      <c r="D1384"/>
      <c r="E1384"/>
      <c r="F1384"/>
      <c r="G1384"/>
      <c r="H1384"/>
      <c r="I1384"/>
    </row>
    <row r="1385" spans="2:9" ht="15">
      <c r="B1385"/>
      <c r="C1385"/>
      <c r="D1385"/>
      <c r="E1385"/>
      <c r="F1385"/>
      <c r="G1385"/>
      <c r="H1385"/>
      <c r="I1385"/>
    </row>
    <row r="1386" spans="2:9" ht="15">
      <c r="B1386"/>
      <c r="C1386"/>
      <c r="D1386"/>
      <c r="E1386"/>
      <c r="F1386"/>
      <c r="G1386"/>
      <c r="H1386"/>
      <c r="I1386"/>
    </row>
    <row r="1387" spans="2:9" ht="15">
      <c r="B1387"/>
      <c r="C1387"/>
      <c r="D1387"/>
      <c r="E1387"/>
      <c r="F1387"/>
      <c r="G1387"/>
      <c r="H1387"/>
      <c r="I1387"/>
    </row>
    <row r="1388" spans="2:9" ht="15">
      <c r="B1388"/>
      <c r="C1388"/>
      <c r="D1388"/>
      <c r="E1388"/>
      <c r="F1388"/>
      <c r="G1388"/>
      <c r="H1388"/>
      <c r="I1388"/>
    </row>
    <row r="1389" spans="2:9" ht="15">
      <c r="B1389"/>
      <c r="C1389"/>
      <c r="D1389"/>
      <c r="E1389"/>
      <c r="F1389"/>
      <c r="G1389"/>
      <c r="H1389"/>
      <c r="I1389"/>
    </row>
    <row r="1390" spans="2:9" ht="15">
      <c r="B1390"/>
      <c r="C1390"/>
      <c r="D1390"/>
      <c r="E1390"/>
      <c r="F1390"/>
      <c r="G1390"/>
      <c r="H1390"/>
      <c r="I1390"/>
    </row>
    <row r="1391" spans="2:9" ht="15">
      <c r="B1391"/>
      <c r="C1391"/>
      <c r="D1391"/>
      <c r="E1391"/>
      <c r="F1391"/>
      <c r="G1391"/>
      <c r="H1391"/>
      <c r="I1391"/>
    </row>
    <row r="1392" spans="2:9" ht="15">
      <c r="B1392"/>
      <c r="C1392"/>
      <c r="D1392"/>
      <c r="E1392"/>
      <c r="F1392"/>
      <c r="G1392"/>
      <c r="H1392"/>
      <c r="I1392"/>
    </row>
    <row r="1393" spans="2:9" ht="15">
      <c r="B1393"/>
      <c r="C1393"/>
      <c r="D1393"/>
      <c r="E1393"/>
      <c r="F1393"/>
      <c r="G1393"/>
      <c r="H1393"/>
      <c r="I1393"/>
    </row>
    <row r="1394" spans="2:9" ht="15">
      <c r="B1394"/>
      <c r="C1394"/>
      <c r="D1394"/>
      <c r="E1394"/>
      <c r="F1394"/>
      <c r="G1394"/>
      <c r="H1394"/>
      <c r="I1394"/>
    </row>
    <row r="1395" spans="2:9" ht="15">
      <c r="B1395"/>
      <c r="C1395"/>
      <c r="D1395"/>
      <c r="E1395"/>
      <c r="F1395"/>
      <c r="G1395"/>
      <c r="H1395"/>
      <c r="I1395"/>
    </row>
    <row r="1396" spans="2:9" ht="15">
      <c r="B1396"/>
      <c r="C1396"/>
      <c r="D1396"/>
      <c r="E1396"/>
      <c r="F1396"/>
      <c r="G1396"/>
      <c r="H1396"/>
      <c r="I1396"/>
    </row>
    <row r="1397" spans="2:9" ht="15">
      <c r="B1397"/>
      <c r="C1397"/>
      <c r="D1397"/>
      <c r="E1397"/>
      <c r="F1397"/>
      <c r="G1397"/>
      <c r="H1397"/>
      <c r="I1397"/>
    </row>
    <row r="1398" spans="2:9" ht="15">
      <c r="B1398"/>
      <c r="C1398"/>
      <c r="D1398"/>
      <c r="E1398"/>
      <c r="F1398"/>
      <c r="G1398"/>
      <c r="H1398"/>
      <c r="I1398"/>
    </row>
    <row r="1399" spans="2:9" ht="15">
      <c r="B1399"/>
      <c r="C1399"/>
      <c r="D1399"/>
      <c r="E1399"/>
      <c r="F1399"/>
      <c r="G1399"/>
      <c r="H1399"/>
      <c r="I1399"/>
    </row>
    <row r="1400" spans="2:9" ht="15">
      <c r="B1400"/>
      <c r="C1400"/>
      <c r="D1400"/>
      <c r="E1400"/>
      <c r="F1400"/>
      <c r="G1400"/>
      <c r="H1400"/>
      <c r="I1400"/>
    </row>
    <row r="1401" spans="2:9" ht="15">
      <c r="B1401"/>
      <c r="C1401"/>
      <c r="D1401"/>
      <c r="E1401"/>
      <c r="F1401"/>
      <c r="G1401"/>
      <c r="H1401"/>
      <c r="I1401"/>
    </row>
    <row r="1402" spans="2:9" ht="15">
      <c r="B1402"/>
      <c r="C1402"/>
      <c r="D1402"/>
      <c r="E1402"/>
      <c r="F1402"/>
      <c r="G1402"/>
      <c r="H1402"/>
      <c r="I1402"/>
    </row>
    <row r="1403" spans="2:9" ht="15">
      <c r="B1403"/>
      <c r="C1403"/>
      <c r="D1403"/>
      <c r="E1403"/>
      <c r="F1403"/>
      <c r="G1403"/>
      <c r="H1403"/>
      <c r="I1403"/>
    </row>
    <row r="1404" spans="2:9" ht="15">
      <c r="B1404"/>
      <c r="C1404"/>
      <c r="D1404"/>
      <c r="E1404"/>
      <c r="F1404"/>
      <c r="G1404"/>
      <c r="H1404"/>
      <c r="I1404"/>
    </row>
    <row r="1405" spans="2:9" ht="15">
      <c r="B1405"/>
      <c r="C1405"/>
      <c r="D1405"/>
      <c r="E1405"/>
      <c r="F1405"/>
      <c r="G1405"/>
      <c r="H1405"/>
      <c r="I1405"/>
    </row>
    <row r="1406" spans="2:9" ht="13.5" customHeight="1">
      <c r="B1406"/>
      <c r="C1406"/>
      <c r="D1406"/>
      <c r="E1406"/>
      <c r="F1406"/>
      <c r="G1406"/>
      <c r="H1406"/>
      <c r="I1406"/>
    </row>
    <row r="1407" spans="2:9" ht="15">
      <c r="B1407"/>
      <c r="C1407"/>
      <c r="D1407"/>
      <c r="E1407"/>
      <c r="F1407"/>
      <c r="G1407"/>
      <c r="H1407"/>
      <c r="I1407"/>
    </row>
    <row r="1408" spans="2:9" ht="15">
      <c r="B1408"/>
      <c r="C1408"/>
      <c r="D1408"/>
      <c r="E1408"/>
      <c r="F1408"/>
      <c r="G1408"/>
      <c r="H1408"/>
      <c r="I1408"/>
    </row>
    <row r="1409" spans="2:9" ht="15">
      <c r="B1409"/>
      <c r="C1409"/>
      <c r="D1409"/>
      <c r="E1409"/>
      <c r="F1409"/>
      <c r="G1409"/>
      <c r="H1409"/>
      <c r="I1409"/>
    </row>
    <row r="1410" spans="2:9" ht="15">
      <c r="B1410"/>
      <c r="C1410"/>
      <c r="D1410"/>
      <c r="E1410"/>
      <c r="F1410"/>
      <c r="G1410"/>
      <c r="H1410"/>
      <c r="I1410"/>
    </row>
    <row r="1411" spans="2:9" ht="15">
      <c r="B1411"/>
      <c r="C1411"/>
      <c r="D1411"/>
      <c r="E1411"/>
      <c r="F1411"/>
      <c r="G1411"/>
      <c r="H1411"/>
      <c r="I1411"/>
    </row>
    <row r="1412" spans="2:9" ht="15">
      <c r="B1412"/>
      <c r="C1412"/>
      <c r="D1412"/>
      <c r="E1412"/>
      <c r="F1412"/>
      <c r="G1412"/>
      <c r="H1412"/>
      <c r="I1412"/>
    </row>
    <row r="1413" spans="2:9" ht="15">
      <c r="B1413"/>
      <c r="C1413"/>
      <c r="D1413"/>
      <c r="E1413"/>
      <c r="F1413"/>
      <c r="G1413"/>
      <c r="H1413"/>
      <c r="I1413"/>
    </row>
    <row r="1414" spans="2:9" ht="15">
      <c r="B1414"/>
      <c r="C1414"/>
      <c r="D1414"/>
      <c r="E1414"/>
      <c r="F1414"/>
      <c r="G1414"/>
      <c r="H1414"/>
      <c r="I1414"/>
    </row>
    <row r="1415" spans="2:9" ht="15">
      <c r="B1415"/>
      <c r="C1415"/>
      <c r="D1415"/>
      <c r="E1415"/>
      <c r="F1415"/>
      <c r="G1415"/>
      <c r="H1415"/>
      <c r="I1415"/>
    </row>
    <row r="1416" spans="2:9" ht="15">
      <c r="B1416"/>
      <c r="C1416"/>
      <c r="D1416"/>
      <c r="E1416"/>
      <c r="F1416"/>
      <c r="G1416"/>
      <c r="H1416"/>
      <c r="I1416"/>
    </row>
    <row r="1417" spans="2:9" ht="15">
      <c r="B1417"/>
      <c r="C1417"/>
      <c r="D1417"/>
      <c r="E1417"/>
      <c r="F1417"/>
      <c r="G1417"/>
      <c r="H1417"/>
      <c r="I1417"/>
    </row>
    <row r="1418" spans="2:9" ht="15">
      <c r="B1418"/>
      <c r="C1418"/>
      <c r="D1418"/>
      <c r="E1418"/>
      <c r="F1418"/>
      <c r="G1418"/>
      <c r="H1418"/>
      <c r="I1418"/>
    </row>
    <row r="1419" spans="2:9" ht="15">
      <c r="B1419"/>
      <c r="C1419"/>
      <c r="D1419"/>
      <c r="E1419"/>
      <c r="F1419"/>
      <c r="G1419"/>
      <c r="H1419"/>
      <c r="I1419"/>
    </row>
    <row r="1420" spans="2:9" ht="15">
      <c r="B1420"/>
      <c r="C1420"/>
      <c r="D1420"/>
      <c r="E1420"/>
      <c r="F1420"/>
      <c r="G1420"/>
      <c r="H1420"/>
      <c r="I1420"/>
    </row>
    <row r="1421" spans="2:9" ht="15">
      <c r="B1421"/>
      <c r="C1421"/>
      <c r="D1421"/>
      <c r="E1421"/>
      <c r="F1421"/>
      <c r="G1421"/>
      <c r="H1421"/>
      <c r="I1421"/>
    </row>
    <row r="1422" spans="2:9" ht="15">
      <c r="B1422"/>
      <c r="C1422"/>
      <c r="D1422"/>
      <c r="E1422"/>
      <c r="F1422"/>
      <c r="G1422"/>
      <c r="H1422"/>
      <c r="I1422"/>
    </row>
    <row r="1423" spans="2:9" ht="15">
      <c r="B1423"/>
      <c r="C1423"/>
      <c r="D1423"/>
      <c r="E1423"/>
      <c r="F1423"/>
      <c r="G1423"/>
      <c r="H1423"/>
      <c r="I1423"/>
    </row>
    <row r="1424" spans="2:9" ht="15">
      <c r="B1424"/>
      <c r="C1424"/>
      <c r="D1424"/>
      <c r="E1424"/>
      <c r="F1424"/>
      <c r="G1424"/>
      <c r="H1424"/>
      <c r="I1424"/>
    </row>
    <row r="1425" spans="2:9" ht="15">
      <c r="B1425"/>
      <c r="C1425"/>
      <c r="D1425"/>
      <c r="E1425"/>
      <c r="F1425"/>
      <c r="G1425"/>
      <c r="H1425"/>
      <c r="I1425"/>
    </row>
    <row r="1426" spans="2:9" ht="15">
      <c r="B1426"/>
      <c r="C1426"/>
      <c r="D1426"/>
      <c r="E1426"/>
      <c r="F1426"/>
      <c r="G1426"/>
      <c r="H1426"/>
      <c r="I1426"/>
    </row>
    <row r="1427" spans="2:9" ht="15">
      <c r="B1427"/>
      <c r="C1427"/>
      <c r="D1427"/>
      <c r="E1427"/>
      <c r="F1427"/>
      <c r="G1427"/>
      <c r="H1427"/>
      <c r="I1427"/>
    </row>
    <row r="1428" spans="2:9" ht="15">
      <c r="B1428"/>
      <c r="C1428"/>
      <c r="D1428"/>
      <c r="E1428"/>
      <c r="F1428"/>
      <c r="G1428"/>
      <c r="H1428"/>
      <c r="I1428"/>
    </row>
    <row r="1429" spans="2:9" ht="15">
      <c r="B1429"/>
      <c r="C1429"/>
      <c r="D1429"/>
      <c r="E1429"/>
      <c r="F1429"/>
      <c r="G1429"/>
      <c r="H1429"/>
      <c r="I1429"/>
    </row>
    <row r="1430" spans="2:9" ht="15">
      <c r="B1430"/>
      <c r="C1430"/>
      <c r="D1430"/>
      <c r="E1430"/>
      <c r="F1430"/>
      <c r="G1430"/>
      <c r="H1430"/>
      <c r="I1430"/>
    </row>
    <row r="1431" spans="2:9" ht="15">
      <c r="B1431"/>
      <c r="C1431"/>
      <c r="D1431"/>
      <c r="E1431"/>
      <c r="F1431"/>
      <c r="G1431"/>
      <c r="H1431"/>
      <c r="I1431"/>
    </row>
    <row r="1432" spans="2:9" ht="15">
      <c r="B1432"/>
      <c r="C1432"/>
      <c r="D1432"/>
      <c r="E1432"/>
      <c r="F1432"/>
      <c r="G1432"/>
      <c r="H1432"/>
      <c r="I1432"/>
    </row>
    <row r="1433" spans="2:9" ht="15">
      <c r="B1433"/>
      <c r="C1433"/>
      <c r="D1433"/>
      <c r="E1433"/>
      <c r="F1433"/>
      <c r="G1433"/>
      <c r="H1433"/>
      <c r="I1433"/>
    </row>
    <row r="1434" spans="2:9" ht="15">
      <c r="B1434"/>
      <c r="C1434"/>
      <c r="D1434"/>
      <c r="E1434"/>
      <c r="F1434"/>
      <c r="G1434"/>
      <c r="H1434"/>
      <c r="I1434"/>
    </row>
    <row r="1435" spans="2:9" ht="15">
      <c r="B1435"/>
      <c r="C1435"/>
      <c r="D1435"/>
      <c r="E1435"/>
      <c r="F1435"/>
      <c r="G1435"/>
      <c r="H1435"/>
      <c r="I1435"/>
    </row>
    <row r="1436" spans="2:9" ht="15">
      <c r="B1436"/>
      <c r="C1436"/>
      <c r="D1436"/>
      <c r="E1436"/>
      <c r="F1436"/>
      <c r="G1436"/>
      <c r="H1436"/>
      <c r="I1436"/>
    </row>
    <row r="1437" spans="2:9" ht="15">
      <c r="B1437"/>
      <c r="C1437"/>
      <c r="D1437"/>
      <c r="E1437"/>
      <c r="F1437"/>
      <c r="G1437"/>
      <c r="H1437"/>
      <c r="I1437"/>
    </row>
    <row r="1438" spans="2:9" ht="15">
      <c r="B1438"/>
      <c r="C1438"/>
      <c r="D1438"/>
      <c r="E1438"/>
      <c r="F1438"/>
      <c r="G1438"/>
      <c r="H1438"/>
      <c r="I1438"/>
    </row>
    <row r="1439" spans="2:9" ht="15">
      <c r="B1439"/>
      <c r="C1439"/>
      <c r="D1439"/>
      <c r="E1439"/>
      <c r="F1439"/>
      <c r="G1439"/>
      <c r="H1439"/>
      <c r="I1439"/>
    </row>
    <row r="1440" spans="2:9" ht="15">
      <c r="B1440"/>
      <c r="C1440"/>
      <c r="D1440"/>
      <c r="E1440"/>
      <c r="F1440"/>
      <c r="G1440"/>
      <c r="H1440"/>
      <c r="I1440"/>
    </row>
    <row r="1441" spans="2:9" ht="15">
      <c r="B1441"/>
      <c r="C1441"/>
      <c r="D1441"/>
      <c r="E1441"/>
      <c r="F1441"/>
      <c r="G1441"/>
      <c r="H1441"/>
      <c r="I1441"/>
    </row>
    <row r="1442" spans="2:9" ht="15">
      <c r="B1442"/>
      <c r="C1442"/>
      <c r="D1442"/>
      <c r="E1442"/>
      <c r="F1442"/>
      <c r="G1442"/>
      <c r="H1442"/>
      <c r="I1442"/>
    </row>
    <row r="1443" spans="2:9" ht="15">
      <c r="B1443"/>
      <c r="C1443"/>
      <c r="D1443"/>
      <c r="E1443"/>
      <c r="F1443"/>
      <c r="G1443"/>
      <c r="H1443"/>
      <c r="I1443"/>
    </row>
    <row r="1444" spans="2:9" ht="15">
      <c r="B1444"/>
      <c r="C1444"/>
      <c r="D1444"/>
      <c r="E1444"/>
      <c r="F1444"/>
      <c r="G1444"/>
      <c r="H1444"/>
      <c r="I1444"/>
    </row>
    <row r="1445" spans="2:9" ht="15">
      <c r="B1445"/>
      <c r="C1445"/>
      <c r="D1445"/>
      <c r="E1445"/>
      <c r="F1445"/>
      <c r="G1445"/>
      <c r="H1445"/>
      <c r="I1445"/>
    </row>
    <row r="1446" spans="2:9" ht="15">
      <c r="B1446"/>
      <c r="C1446"/>
      <c r="D1446"/>
      <c r="E1446"/>
      <c r="F1446"/>
      <c r="G1446"/>
      <c r="H1446"/>
      <c r="I1446"/>
    </row>
    <row r="1447" spans="2:9" ht="15">
      <c r="B1447"/>
      <c r="C1447"/>
      <c r="D1447"/>
      <c r="E1447"/>
      <c r="F1447"/>
      <c r="G1447"/>
      <c r="H1447"/>
      <c r="I1447"/>
    </row>
    <row r="1448" spans="2:9" ht="15">
      <c r="B1448"/>
      <c r="C1448"/>
      <c r="D1448"/>
      <c r="E1448"/>
      <c r="F1448"/>
      <c r="G1448"/>
      <c r="H1448"/>
      <c r="I1448"/>
    </row>
    <row r="1449" spans="2:9" ht="15">
      <c r="B1449"/>
      <c r="C1449"/>
      <c r="D1449"/>
      <c r="E1449"/>
      <c r="F1449"/>
      <c r="G1449"/>
      <c r="H1449"/>
      <c r="I1449"/>
    </row>
    <row r="1450" spans="2:9" ht="15">
      <c r="B1450"/>
      <c r="C1450"/>
      <c r="D1450"/>
      <c r="E1450"/>
      <c r="F1450"/>
      <c r="G1450"/>
      <c r="H1450"/>
      <c r="I1450"/>
    </row>
    <row r="1451" spans="2:9" ht="15">
      <c r="B1451"/>
      <c r="C1451"/>
      <c r="D1451"/>
      <c r="E1451"/>
      <c r="F1451"/>
      <c r="G1451"/>
      <c r="H1451"/>
      <c r="I1451"/>
    </row>
    <row r="1452" spans="2:9" ht="15">
      <c r="B1452"/>
      <c r="C1452"/>
      <c r="D1452"/>
      <c r="E1452"/>
      <c r="F1452"/>
      <c r="G1452"/>
      <c r="H1452"/>
      <c r="I1452"/>
    </row>
    <row r="1453" spans="2:9" ht="15">
      <c r="B1453"/>
      <c r="C1453"/>
      <c r="D1453"/>
      <c r="E1453"/>
      <c r="F1453"/>
      <c r="G1453"/>
      <c r="H1453"/>
      <c r="I1453"/>
    </row>
    <row r="1454" spans="2:9" ht="15">
      <c r="B1454"/>
      <c r="C1454"/>
      <c r="D1454"/>
      <c r="E1454"/>
      <c r="F1454"/>
      <c r="G1454"/>
      <c r="H1454"/>
      <c r="I1454"/>
    </row>
    <row r="1455" spans="2:9" ht="15">
      <c r="B1455"/>
      <c r="C1455"/>
      <c r="D1455"/>
      <c r="E1455"/>
      <c r="F1455"/>
      <c r="G1455"/>
      <c r="H1455"/>
      <c r="I1455"/>
    </row>
    <row r="1456" spans="2:9" ht="15">
      <c r="B1456"/>
      <c r="C1456"/>
      <c r="D1456"/>
      <c r="E1456"/>
      <c r="F1456"/>
      <c r="G1456"/>
      <c r="H1456"/>
      <c r="I1456"/>
    </row>
    <row r="1457" spans="2:9" ht="15">
      <c r="B1457"/>
      <c r="C1457"/>
      <c r="D1457"/>
      <c r="E1457"/>
      <c r="F1457"/>
      <c r="G1457"/>
      <c r="H1457"/>
      <c r="I1457"/>
    </row>
    <row r="1458" spans="2:9" ht="15">
      <c r="B1458"/>
      <c r="C1458"/>
      <c r="D1458"/>
      <c r="E1458"/>
      <c r="F1458"/>
      <c r="G1458"/>
      <c r="H1458"/>
      <c r="I1458"/>
    </row>
    <row r="1459" spans="2:9" ht="15">
      <c r="B1459"/>
      <c r="C1459"/>
      <c r="D1459"/>
      <c r="E1459"/>
      <c r="F1459"/>
      <c r="G1459"/>
      <c r="H1459"/>
      <c r="I1459"/>
    </row>
    <row r="1460" spans="2:9" ht="15">
      <c r="B1460"/>
      <c r="C1460"/>
      <c r="D1460"/>
      <c r="E1460"/>
      <c r="F1460"/>
      <c r="G1460"/>
      <c r="H1460"/>
      <c r="I1460"/>
    </row>
    <row r="1461" spans="2:9" ht="15">
      <c r="B1461"/>
      <c r="C1461"/>
      <c r="D1461"/>
      <c r="E1461"/>
      <c r="F1461"/>
      <c r="G1461"/>
      <c r="H1461"/>
      <c r="I1461"/>
    </row>
    <row r="1462" spans="2:9" ht="15">
      <c r="B1462"/>
      <c r="C1462"/>
      <c r="D1462"/>
      <c r="E1462"/>
      <c r="F1462"/>
      <c r="G1462"/>
      <c r="H1462"/>
      <c r="I1462"/>
    </row>
    <row r="1463" spans="2:9" ht="15">
      <c r="B1463"/>
      <c r="C1463"/>
      <c r="D1463"/>
      <c r="E1463"/>
      <c r="F1463"/>
      <c r="G1463"/>
      <c r="H1463"/>
      <c r="I1463"/>
    </row>
    <row r="1464" spans="2:9" ht="15">
      <c r="B1464"/>
      <c r="C1464"/>
      <c r="D1464"/>
      <c r="E1464"/>
      <c r="F1464"/>
      <c r="G1464"/>
      <c r="H1464"/>
      <c r="I1464"/>
    </row>
    <row r="1465" spans="2:9" ht="15">
      <c r="B1465"/>
      <c r="C1465"/>
      <c r="D1465"/>
      <c r="E1465"/>
      <c r="F1465"/>
      <c r="G1465"/>
      <c r="H1465"/>
      <c r="I1465"/>
    </row>
    <row r="1466" spans="2:9" ht="15">
      <c r="B1466"/>
      <c r="C1466"/>
      <c r="D1466"/>
      <c r="E1466"/>
      <c r="F1466"/>
      <c r="G1466"/>
      <c r="H1466"/>
      <c r="I1466"/>
    </row>
    <row r="1467" spans="2:9" ht="15">
      <c r="B1467"/>
      <c r="C1467"/>
      <c r="D1467"/>
      <c r="E1467"/>
      <c r="F1467"/>
      <c r="G1467"/>
      <c r="H1467"/>
      <c r="I1467"/>
    </row>
    <row r="1468" spans="2:9" ht="15">
      <c r="B1468"/>
      <c r="C1468"/>
      <c r="D1468"/>
      <c r="E1468"/>
      <c r="F1468"/>
      <c r="G1468"/>
      <c r="H1468"/>
      <c r="I1468"/>
    </row>
    <row r="1469" spans="2:9" ht="15">
      <c r="B1469"/>
      <c r="C1469"/>
      <c r="D1469"/>
      <c r="E1469"/>
      <c r="F1469"/>
      <c r="G1469"/>
      <c r="H1469"/>
      <c r="I1469"/>
    </row>
    <row r="1470" spans="2:9" ht="15">
      <c r="B1470"/>
      <c r="C1470"/>
      <c r="D1470"/>
      <c r="E1470"/>
      <c r="F1470"/>
      <c r="G1470"/>
      <c r="H1470"/>
      <c r="I1470"/>
    </row>
    <row r="1471" spans="2:9" ht="15">
      <c r="B1471"/>
      <c r="C1471"/>
      <c r="D1471"/>
      <c r="E1471"/>
      <c r="F1471"/>
      <c r="G1471"/>
      <c r="H1471"/>
      <c r="I1471"/>
    </row>
    <row r="1472" spans="2:9" ht="15">
      <c r="B1472"/>
      <c r="C1472"/>
      <c r="D1472"/>
      <c r="E1472"/>
      <c r="F1472"/>
      <c r="G1472"/>
      <c r="H1472"/>
      <c r="I1472"/>
    </row>
    <row r="1473" spans="2:9" ht="15">
      <c r="B1473"/>
      <c r="C1473"/>
      <c r="D1473"/>
      <c r="E1473"/>
      <c r="F1473"/>
      <c r="G1473"/>
      <c r="H1473"/>
      <c r="I1473"/>
    </row>
    <row r="1474" spans="2:9" ht="15">
      <c r="B1474"/>
      <c r="C1474"/>
      <c r="D1474"/>
      <c r="E1474"/>
      <c r="F1474"/>
      <c r="G1474"/>
      <c r="H1474"/>
      <c r="I1474"/>
    </row>
    <row r="1475" spans="2:9" ht="15">
      <c r="B1475"/>
      <c r="C1475"/>
      <c r="D1475"/>
      <c r="E1475"/>
      <c r="F1475"/>
      <c r="G1475"/>
      <c r="H1475"/>
      <c r="I1475"/>
    </row>
    <row r="1476" spans="2:9" ht="15">
      <c r="B1476"/>
      <c r="C1476"/>
      <c r="D1476"/>
      <c r="E1476"/>
      <c r="F1476"/>
      <c r="G1476"/>
      <c r="H1476"/>
      <c r="I1476"/>
    </row>
    <row r="1477" spans="2:9" ht="15">
      <c r="B1477"/>
      <c r="C1477"/>
      <c r="D1477"/>
      <c r="E1477"/>
      <c r="F1477"/>
      <c r="G1477"/>
      <c r="H1477"/>
      <c r="I1477"/>
    </row>
    <row r="1478" spans="2:9" ht="15">
      <c r="B1478"/>
      <c r="C1478"/>
      <c r="D1478"/>
      <c r="E1478"/>
      <c r="F1478"/>
      <c r="G1478"/>
      <c r="H1478"/>
      <c r="I1478"/>
    </row>
    <row r="1479" spans="2:9" ht="15">
      <c r="B1479"/>
      <c r="C1479"/>
      <c r="D1479"/>
      <c r="E1479"/>
      <c r="F1479"/>
      <c r="G1479"/>
      <c r="H1479"/>
      <c r="I1479"/>
    </row>
    <row r="1480" spans="2:9" ht="15">
      <c r="B1480"/>
      <c r="C1480"/>
      <c r="D1480"/>
      <c r="E1480"/>
      <c r="F1480"/>
      <c r="G1480"/>
      <c r="H1480"/>
      <c r="I1480"/>
    </row>
    <row r="1481" spans="2:9" ht="15">
      <c r="B1481"/>
      <c r="C1481"/>
      <c r="D1481"/>
      <c r="E1481"/>
      <c r="F1481"/>
      <c r="G1481"/>
      <c r="H1481"/>
      <c r="I1481"/>
    </row>
    <row r="1482" spans="2:9" ht="15">
      <c r="B1482"/>
      <c r="C1482"/>
      <c r="D1482"/>
      <c r="E1482"/>
      <c r="F1482"/>
      <c r="G1482"/>
      <c r="H1482"/>
      <c r="I1482"/>
    </row>
    <row r="1483" spans="2:9" ht="15">
      <c r="B1483"/>
      <c r="C1483"/>
      <c r="D1483"/>
      <c r="E1483"/>
      <c r="F1483"/>
      <c r="G1483"/>
      <c r="H1483"/>
      <c r="I1483"/>
    </row>
    <row r="1484" spans="2:9" ht="15">
      <c r="B1484"/>
      <c r="C1484"/>
      <c r="D1484"/>
      <c r="E1484"/>
      <c r="F1484"/>
      <c r="G1484"/>
      <c r="H1484"/>
      <c r="I1484"/>
    </row>
    <row r="1485" spans="2:9" ht="15">
      <c r="B1485"/>
      <c r="C1485"/>
      <c r="D1485"/>
      <c r="E1485"/>
      <c r="F1485"/>
      <c r="G1485"/>
      <c r="H1485"/>
      <c r="I1485"/>
    </row>
    <row r="1486" spans="2:9" ht="15">
      <c r="B1486"/>
      <c r="C1486"/>
      <c r="D1486"/>
      <c r="E1486"/>
      <c r="F1486"/>
      <c r="G1486"/>
      <c r="H1486"/>
      <c r="I1486"/>
    </row>
    <row r="1487" spans="2:9" ht="15">
      <c r="B1487"/>
      <c r="C1487"/>
      <c r="D1487"/>
      <c r="E1487"/>
      <c r="F1487"/>
      <c r="G1487"/>
      <c r="H1487"/>
      <c r="I1487"/>
    </row>
    <row r="1488" spans="2:9" ht="15">
      <c r="B1488"/>
      <c r="C1488"/>
      <c r="D1488"/>
      <c r="E1488"/>
      <c r="F1488"/>
      <c r="G1488"/>
      <c r="H1488"/>
      <c r="I1488"/>
    </row>
    <row r="1489" spans="2:9" ht="15">
      <c r="B1489"/>
      <c r="C1489"/>
      <c r="D1489"/>
      <c r="E1489"/>
      <c r="F1489"/>
      <c r="G1489"/>
      <c r="H1489"/>
      <c r="I1489"/>
    </row>
    <row r="1490" spans="2:9" ht="15">
      <c r="B1490"/>
      <c r="C1490"/>
      <c r="D1490"/>
      <c r="E1490"/>
      <c r="F1490"/>
      <c r="G1490"/>
      <c r="H1490"/>
      <c r="I1490"/>
    </row>
    <row r="1491" spans="2:9" ht="15">
      <c r="B1491"/>
      <c r="C1491"/>
      <c r="D1491"/>
      <c r="E1491"/>
      <c r="F1491"/>
      <c r="G1491"/>
      <c r="H1491"/>
      <c r="I1491"/>
    </row>
    <row r="1492" spans="2:9" ht="15">
      <c r="B1492"/>
      <c r="C1492"/>
      <c r="D1492"/>
      <c r="E1492"/>
      <c r="F1492"/>
      <c r="G1492"/>
      <c r="H1492"/>
      <c r="I1492"/>
    </row>
    <row r="1493" spans="2:9" ht="15">
      <c r="B1493"/>
      <c r="C1493"/>
      <c r="D1493"/>
      <c r="E1493"/>
      <c r="F1493"/>
      <c r="G1493"/>
      <c r="H1493"/>
      <c r="I1493"/>
    </row>
    <row r="1494" spans="2:9" ht="15">
      <c r="B1494"/>
      <c r="C1494"/>
      <c r="D1494"/>
      <c r="E1494"/>
      <c r="F1494"/>
      <c r="G1494"/>
      <c r="H1494"/>
      <c r="I1494"/>
    </row>
    <row r="1495" spans="2:9" ht="15">
      <c r="B1495"/>
      <c r="C1495"/>
      <c r="D1495"/>
      <c r="E1495"/>
      <c r="F1495"/>
      <c r="G1495"/>
      <c r="H1495"/>
      <c r="I1495"/>
    </row>
    <row r="1496" spans="2:9" ht="15">
      <c r="B1496"/>
      <c r="C1496"/>
      <c r="D1496"/>
      <c r="E1496"/>
      <c r="F1496"/>
      <c r="G1496"/>
      <c r="H1496"/>
      <c r="I1496"/>
    </row>
    <row r="1497" spans="2:9" ht="15">
      <c r="B1497"/>
      <c r="C1497"/>
      <c r="D1497"/>
      <c r="E1497"/>
      <c r="F1497"/>
      <c r="G1497"/>
      <c r="H1497"/>
      <c r="I1497"/>
    </row>
    <row r="1498" spans="2:9" ht="15">
      <c r="B1498"/>
      <c r="C1498"/>
      <c r="D1498"/>
      <c r="E1498"/>
      <c r="F1498"/>
      <c r="G1498"/>
      <c r="H1498"/>
      <c r="I1498"/>
    </row>
    <row r="1499" spans="2:9" ht="15">
      <c r="B1499"/>
      <c r="C1499"/>
      <c r="D1499"/>
      <c r="E1499"/>
      <c r="F1499"/>
      <c r="G1499"/>
      <c r="H1499"/>
      <c r="I1499"/>
    </row>
    <row r="1500" spans="2:9" ht="15">
      <c r="B1500"/>
      <c r="C1500"/>
      <c r="D1500"/>
      <c r="E1500"/>
      <c r="F1500"/>
      <c r="G1500"/>
      <c r="H1500"/>
      <c r="I1500"/>
    </row>
    <row r="1501" spans="2:9" ht="15">
      <c r="B1501"/>
      <c r="C1501"/>
      <c r="D1501"/>
      <c r="E1501"/>
      <c r="F1501"/>
      <c r="G1501"/>
      <c r="H1501"/>
      <c r="I1501"/>
    </row>
    <row r="1502" spans="2:9" ht="15">
      <c r="B1502"/>
      <c r="C1502"/>
      <c r="D1502"/>
      <c r="E1502"/>
      <c r="F1502"/>
      <c r="G1502"/>
      <c r="H1502"/>
      <c r="I1502"/>
    </row>
    <row r="1503" spans="2:9" ht="15">
      <c r="B1503"/>
      <c r="C1503"/>
      <c r="D1503"/>
      <c r="E1503"/>
      <c r="F1503"/>
      <c r="G1503"/>
      <c r="H1503"/>
      <c r="I1503"/>
    </row>
    <row r="1504" spans="2:9" ht="15">
      <c r="B1504"/>
      <c r="C1504"/>
      <c r="D1504"/>
      <c r="E1504"/>
      <c r="F1504"/>
      <c r="G1504"/>
      <c r="H1504"/>
      <c r="I1504"/>
    </row>
    <row r="1505" spans="2:9" ht="15">
      <c r="B1505"/>
      <c r="C1505"/>
      <c r="D1505"/>
      <c r="E1505"/>
      <c r="F1505"/>
      <c r="G1505"/>
      <c r="H1505"/>
      <c r="I1505"/>
    </row>
    <row r="1506" spans="2:9" ht="15">
      <c r="B1506"/>
      <c r="C1506"/>
      <c r="D1506"/>
      <c r="E1506"/>
      <c r="F1506"/>
      <c r="G1506"/>
      <c r="H1506"/>
      <c r="I1506"/>
    </row>
    <row r="1507" spans="2:9" ht="15">
      <c r="B1507"/>
      <c r="C1507"/>
      <c r="D1507"/>
      <c r="E1507"/>
      <c r="F1507"/>
      <c r="G1507"/>
      <c r="H1507"/>
      <c r="I1507"/>
    </row>
    <row r="1508" spans="2:9" ht="15">
      <c r="B1508"/>
      <c r="C1508"/>
      <c r="D1508"/>
      <c r="E1508"/>
      <c r="F1508"/>
      <c r="G1508"/>
      <c r="H1508"/>
      <c r="I1508"/>
    </row>
    <row r="1509" spans="2:9" ht="15">
      <c r="B1509"/>
      <c r="C1509"/>
      <c r="D1509"/>
      <c r="E1509"/>
      <c r="F1509"/>
      <c r="G1509"/>
      <c r="H1509"/>
      <c r="I1509"/>
    </row>
    <row r="1510" spans="2:9" ht="15">
      <c r="B1510"/>
      <c r="C1510"/>
      <c r="D1510"/>
      <c r="E1510"/>
      <c r="F1510"/>
      <c r="G1510"/>
      <c r="H1510"/>
      <c r="I1510"/>
    </row>
    <row r="1511" spans="2:9" ht="15">
      <c r="B1511"/>
      <c r="C1511"/>
      <c r="D1511"/>
      <c r="E1511"/>
      <c r="F1511"/>
      <c r="G1511"/>
      <c r="H1511"/>
      <c r="I1511"/>
    </row>
    <row r="1512" spans="2:9" ht="15">
      <c r="B1512"/>
      <c r="C1512"/>
      <c r="D1512"/>
      <c r="E1512"/>
      <c r="F1512"/>
      <c r="G1512"/>
      <c r="H1512"/>
      <c r="I1512"/>
    </row>
    <row r="1513" spans="2:9" ht="15">
      <c r="B1513"/>
      <c r="C1513"/>
      <c r="D1513"/>
      <c r="E1513"/>
      <c r="F1513"/>
      <c r="G1513"/>
      <c r="H1513"/>
      <c r="I1513"/>
    </row>
    <row r="1514" spans="2:9" ht="15">
      <c r="B1514"/>
      <c r="C1514"/>
      <c r="D1514"/>
      <c r="E1514"/>
      <c r="F1514"/>
      <c r="G1514"/>
      <c r="H1514"/>
      <c r="I1514"/>
    </row>
    <row r="1515" spans="2:9" ht="15">
      <c r="B1515"/>
      <c r="C1515"/>
      <c r="D1515"/>
      <c r="E1515"/>
      <c r="F1515"/>
      <c r="G1515"/>
      <c r="H1515"/>
      <c r="I1515"/>
    </row>
    <row r="1516" spans="2:9" ht="15">
      <c r="B1516"/>
      <c r="C1516"/>
      <c r="D1516"/>
      <c r="E1516"/>
      <c r="F1516"/>
      <c r="G1516"/>
      <c r="H1516"/>
      <c r="I1516"/>
    </row>
    <row r="1517" spans="2:9" ht="15">
      <c r="B1517"/>
      <c r="C1517"/>
      <c r="D1517"/>
      <c r="E1517"/>
      <c r="F1517"/>
      <c r="G1517"/>
      <c r="H1517"/>
      <c r="I1517"/>
    </row>
    <row r="1518" spans="2:9" ht="15">
      <c r="B1518"/>
      <c r="C1518"/>
      <c r="D1518"/>
      <c r="E1518"/>
      <c r="F1518"/>
      <c r="G1518"/>
      <c r="H1518"/>
      <c r="I1518"/>
    </row>
    <row r="1519" spans="2:9" ht="15">
      <c r="B1519"/>
      <c r="C1519"/>
      <c r="D1519"/>
      <c r="E1519"/>
      <c r="F1519"/>
      <c r="G1519"/>
      <c r="H1519"/>
      <c r="I1519"/>
    </row>
    <row r="1520" spans="2:9" ht="15">
      <c r="B1520"/>
      <c r="C1520"/>
      <c r="D1520"/>
      <c r="E1520"/>
      <c r="F1520"/>
      <c r="G1520"/>
      <c r="H1520"/>
      <c r="I1520"/>
    </row>
    <row r="1521" spans="2:9" ht="15">
      <c r="B1521"/>
      <c r="C1521"/>
      <c r="D1521"/>
      <c r="E1521"/>
      <c r="F1521"/>
      <c r="G1521"/>
      <c r="H1521"/>
      <c r="I1521"/>
    </row>
    <row r="1522" spans="2:9" ht="15">
      <c r="B1522"/>
      <c r="C1522"/>
      <c r="D1522"/>
      <c r="E1522"/>
      <c r="F1522"/>
      <c r="G1522"/>
      <c r="H1522"/>
      <c r="I1522"/>
    </row>
    <row r="1523" spans="2:9" ht="15">
      <c r="B1523"/>
      <c r="C1523"/>
      <c r="D1523"/>
      <c r="E1523"/>
      <c r="F1523"/>
      <c r="G1523"/>
      <c r="H1523"/>
      <c r="I1523"/>
    </row>
    <row r="1524" spans="2:9" ht="15">
      <c r="B1524"/>
      <c r="C1524"/>
      <c r="D1524"/>
      <c r="E1524"/>
      <c r="F1524"/>
      <c r="G1524"/>
      <c r="H1524"/>
      <c r="I1524"/>
    </row>
    <row r="1525" spans="2:9" ht="15">
      <c r="B1525"/>
      <c r="C1525"/>
      <c r="D1525"/>
      <c r="E1525"/>
      <c r="F1525"/>
      <c r="G1525"/>
      <c r="H1525"/>
      <c r="I1525"/>
    </row>
    <row r="1526" spans="2:9" ht="15">
      <c r="B1526"/>
      <c r="C1526"/>
      <c r="D1526"/>
      <c r="E1526"/>
      <c r="F1526"/>
      <c r="G1526"/>
      <c r="H1526"/>
      <c r="I1526"/>
    </row>
    <row r="1527" spans="2:9" ht="15">
      <c r="B1527"/>
      <c r="C1527"/>
      <c r="D1527"/>
      <c r="E1527"/>
      <c r="F1527"/>
      <c r="G1527"/>
      <c r="H1527"/>
      <c r="I1527"/>
    </row>
    <row r="1528" spans="2:9" ht="15">
      <c r="B1528"/>
      <c r="C1528"/>
      <c r="D1528"/>
      <c r="E1528"/>
      <c r="F1528"/>
      <c r="G1528"/>
      <c r="H1528"/>
      <c r="I1528"/>
    </row>
    <row r="1529" spans="2:9" ht="15">
      <c r="B1529"/>
      <c r="C1529"/>
      <c r="D1529"/>
      <c r="E1529"/>
      <c r="F1529"/>
      <c r="G1529"/>
      <c r="H1529"/>
      <c r="I1529"/>
    </row>
    <row r="1530" spans="2:9" ht="15">
      <c r="B1530"/>
      <c r="C1530"/>
      <c r="D1530"/>
      <c r="E1530"/>
      <c r="F1530"/>
      <c r="G1530"/>
      <c r="H1530"/>
      <c r="I1530"/>
    </row>
    <row r="1531" spans="2:9" ht="15">
      <c r="B1531"/>
      <c r="C1531"/>
      <c r="D1531"/>
      <c r="E1531"/>
      <c r="F1531"/>
      <c r="G1531"/>
      <c r="H1531"/>
      <c r="I1531"/>
    </row>
    <row r="1532" spans="2:9" ht="15">
      <c r="B1532"/>
      <c r="C1532"/>
      <c r="D1532"/>
      <c r="E1532"/>
      <c r="F1532"/>
      <c r="G1532"/>
      <c r="H1532"/>
      <c r="I1532"/>
    </row>
    <row r="1533" spans="2:9" ht="15">
      <c r="B1533"/>
      <c r="C1533"/>
      <c r="D1533"/>
      <c r="E1533"/>
      <c r="F1533"/>
      <c r="G1533"/>
      <c r="H1533"/>
      <c r="I1533"/>
    </row>
    <row r="1534" spans="2:9" ht="15">
      <c r="B1534"/>
      <c r="C1534"/>
      <c r="D1534"/>
      <c r="E1534"/>
      <c r="F1534"/>
      <c r="G1534"/>
      <c r="H1534"/>
      <c r="I1534"/>
    </row>
    <row r="1535" spans="2:9" ht="15">
      <c r="B1535"/>
      <c r="C1535"/>
      <c r="D1535"/>
      <c r="E1535"/>
      <c r="F1535"/>
      <c r="G1535"/>
      <c r="H1535"/>
      <c r="I1535"/>
    </row>
    <row r="1536" spans="2:9" ht="13.5" customHeight="1">
      <c r="B1536"/>
      <c r="C1536"/>
      <c r="D1536"/>
      <c r="E1536"/>
      <c r="F1536"/>
      <c r="G1536"/>
      <c r="H1536"/>
      <c r="I1536"/>
    </row>
    <row r="1537" spans="2:9" ht="15">
      <c r="B1537"/>
      <c r="C1537"/>
      <c r="D1537"/>
      <c r="E1537"/>
      <c r="F1537"/>
      <c r="G1537"/>
      <c r="H1537"/>
      <c r="I1537"/>
    </row>
    <row r="1538" spans="2:9" ht="15">
      <c r="B1538"/>
      <c r="C1538"/>
      <c r="D1538"/>
      <c r="E1538"/>
      <c r="F1538"/>
      <c r="G1538"/>
      <c r="H1538"/>
      <c r="I1538"/>
    </row>
    <row r="1539" spans="2:9" ht="15">
      <c r="B1539"/>
      <c r="C1539"/>
      <c r="D1539"/>
      <c r="E1539"/>
      <c r="F1539"/>
      <c r="G1539"/>
      <c r="H1539"/>
      <c r="I1539"/>
    </row>
    <row r="1540" spans="2:9" ht="15">
      <c r="B1540"/>
      <c r="C1540"/>
      <c r="D1540"/>
      <c r="E1540"/>
      <c r="F1540"/>
      <c r="G1540"/>
      <c r="H1540"/>
      <c r="I1540"/>
    </row>
    <row r="1541" spans="2:9" ht="15">
      <c r="B1541"/>
      <c r="C1541"/>
      <c r="D1541"/>
      <c r="E1541"/>
      <c r="F1541"/>
      <c r="G1541"/>
      <c r="H1541"/>
      <c r="I1541"/>
    </row>
    <row r="1542" spans="2:9" ht="15">
      <c r="B1542"/>
      <c r="C1542"/>
      <c r="D1542"/>
      <c r="E1542"/>
      <c r="F1542"/>
      <c r="G1542"/>
      <c r="H1542"/>
      <c r="I1542"/>
    </row>
    <row r="1543" spans="2:9" ht="15">
      <c r="B1543"/>
      <c r="C1543"/>
      <c r="D1543"/>
      <c r="E1543"/>
      <c r="F1543"/>
      <c r="G1543"/>
      <c r="H1543"/>
      <c r="I1543"/>
    </row>
    <row r="1544" spans="2:9" ht="15">
      <c r="B1544"/>
      <c r="C1544"/>
      <c r="D1544"/>
      <c r="E1544"/>
      <c r="F1544"/>
      <c r="G1544"/>
      <c r="H1544"/>
      <c r="I1544"/>
    </row>
    <row r="1545" spans="2:9" ht="15">
      <c r="B1545"/>
      <c r="C1545"/>
      <c r="D1545"/>
      <c r="E1545"/>
      <c r="F1545"/>
      <c r="G1545"/>
      <c r="H1545"/>
      <c r="I1545"/>
    </row>
    <row r="1546" spans="2:9" ht="15">
      <c r="B1546"/>
      <c r="C1546"/>
      <c r="D1546"/>
      <c r="E1546"/>
      <c r="F1546"/>
      <c r="G1546"/>
      <c r="H1546"/>
      <c r="I1546"/>
    </row>
    <row r="1547" spans="2:9" ht="15">
      <c r="B1547"/>
      <c r="C1547"/>
      <c r="D1547"/>
      <c r="E1547"/>
      <c r="F1547"/>
      <c r="G1547"/>
      <c r="H1547"/>
      <c r="I1547"/>
    </row>
    <row r="1548" spans="2:9" ht="15">
      <c r="B1548"/>
      <c r="C1548"/>
      <c r="D1548"/>
      <c r="E1548"/>
      <c r="F1548"/>
      <c r="G1548"/>
      <c r="H1548"/>
      <c r="I1548"/>
    </row>
    <row r="1549" spans="2:9" ht="15">
      <c r="B1549"/>
      <c r="C1549"/>
      <c r="D1549"/>
      <c r="E1549"/>
      <c r="F1549"/>
      <c r="G1549"/>
      <c r="H1549"/>
      <c r="I1549"/>
    </row>
    <row r="1550" spans="2:9" ht="15">
      <c r="B1550"/>
      <c r="C1550"/>
      <c r="D1550"/>
      <c r="E1550"/>
      <c r="F1550"/>
      <c r="G1550"/>
      <c r="H1550"/>
      <c r="I1550"/>
    </row>
    <row r="1551" spans="2:9" ht="15">
      <c r="B1551"/>
      <c r="C1551"/>
      <c r="D1551"/>
      <c r="E1551"/>
      <c r="F1551"/>
      <c r="G1551"/>
      <c r="H1551"/>
      <c r="I1551"/>
    </row>
    <row r="1552" spans="2:9" ht="15">
      <c r="B1552"/>
      <c r="C1552"/>
      <c r="D1552"/>
      <c r="E1552"/>
      <c r="F1552"/>
      <c r="G1552"/>
      <c r="H1552"/>
      <c r="I1552"/>
    </row>
    <row r="1553" spans="2:9" ht="15">
      <c r="B1553"/>
      <c r="C1553"/>
      <c r="D1553"/>
      <c r="E1553"/>
      <c r="F1553"/>
      <c r="G1553"/>
      <c r="H1553"/>
      <c r="I1553"/>
    </row>
    <row r="1554" spans="2:9" ht="15">
      <c r="B1554"/>
      <c r="C1554"/>
      <c r="D1554"/>
      <c r="E1554"/>
      <c r="F1554"/>
      <c r="G1554"/>
      <c r="H1554"/>
      <c r="I1554"/>
    </row>
    <row r="1555" spans="2:9" ht="15">
      <c r="B1555"/>
      <c r="C1555"/>
      <c r="D1555"/>
      <c r="E1555"/>
      <c r="F1555"/>
      <c r="G1555"/>
      <c r="H1555"/>
      <c r="I1555"/>
    </row>
    <row r="1556" spans="2:9" ht="15">
      <c r="B1556"/>
      <c r="C1556"/>
      <c r="D1556"/>
      <c r="E1556"/>
      <c r="F1556"/>
      <c r="G1556"/>
      <c r="H1556"/>
      <c r="I1556"/>
    </row>
    <row r="1557" spans="2:9" ht="15">
      <c r="B1557"/>
      <c r="C1557"/>
      <c r="D1557"/>
      <c r="E1557"/>
      <c r="F1557"/>
      <c r="G1557"/>
      <c r="H1557"/>
      <c r="I1557"/>
    </row>
    <row r="1558" spans="2:9" ht="15">
      <c r="B1558"/>
      <c r="C1558"/>
      <c r="D1558"/>
      <c r="E1558"/>
      <c r="F1558"/>
      <c r="G1558"/>
      <c r="H1558"/>
      <c r="I1558"/>
    </row>
    <row r="1559" spans="2:9" ht="15">
      <c r="B1559"/>
      <c r="C1559"/>
      <c r="D1559"/>
      <c r="E1559"/>
      <c r="F1559"/>
      <c r="G1559"/>
      <c r="H1559"/>
      <c r="I1559"/>
    </row>
    <row r="1560" spans="2:9" ht="15">
      <c r="B1560"/>
      <c r="C1560"/>
      <c r="D1560"/>
      <c r="E1560"/>
      <c r="F1560"/>
      <c r="G1560"/>
      <c r="H1560"/>
      <c r="I1560"/>
    </row>
    <row r="1561" spans="2:9" ht="15">
      <c r="B1561"/>
      <c r="C1561"/>
      <c r="D1561"/>
      <c r="E1561"/>
      <c r="F1561"/>
      <c r="G1561"/>
      <c r="H1561"/>
      <c r="I1561"/>
    </row>
    <row r="1562" spans="2:9" ht="15">
      <c r="B1562"/>
      <c r="C1562"/>
      <c r="D1562"/>
      <c r="E1562"/>
      <c r="F1562"/>
      <c r="G1562"/>
      <c r="H1562"/>
      <c r="I1562"/>
    </row>
    <row r="1563" spans="2:9" ht="15">
      <c r="B1563"/>
      <c r="C1563"/>
      <c r="D1563"/>
      <c r="E1563"/>
      <c r="F1563"/>
      <c r="G1563"/>
      <c r="H1563"/>
      <c r="I1563"/>
    </row>
    <row r="1564" spans="2:9" ht="15">
      <c r="B1564"/>
      <c r="C1564"/>
      <c r="D1564"/>
      <c r="E1564"/>
      <c r="F1564"/>
      <c r="G1564"/>
      <c r="H1564"/>
      <c r="I1564"/>
    </row>
    <row r="1565" spans="2:9" ht="15">
      <c r="B1565"/>
      <c r="C1565"/>
      <c r="D1565"/>
      <c r="E1565"/>
      <c r="F1565"/>
      <c r="G1565"/>
      <c r="H1565"/>
      <c r="I1565"/>
    </row>
    <row r="1566" spans="2:9" ht="15">
      <c r="B1566"/>
      <c r="C1566"/>
      <c r="D1566"/>
      <c r="E1566"/>
      <c r="F1566"/>
      <c r="G1566"/>
      <c r="H1566"/>
      <c r="I1566"/>
    </row>
    <row r="1567" spans="2:9" ht="15">
      <c r="B1567"/>
      <c r="C1567"/>
      <c r="D1567"/>
      <c r="E1567"/>
      <c r="F1567"/>
      <c r="G1567"/>
      <c r="H1567"/>
      <c r="I1567"/>
    </row>
    <row r="1568" spans="2:9" ht="15">
      <c r="B1568"/>
      <c r="C1568"/>
      <c r="D1568"/>
      <c r="E1568"/>
      <c r="F1568"/>
      <c r="G1568"/>
      <c r="H1568"/>
      <c r="I1568"/>
    </row>
    <row r="1569" spans="2:9" ht="15">
      <c r="B1569"/>
      <c r="C1569"/>
      <c r="D1569"/>
      <c r="E1569"/>
      <c r="F1569"/>
      <c r="G1569"/>
      <c r="H1569"/>
      <c r="I1569"/>
    </row>
    <row r="1570" spans="2:9" ht="15">
      <c r="B1570"/>
      <c r="C1570"/>
      <c r="D1570"/>
      <c r="E1570"/>
      <c r="F1570"/>
      <c r="G1570"/>
      <c r="H1570"/>
      <c r="I1570"/>
    </row>
    <row r="1571" spans="2:9" ht="15">
      <c r="B1571"/>
      <c r="C1571"/>
      <c r="D1571"/>
      <c r="E1571"/>
      <c r="F1571"/>
      <c r="G1571"/>
      <c r="H1571"/>
      <c r="I1571"/>
    </row>
    <row r="1572" spans="2:9" ht="15">
      <c r="B1572"/>
      <c r="C1572"/>
      <c r="D1572"/>
      <c r="E1572"/>
      <c r="F1572"/>
      <c r="G1572"/>
      <c r="H1572"/>
      <c r="I1572"/>
    </row>
    <row r="1573" spans="2:9" ht="15">
      <c r="B1573"/>
      <c r="C1573"/>
      <c r="D1573"/>
      <c r="E1573"/>
      <c r="F1573"/>
      <c r="G1573"/>
      <c r="H1573"/>
      <c r="I1573"/>
    </row>
    <row r="1574" spans="2:9" ht="15">
      <c r="B1574"/>
      <c r="C1574"/>
      <c r="D1574"/>
      <c r="E1574"/>
      <c r="F1574"/>
      <c r="G1574"/>
      <c r="H1574"/>
      <c r="I1574"/>
    </row>
    <row r="1575" spans="2:9" ht="15">
      <c r="B1575"/>
      <c r="C1575"/>
      <c r="D1575"/>
      <c r="E1575"/>
      <c r="F1575"/>
      <c r="G1575"/>
      <c r="H1575"/>
      <c r="I1575"/>
    </row>
    <row r="1576" spans="2:9" ht="15">
      <c r="B1576"/>
      <c r="C1576"/>
      <c r="D1576"/>
      <c r="E1576"/>
      <c r="F1576"/>
      <c r="G1576"/>
      <c r="H1576"/>
      <c r="I1576"/>
    </row>
    <row r="1577" spans="2:9" ht="15">
      <c r="B1577"/>
      <c r="C1577"/>
      <c r="D1577"/>
      <c r="E1577"/>
      <c r="F1577"/>
      <c r="G1577"/>
      <c r="H1577"/>
      <c r="I1577"/>
    </row>
    <row r="1578" spans="2:9" ht="15">
      <c r="B1578"/>
      <c r="C1578"/>
      <c r="D1578"/>
      <c r="E1578"/>
      <c r="F1578"/>
      <c r="G1578"/>
      <c r="H1578"/>
      <c r="I1578"/>
    </row>
    <row r="1579" spans="2:9" ht="15">
      <c r="B1579"/>
      <c r="C1579"/>
      <c r="D1579"/>
      <c r="E1579"/>
      <c r="F1579"/>
      <c r="G1579"/>
      <c r="H1579"/>
      <c r="I1579"/>
    </row>
    <row r="1580" spans="2:9" ht="13.5" customHeight="1">
      <c r="B1580"/>
      <c r="C1580"/>
      <c r="D1580"/>
      <c r="E1580"/>
      <c r="F1580"/>
      <c r="G1580"/>
      <c r="H1580"/>
      <c r="I1580"/>
    </row>
    <row r="1581" spans="2:9" ht="15">
      <c r="B1581"/>
      <c r="C1581"/>
      <c r="D1581"/>
      <c r="E1581"/>
      <c r="F1581"/>
      <c r="G1581"/>
      <c r="H1581"/>
      <c r="I1581"/>
    </row>
    <row r="1582" spans="2:9" ht="15">
      <c r="B1582"/>
      <c r="C1582"/>
      <c r="D1582"/>
      <c r="E1582"/>
      <c r="F1582"/>
      <c r="G1582"/>
      <c r="H1582"/>
      <c r="I1582"/>
    </row>
    <row r="1583" spans="2:9" ht="15">
      <c r="B1583"/>
      <c r="C1583"/>
      <c r="D1583"/>
      <c r="E1583"/>
      <c r="F1583"/>
      <c r="G1583"/>
      <c r="H1583"/>
      <c r="I1583"/>
    </row>
    <row r="1584" spans="2:9" ht="15">
      <c r="B1584"/>
      <c r="C1584"/>
      <c r="D1584"/>
      <c r="E1584"/>
      <c r="F1584"/>
      <c r="G1584"/>
      <c r="H1584"/>
      <c r="I1584"/>
    </row>
    <row r="1585" spans="2:9" ht="15">
      <c r="B1585"/>
      <c r="C1585"/>
      <c r="D1585"/>
      <c r="E1585"/>
      <c r="F1585"/>
      <c r="G1585"/>
      <c r="H1585"/>
      <c r="I1585"/>
    </row>
    <row r="1586" spans="2:9" ht="15">
      <c r="B1586"/>
      <c r="C1586"/>
      <c r="D1586"/>
      <c r="E1586"/>
      <c r="F1586"/>
      <c r="G1586"/>
      <c r="H1586"/>
      <c r="I1586"/>
    </row>
    <row r="1587" spans="2:9" ht="15">
      <c r="B1587"/>
      <c r="C1587"/>
      <c r="D1587"/>
      <c r="E1587"/>
      <c r="F1587"/>
      <c r="G1587"/>
      <c r="H1587"/>
      <c r="I1587"/>
    </row>
    <row r="1588" spans="2:9" ht="15">
      <c r="B1588"/>
      <c r="C1588"/>
      <c r="D1588"/>
      <c r="E1588"/>
      <c r="F1588"/>
      <c r="G1588"/>
      <c r="H1588"/>
      <c r="I1588"/>
    </row>
    <row r="1589" spans="2:9" ht="15">
      <c r="B1589"/>
      <c r="C1589"/>
      <c r="D1589"/>
      <c r="E1589"/>
      <c r="F1589"/>
      <c r="G1589"/>
      <c r="H1589"/>
      <c r="I1589"/>
    </row>
    <row r="1590" spans="2:9" ht="15">
      <c r="B1590"/>
      <c r="C1590"/>
      <c r="D1590"/>
      <c r="E1590"/>
      <c r="F1590"/>
      <c r="G1590"/>
      <c r="H1590"/>
      <c r="I1590"/>
    </row>
    <row r="1591" spans="2:9" ht="15">
      <c r="B1591"/>
      <c r="C1591"/>
      <c r="D1591"/>
      <c r="E1591"/>
      <c r="F1591"/>
      <c r="G1591"/>
      <c r="H1591"/>
      <c r="I1591"/>
    </row>
    <row r="1592" spans="2:9" ht="15">
      <c r="B1592"/>
      <c r="C1592"/>
      <c r="D1592"/>
      <c r="E1592"/>
      <c r="F1592"/>
      <c r="G1592"/>
      <c r="H1592"/>
      <c r="I1592"/>
    </row>
    <row r="1593" spans="2:9" ht="15">
      <c r="B1593"/>
      <c r="C1593"/>
      <c r="D1593"/>
      <c r="E1593"/>
      <c r="F1593"/>
      <c r="G1593"/>
      <c r="H1593"/>
      <c r="I1593"/>
    </row>
    <row r="1594" spans="2:9" ht="15">
      <c r="B1594"/>
      <c r="C1594"/>
      <c r="D1594"/>
      <c r="E1594"/>
      <c r="F1594"/>
      <c r="G1594"/>
      <c r="H1594"/>
      <c r="I1594"/>
    </row>
    <row r="1595" spans="2:9" ht="15">
      <c r="B1595"/>
      <c r="C1595"/>
      <c r="D1595"/>
      <c r="E1595"/>
      <c r="F1595"/>
      <c r="G1595"/>
      <c r="H1595"/>
      <c r="I1595"/>
    </row>
    <row r="1596" spans="2:9" ht="15">
      <c r="B1596"/>
      <c r="C1596"/>
      <c r="D1596"/>
      <c r="E1596"/>
      <c r="F1596"/>
      <c r="G1596"/>
      <c r="H1596"/>
      <c r="I1596"/>
    </row>
    <row r="1597" spans="2:9" ht="15">
      <c r="B1597"/>
      <c r="C1597"/>
      <c r="D1597"/>
      <c r="E1597"/>
      <c r="F1597"/>
      <c r="G1597"/>
      <c r="H1597"/>
      <c r="I1597"/>
    </row>
    <row r="1598" spans="2:9" ht="15">
      <c r="B1598"/>
      <c r="C1598"/>
      <c r="D1598"/>
      <c r="E1598"/>
      <c r="F1598"/>
      <c r="G1598"/>
      <c r="H1598"/>
      <c r="I1598"/>
    </row>
    <row r="1599" spans="2:9" ht="15">
      <c r="B1599"/>
      <c r="C1599"/>
      <c r="D1599"/>
      <c r="E1599"/>
      <c r="F1599"/>
      <c r="G1599"/>
      <c r="H1599"/>
      <c r="I1599"/>
    </row>
    <row r="1600" spans="2:9" ht="15">
      <c r="B1600"/>
      <c r="C1600"/>
      <c r="D1600"/>
      <c r="E1600"/>
      <c r="F1600"/>
      <c r="G1600"/>
      <c r="H1600"/>
      <c r="I1600"/>
    </row>
    <row r="1601" spans="2:9" ht="15">
      <c r="B1601"/>
      <c r="C1601"/>
      <c r="D1601"/>
      <c r="E1601"/>
      <c r="F1601"/>
      <c r="G1601"/>
      <c r="H1601"/>
      <c r="I1601"/>
    </row>
    <row r="1602" spans="2:9" ht="15">
      <c r="B1602"/>
      <c r="C1602"/>
      <c r="D1602"/>
      <c r="E1602"/>
      <c r="F1602"/>
      <c r="G1602"/>
      <c r="H1602"/>
      <c r="I1602"/>
    </row>
    <row r="1603" spans="2:9" ht="15">
      <c r="B1603"/>
      <c r="C1603"/>
      <c r="D1603"/>
      <c r="E1603"/>
      <c r="F1603"/>
      <c r="G1603"/>
      <c r="H1603"/>
      <c r="I1603"/>
    </row>
    <row r="1604" spans="2:9" ht="15">
      <c r="B1604"/>
      <c r="C1604"/>
      <c r="D1604"/>
      <c r="E1604"/>
      <c r="F1604"/>
      <c r="G1604"/>
      <c r="H1604"/>
      <c r="I1604"/>
    </row>
    <row r="1605" spans="2:9" ht="15">
      <c r="B1605"/>
      <c r="C1605"/>
      <c r="D1605"/>
      <c r="E1605"/>
      <c r="F1605"/>
      <c r="G1605"/>
      <c r="H1605"/>
      <c r="I1605"/>
    </row>
    <row r="1606" spans="2:9" ht="15">
      <c r="B1606"/>
      <c r="C1606"/>
      <c r="D1606"/>
      <c r="E1606"/>
      <c r="F1606"/>
      <c r="G1606"/>
      <c r="H1606"/>
      <c r="I1606"/>
    </row>
    <row r="1607" spans="2:9" ht="15">
      <c r="B1607"/>
      <c r="C1607"/>
      <c r="D1607"/>
      <c r="E1607"/>
      <c r="F1607"/>
      <c r="G1607"/>
      <c r="H1607"/>
      <c r="I1607"/>
    </row>
    <row r="1608" spans="2:9" ht="15">
      <c r="B1608"/>
      <c r="C1608"/>
      <c r="D1608"/>
      <c r="E1608"/>
      <c r="F1608"/>
      <c r="G1608"/>
      <c r="H1608"/>
      <c r="I1608"/>
    </row>
    <row r="1609" spans="2:9" ht="15">
      <c r="B1609"/>
      <c r="C1609"/>
      <c r="D1609"/>
      <c r="E1609"/>
      <c r="F1609"/>
      <c r="G1609"/>
      <c r="H1609"/>
      <c r="I1609"/>
    </row>
    <row r="1610" spans="2:9" ht="15">
      <c r="B1610"/>
      <c r="C1610"/>
      <c r="D1610"/>
      <c r="E1610"/>
      <c r="F1610"/>
      <c r="G1610"/>
      <c r="H1610"/>
      <c r="I1610"/>
    </row>
    <row r="1611" spans="2:9" ht="15">
      <c r="B1611"/>
      <c r="C1611"/>
      <c r="D1611"/>
      <c r="E1611"/>
      <c r="F1611"/>
      <c r="G1611"/>
      <c r="H1611"/>
      <c r="I1611"/>
    </row>
    <row r="1612" spans="2:9" ht="15">
      <c r="B1612"/>
      <c r="C1612"/>
      <c r="D1612"/>
      <c r="E1612"/>
      <c r="F1612"/>
      <c r="G1612"/>
      <c r="H1612"/>
      <c r="I1612"/>
    </row>
    <row r="1613" spans="2:9" ht="15">
      <c r="B1613"/>
      <c r="C1613"/>
      <c r="D1613"/>
      <c r="E1613"/>
      <c r="F1613"/>
      <c r="G1613"/>
      <c r="H1613"/>
      <c r="I1613"/>
    </row>
    <row r="1614" spans="2:9" ht="15">
      <c r="B1614"/>
      <c r="C1614"/>
      <c r="D1614"/>
      <c r="E1614"/>
      <c r="F1614"/>
      <c r="G1614"/>
      <c r="H1614"/>
      <c r="I1614"/>
    </row>
    <row r="1615" spans="2:9" ht="15">
      <c r="B1615"/>
      <c r="C1615"/>
      <c r="D1615"/>
      <c r="E1615"/>
      <c r="F1615"/>
      <c r="G1615"/>
      <c r="H1615"/>
      <c r="I1615"/>
    </row>
    <row r="1616" spans="2:9" ht="15">
      <c r="B1616"/>
      <c r="C1616"/>
      <c r="D1616"/>
      <c r="E1616"/>
      <c r="F1616"/>
      <c r="G1616"/>
      <c r="H1616"/>
      <c r="I1616"/>
    </row>
    <row r="1617" spans="2:9" ht="15">
      <c r="B1617"/>
      <c r="C1617"/>
      <c r="D1617"/>
      <c r="E1617"/>
      <c r="F1617"/>
      <c r="G1617"/>
      <c r="H1617"/>
      <c r="I1617"/>
    </row>
    <row r="1618" spans="2:9" ht="15">
      <c r="B1618"/>
      <c r="C1618"/>
      <c r="D1618"/>
      <c r="E1618"/>
      <c r="F1618"/>
      <c r="G1618"/>
      <c r="H1618"/>
      <c r="I1618"/>
    </row>
    <row r="1619" spans="2:9" ht="15">
      <c r="B1619"/>
      <c r="C1619"/>
      <c r="D1619"/>
      <c r="E1619"/>
      <c r="F1619"/>
      <c r="G1619"/>
      <c r="H1619"/>
      <c r="I1619"/>
    </row>
    <row r="1620" spans="2:9" ht="15">
      <c r="B1620"/>
      <c r="C1620"/>
      <c r="D1620"/>
      <c r="E1620"/>
      <c r="F1620"/>
      <c r="G1620"/>
      <c r="H1620"/>
      <c r="I1620"/>
    </row>
    <row r="1621" spans="2:9" ht="15">
      <c r="B1621"/>
      <c r="C1621"/>
      <c r="D1621"/>
      <c r="E1621"/>
      <c r="F1621"/>
      <c r="G1621"/>
      <c r="H1621"/>
      <c r="I1621"/>
    </row>
    <row r="1622" spans="2:9" ht="15">
      <c r="B1622"/>
      <c r="C1622"/>
      <c r="D1622"/>
      <c r="E1622"/>
      <c r="F1622"/>
      <c r="G1622"/>
      <c r="H1622"/>
      <c r="I1622"/>
    </row>
    <row r="1623" spans="2:9" ht="15">
      <c r="B1623"/>
      <c r="C1623"/>
      <c r="D1623"/>
      <c r="E1623"/>
      <c r="F1623"/>
      <c r="G1623"/>
      <c r="H1623"/>
      <c r="I1623"/>
    </row>
    <row r="1624" spans="2:9" ht="13.5" customHeight="1">
      <c r="B1624"/>
      <c r="C1624"/>
      <c r="D1624"/>
      <c r="E1624"/>
      <c r="F1624"/>
      <c r="G1624"/>
      <c r="H1624"/>
      <c r="I1624"/>
    </row>
    <row r="1625" spans="2:9" ht="15">
      <c r="B1625"/>
      <c r="C1625"/>
      <c r="D1625"/>
      <c r="E1625"/>
      <c r="F1625"/>
      <c r="G1625"/>
      <c r="H1625"/>
      <c r="I1625"/>
    </row>
    <row r="1626" spans="2:9" ht="15">
      <c r="B1626"/>
      <c r="C1626"/>
      <c r="D1626"/>
      <c r="E1626"/>
      <c r="F1626"/>
      <c r="G1626"/>
      <c r="H1626"/>
      <c r="I1626"/>
    </row>
    <row r="1627" spans="2:9" ht="15">
      <c r="B1627"/>
      <c r="C1627"/>
      <c r="D1627"/>
      <c r="E1627"/>
      <c r="F1627"/>
      <c r="G1627"/>
      <c r="H1627"/>
      <c r="I1627"/>
    </row>
    <row r="1628" spans="2:9" ht="15">
      <c r="B1628"/>
      <c r="C1628"/>
      <c r="D1628"/>
      <c r="E1628"/>
      <c r="F1628"/>
      <c r="G1628"/>
      <c r="H1628"/>
      <c r="I1628"/>
    </row>
    <row r="1629" spans="2:9" ht="15">
      <c r="B1629"/>
      <c r="C1629"/>
      <c r="D1629"/>
      <c r="E1629"/>
      <c r="F1629"/>
      <c r="G1629"/>
      <c r="H1629"/>
      <c r="I1629"/>
    </row>
    <row r="1630" spans="2:9" ht="15">
      <c r="B1630"/>
      <c r="C1630"/>
      <c r="D1630"/>
      <c r="E1630"/>
      <c r="F1630"/>
      <c r="G1630"/>
      <c r="H1630"/>
      <c r="I1630"/>
    </row>
    <row r="1631" spans="2:9" ht="15">
      <c r="B1631"/>
      <c r="C1631"/>
      <c r="D1631"/>
      <c r="E1631"/>
      <c r="F1631"/>
      <c r="G1631"/>
      <c r="H1631"/>
      <c r="I1631"/>
    </row>
    <row r="1632" spans="2:9" ht="15">
      <c r="B1632"/>
      <c r="C1632"/>
      <c r="D1632"/>
      <c r="E1632"/>
      <c r="F1632"/>
      <c r="G1632"/>
      <c r="H1632"/>
      <c r="I1632"/>
    </row>
    <row r="1633" spans="2:9" ht="15">
      <c r="B1633"/>
      <c r="C1633"/>
      <c r="D1633"/>
      <c r="E1633"/>
      <c r="F1633"/>
      <c r="G1633"/>
      <c r="H1633"/>
      <c r="I1633"/>
    </row>
    <row r="1634" spans="2:9" ht="15">
      <c r="B1634"/>
      <c r="C1634"/>
      <c r="D1634"/>
      <c r="E1634"/>
      <c r="F1634"/>
      <c r="G1634"/>
      <c r="H1634"/>
      <c r="I1634"/>
    </row>
    <row r="1635" spans="2:9" ht="15">
      <c r="B1635"/>
      <c r="C1635"/>
      <c r="D1635"/>
      <c r="E1635"/>
      <c r="F1635"/>
      <c r="G1635"/>
      <c r="H1635"/>
      <c r="I1635"/>
    </row>
    <row r="1636" spans="2:9" ht="15">
      <c r="B1636"/>
      <c r="C1636"/>
      <c r="D1636"/>
      <c r="E1636"/>
      <c r="F1636"/>
      <c r="G1636"/>
      <c r="H1636"/>
      <c r="I1636"/>
    </row>
    <row r="1637" spans="2:9" ht="15">
      <c r="B1637"/>
      <c r="C1637"/>
      <c r="D1637"/>
      <c r="E1637"/>
      <c r="F1637"/>
      <c r="G1637"/>
      <c r="H1637"/>
      <c r="I1637"/>
    </row>
    <row r="1638" spans="2:9" ht="15">
      <c r="B1638"/>
      <c r="C1638"/>
      <c r="D1638"/>
      <c r="E1638"/>
      <c r="F1638"/>
      <c r="G1638"/>
      <c r="H1638"/>
      <c r="I1638"/>
    </row>
    <row r="1639" spans="2:9" ht="15">
      <c r="B1639"/>
      <c r="C1639"/>
      <c r="D1639"/>
      <c r="E1639"/>
      <c r="F1639"/>
      <c r="G1639"/>
      <c r="H1639"/>
      <c r="I1639"/>
    </row>
    <row r="1640" spans="2:9" ht="15">
      <c r="B1640"/>
      <c r="C1640"/>
      <c r="D1640"/>
      <c r="E1640"/>
      <c r="F1640"/>
      <c r="G1640"/>
      <c r="H1640"/>
      <c r="I1640"/>
    </row>
    <row r="1641" spans="2:9" ht="15">
      <c r="B1641"/>
      <c r="C1641"/>
      <c r="D1641"/>
      <c r="E1641"/>
      <c r="F1641"/>
      <c r="G1641"/>
      <c r="H1641"/>
      <c r="I1641"/>
    </row>
    <row r="1642" spans="2:9" ht="15">
      <c r="B1642"/>
      <c r="C1642"/>
      <c r="D1642"/>
      <c r="E1642"/>
      <c r="F1642"/>
      <c r="G1642"/>
      <c r="H1642"/>
      <c r="I1642"/>
    </row>
    <row r="1643" spans="2:9" ht="15">
      <c r="B1643"/>
      <c r="C1643"/>
      <c r="D1643"/>
      <c r="E1643"/>
      <c r="F1643"/>
      <c r="G1643"/>
      <c r="H1643"/>
      <c r="I1643"/>
    </row>
    <row r="1644" spans="2:9" ht="15">
      <c r="B1644"/>
      <c r="C1644"/>
      <c r="D1644"/>
      <c r="E1644"/>
      <c r="F1644"/>
      <c r="G1644"/>
      <c r="H1644"/>
      <c r="I1644"/>
    </row>
    <row r="1645" spans="2:9" ht="15">
      <c r="B1645"/>
      <c r="C1645"/>
      <c r="D1645"/>
      <c r="E1645"/>
      <c r="F1645"/>
      <c r="G1645"/>
      <c r="H1645"/>
      <c r="I1645"/>
    </row>
    <row r="1646" spans="2:9" ht="15">
      <c r="B1646"/>
      <c r="C1646"/>
      <c r="D1646"/>
      <c r="E1646"/>
      <c r="F1646"/>
      <c r="G1646"/>
      <c r="H1646"/>
      <c r="I1646"/>
    </row>
    <row r="1647" spans="2:9" ht="15">
      <c r="B1647"/>
      <c r="C1647"/>
      <c r="D1647"/>
      <c r="E1647"/>
      <c r="F1647"/>
      <c r="G1647"/>
      <c r="H1647"/>
      <c r="I1647"/>
    </row>
    <row r="1648" spans="2:9" ht="15">
      <c r="B1648"/>
      <c r="C1648"/>
      <c r="D1648"/>
      <c r="E1648"/>
      <c r="F1648"/>
      <c r="G1648"/>
      <c r="H1648"/>
      <c r="I1648"/>
    </row>
    <row r="1649" spans="2:9" ht="15">
      <c r="B1649"/>
      <c r="C1649"/>
      <c r="D1649"/>
      <c r="E1649"/>
      <c r="F1649"/>
      <c r="G1649"/>
      <c r="H1649"/>
      <c r="I1649"/>
    </row>
    <row r="1650" spans="2:9" ht="15">
      <c r="B1650"/>
      <c r="C1650"/>
      <c r="D1650"/>
      <c r="E1650"/>
      <c r="F1650"/>
      <c r="G1650"/>
      <c r="H1650"/>
      <c r="I1650"/>
    </row>
    <row r="1651" spans="2:9" ht="15">
      <c r="B1651"/>
      <c r="C1651"/>
      <c r="D1651"/>
      <c r="E1651"/>
      <c r="F1651"/>
      <c r="G1651"/>
      <c r="H1651"/>
      <c r="I1651"/>
    </row>
    <row r="1652" spans="2:9" ht="15">
      <c r="B1652"/>
      <c r="C1652"/>
      <c r="D1652"/>
      <c r="E1652"/>
      <c r="F1652"/>
      <c r="G1652"/>
      <c r="H1652"/>
      <c r="I1652"/>
    </row>
    <row r="1653" spans="2:9" ht="15">
      <c r="B1653"/>
      <c r="C1653"/>
      <c r="D1653"/>
      <c r="E1653"/>
      <c r="F1653"/>
      <c r="G1653"/>
      <c r="H1653"/>
      <c r="I1653"/>
    </row>
    <row r="1654" spans="2:9" ht="15">
      <c r="B1654"/>
      <c r="C1654"/>
      <c r="D1654"/>
      <c r="E1654"/>
      <c r="F1654"/>
      <c r="G1654"/>
      <c r="H1654"/>
      <c r="I1654"/>
    </row>
    <row r="1655" spans="2:9" ht="15">
      <c r="B1655"/>
      <c r="C1655"/>
      <c r="D1655"/>
      <c r="E1655"/>
      <c r="F1655"/>
      <c r="G1655"/>
      <c r="H1655"/>
      <c r="I1655"/>
    </row>
    <row r="1656" spans="2:9" ht="15">
      <c r="B1656"/>
      <c r="C1656"/>
      <c r="D1656"/>
      <c r="E1656"/>
      <c r="F1656"/>
      <c r="G1656"/>
      <c r="H1656"/>
      <c r="I1656"/>
    </row>
    <row r="1657" spans="2:9" ht="15">
      <c r="B1657"/>
      <c r="C1657"/>
      <c r="D1657"/>
      <c r="E1657"/>
      <c r="F1657"/>
      <c r="G1657"/>
      <c r="H1657"/>
      <c r="I1657"/>
    </row>
    <row r="1658" spans="2:9" ht="15">
      <c r="B1658"/>
      <c r="C1658"/>
      <c r="D1658"/>
      <c r="E1658"/>
      <c r="F1658"/>
      <c r="G1658"/>
      <c r="H1658"/>
      <c r="I1658"/>
    </row>
    <row r="1659" spans="2:9" ht="15">
      <c r="B1659"/>
      <c r="C1659"/>
      <c r="D1659"/>
      <c r="E1659"/>
      <c r="F1659"/>
      <c r="G1659"/>
      <c r="H1659"/>
      <c r="I1659"/>
    </row>
    <row r="1660" spans="2:9" ht="15">
      <c r="B1660"/>
      <c r="C1660"/>
      <c r="D1660"/>
      <c r="E1660"/>
      <c r="F1660"/>
      <c r="G1660"/>
      <c r="H1660"/>
      <c r="I1660"/>
    </row>
    <row r="1661" spans="2:9" ht="15">
      <c r="B1661"/>
      <c r="C1661"/>
      <c r="D1661"/>
      <c r="E1661"/>
      <c r="F1661"/>
      <c r="G1661"/>
      <c r="H1661"/>
      <c r="I1661"/>
    </row>
    <row r="1662" spans="2:9" ht="15">
      <c r="B1662"/>
      <c r="C1662"/>
      <c r="D1662"/>
      <c r="E1662"/>
      <c r="F1662"/>
      <c r="G1662"/>
      <c r="H1662"/>
      <c r="I1662"/>
    </row>
    <row r="1663" spans="2:9" ht="15">
      <c r="B1663"/>
      <c r="C1663"/>
      <c r="D1663"/>
      <c r="E1663"/>
      <c r="F1663"/>
      <c r="G1663"/>
      <c r="H1663"/>
      <c r="I1663"/>
    </row>
    <row r="1664" spans="2:9" ht="15">
      <c r="B1664"/>
      <c r="C1664"/>
      <c r="D1664"/>
      <c r="E1664"/>
      <c r="F1664"/>
      <c r="G1664"/>
      <c r="H1664"/>
      <c r="I1664"/>
    </row>
    <row r="1665" spans="2:9" ht="15">
      <c r="B1665"/>
      <c r="C1665"/>
      <c r="D1665"/>
      <c r="E1665"/>
      <c r="F1665"/>
      <c r="G1665"/>
      <c r="H1665"/>
      <c r="I1665"/>
    </row>
    <row r="1666" spans="2:9" ht="15">
      <c r="B1666"/>
      <c r="C1666"/>
      <c r="D1666"/>
      <c r="E1666"/>
      <c r="F1666"/>
      <c r="G1666"/>
      <c r="H1666"/>
      <c r="I1666"/>
    </row>
    <row r="1667" spans="2:9" ht="15">
      <c r="B1667"/>
      <c r="C1667"/>
      <c r="D1667"/>
      <c r="E1667"/>
      <c r="F1667"/>
      <c r="G1667"/>
      <c r="H1667"/>
      <c r="I1667"/>
    </row>
    <row r="1668" spans="2:9" ht="13.5" customHeight="1">
      <c r="B1668"/>
      <c r="C1668"/>
      <c r="D1668"/>
      <c r="E1668"/>
      <c r="F1668"/>
      <c r="G1668"/>
      <c r="H1668"/>
      <c r="I1668"/>
    </row>
    <row r="1669" spans="2:9" ht="15">
      <c r="B1669"/>
      <c r="C1669"/>
      <c r="D1669"/>
      <c r="E1669"/>
      <c r="F1669"/>
      <c r="G1669"/>
      <c r="H1669"/>
      <c r="I1669"/>
    </row>
    <row r="1670" spans="2:9" ht="15">
      <c r="B1670"/>
      <c r="C1670"/>
      <c r="D1670"/>
      <c r="E1670"/>
      <c r="F1670"/>
      <c r="G1670"/>
      <c r="H1670"/>
      <c r="I1670"/>
    </row>
    <row r="1671" spans="2:9" ht="15">
      <c r="B1671"/>
      <c r="C1671"/>
      <c r="D1671"/>
      <c r="E1671"/>
      <c r="F1671"/>
      <c r="G1671"/>
      <c r="H1671"/>
      <c r="I1671"/>
    </row>
    <row r="1672" spans="2:9" ht="15">
      <c r="B1672"/>
      <c r="C1672"/>
      <c r="D1672"/>
      <c r="E1672"/>
      <c r="F1672"/>
      <c r="G1672"/>
      <c r="H1672"/>
      <c r="I1672"/>
    </row>
    <row r="1673" spans="2:9" ht="15">
      <c r="B1673"/>
      <c r="C1673"/>
      <c r="D1673"/>
      <c r="E1673"/>
      <c r="F1673"/>
      <c r="G1673"/>
      <c r="H1673"/>
      <c r="I1673"/>
    </row>
    <row r="1674" spans="2:9" ht="15">
      <c r="B1674"/>
      <c r="C1674"/>
      <c r="D1674"/>
      <c r="E1674"/>
      <c r="F1674"/>
      <c r="G1674"/>
      <c r="H1674"/>
      <c r="I1674"/>
    </row>
    <row r="1675" spans="2:9" ht="15">
      <c r="B1675"/>
      <c r="C1675"/>
      <c r="D1675"/>
      <c r="E1675"/>
      <c r="F1675"/>
      <c r="G1675"/>
      <c r="H1675"/>
      <c r="I1675"/>
    </row>
    <row r="1676" spans="2:9" ht="15">
      <c r="B1676"/>
      <c r="C1676"/>
      <c r="D1676"/>
      <c r="E1676"/>
      <c r="F1676"/>
      <c r="G1676"/>
      <c r="H1676"/>
      <c r="I1676"/>
    </row>
    <row r="1677" spans="2:9" ht="15">
      <c r="B1677"/>
      <c r="C1677"/>
      <c r="D1677"/>
      <c r="E1677"/>
      <c r="F1677"/>
      <c r="G1677"/>
      <c r="H1677"/>
      <c r="I1677"/>
    </row>
    <row r="1678" spans="2:9" ht="15">
      <c r="B1678"/>
      <c r="C1678"/>
      <c r="D1678"/>
      <c r="E1678"/>
      <c r="F1678"/>
      <c r="G1678"/>
      <c r="H1678"/>
      <c r="I1678"/>
    </row>
    <row r="1679" spans="2:9" ht="15">
      <c r="B1679"/>
      <c r="C1679"/>
      <c r="D1679"/>
      <c r="E1679"/>
      <c r="F1679"/>
      <c r="G1679"/>
      <c r="H1679"/>
      <c r="I1679"/>
    </row>
    <row r="1680" spans="2:9" ht="15">
      <c r="B1680"/>
      <c r="C1680"/>
      <c r="D1680"/>
      <c r="E1680"/>
      <c r="F1680"/>
      <c r="G1680"/>
      <c r="H1680"/>
      <c r="I1680"/>
    </row>
    <row r="1681" spans="2:9" ht="15">
      <c r="B1681"/>
      <c r="C1681"/>
      <c r="D1681"/>
      <c r="E1681"/>
      <c r="F1681"/>
      <c r="G1681"/>
      <c r="H1681"/>
      <c r="I1681"/>
    </row>
    <row r="1682" spans="2:9" ht="15">
      <c r="B1682"/>
      <c r="C1682"/>
      <c r="D1682"/>
      <c r="E1682"/>
      <c r="F1682"/>
      <c r="G1682"/>
      <c r="H1682"/>
      <c r="I1682"/>
    </row>
    <row r="1683" spans="2:9" ht="15">
      <c r="B1683"/>
      <c r="C1683"/>
      <c r="D1683"/>
      <c r="E1683"/>
      <c r="F1683"/>
      <c r="G1683"/>
      <c r="H1683"/>
      <c r="I1683"/>
    </row>
    <row r="1684" spans="2:9" ht="15">
      <c r="B1684"/>
      <c r="C1684"/>
      <c r="D1684"/>
      <c r="E1684"/>
      <c r="F1684"/>
      <c r="G1684"/>
      <c r="H1684"/>
      <c r="I1684"/>
    </row>
    <row r="1685" spans="2:9" ht="15">
      <c r="B1685"/>
      <c r="C1685"/>
      <c r="D1685"/>
      <c r="E1685"/>
      <c r="F1685"/>
      <c r="G1685"/>
      <c r="H1685"/>
      <c r="I1685"/>
    </row>
    <row r="1686" spans="2:9" ht="15">
      <c r="B1686"/>
      <c r="C1686"/>
      <c r="D1686"/>
      <c r="E1686"/>
      <c r="F1686"/>
      <c r="G1686"/>
      <c r="H1686"/>
      <c r="I1686"/>
    </row>
    <row r="1687" spans="2:9" ht="15">
      <c r="B1687"/>
      <c r="C1687"/>
      <c r="D1687"/>
      <c r="E1687"/>
      <c r="F1687"/>
      <c r="G1687"/>
      <c r="H1687"/>
      <c r="I1687"/>
    </row>
    <row r="1688" spans="2:9" ht="15">
      <c r="B1688"/>
      <c r="C1688"/>
      <c r="D1688"/>
      <c r="E1688"/>
      <c r="F1688"/>
      <c r="G1688"/>
      <c r="H1688"/>
      <c r="I1688"/>
    </row>
    <row r="1689" spans="2:9" ht="15">
      <c r="B1689"/>
      <c r="C1689"/>
      <c r="D1689"/>
      <c r="E1689"/>
      <c r="F1689"/>
      <c r="G1689"/>
      <c r="H1689"/>
      <c r="I1689"/>
    </row>
    <row r="1690" spans="2:9" ht="15">
      <c r="B1690"/>
      <c r="C1690"/>
      <c r="D1690"/>
      <c r="E1690"/>
      <c r="F1690"/>
      <c r="G1690"/>
      <c r="H1690"/>
      <c r="I1690"/>
    </row>
    <row r="1691" spans="2:9" ht="15">
      <c r="B1691"/>
      <c r="C1691"/>
      <c r="D1691"/>
      <c r="E1691"/>
      <c r="F1691"/>
      <c r="G1691"/>
      <c r="H1691"/>
      <c r="I1691"/>
    </row>
    <row r="1692" spans="2:9" ht="15">
      <c r="B1692"/>
      <c r="C1692"/>
      <c r="D1692"/>
      <c r="E1692"/>
      <c r="F1692"/>
      <c r="G1692"/>
      <c r="H1692"/>
      <c r="I1692"/>
    </row>
    <row r="1693" spans="2:9" ht="15">
      <c r="B1693"/>
      <c r="C1693"/>
      <c r="D1693"/>
      <c r="E1693"/>
      <c r="F1693"/>
      <c r="G1693"/>
      <c r="H1693"/>
      <c r="I1693"/>
    </row>
    <row r="1694" spans="2:9" ht="15">
      <c r="B1694"/>
      <c r="C1694"/>
      <c r="D1694"/>
      <c r="E1694"/>
      <c r="F1694"/>
      <c r="G1694"/>
      <c r="H1694"/>
      <c r="I1694"/>
    </row>
    <row r="1695" spans="2:9" ht="15">
      <c r="B1695"/>
      <c r="C1695"/>
      <c r="D1695"/>
      <c r="E1695"/>
      <c r="F1695"/>
      <c r="G1695"/>
      <c r="H1695"/>
      <c r="I1695"/>
    </row>
    <row r="1696" spans="2:9" ht="15">
      <c r="B1696"/>
      <c r="C1696"/>
      <c r="D1696"/>
      <c r="E1696"/>
      <c r="F1696"/>
      <c r="G1696"/>
      <c r="H1696"/>
      <c r="I1696"/>
    </row>
    <row r="1697" spans="2:9" ht="15">
      <c r="B1697"/>
      <c r="C1697"/>
      <c r="D1697"/>
      <c r="E1697"/>
      <c r="F1697"/>
      <c r="G1697"/>
      <c r="H1697"/>
      <c r="I1697"/>
    </row>
    <row r="1698" spans="2:9" ht="15">
      <c r="B1698"/>
      <c r="C1698"/>
      <c r="D1698"/>
      <c r="E1698"/>
      <c r="F1698"/>
      <c r="G1698"/>
      <c r="H1698"/>
      <c r="I1698"/>
    </row>
    <row r="1699" spans="2:9" ht="15">
      <c r="B1699"/>
      <c r="C1699"/>
      <c r="D1699"/>
      <c r="E1699"/>
      <c r="F1699"/>
      <c r="G1699"/>
      <c r="H1699"/>
      <c r="I1699"/>
    </row>
    <row r="1700" spans="2:9" ht="15">
      <c r="B1700"/>
      <c r="C1700"/>
      <c r="D1700"/>
      <c r="E1700"/>
      <c r="F1700"/>
      <c r="G1700"/>
      <c r="H1700"/>
      <c r="I1700"/>
    </row>
    <row r="1701" spans="2:9" ht="15">
      <c r="B1701"/>
      <c r="C1701"/>
      <c r="D1701"/>
      <c r="E1701"/>
      <c r="F1701"/>
      <c r="G1701"/>
      <c r="H1701"/>
      <c r="I1701"/>
    </row>
    <row r="1702" spans="2:9" ht="15">
      <c r="B1702"/>
      <c r="C1702"/>
      <c r="D1702"/>
      <c r="E1702"/>
      <c r="F1702"/>
      <c r="G1702"/>
      <c r="H1702"/>
      <c r="I1702"/>
    </row>
    <row r="1703" spans="2:9" ht="15">
      <c r="B1703"/>
      <c r="C1703"/>
      <c r="D1703"/>
      <c r="E1703"/>
      <c r="F1703"/>
      <c r="G1703"/>
      <c r="H1703"/>
      <c r="I1703"/>
    </row>
    <row r="1704" spans="2:9" ht="15">
      <c r="B1704"/>
      <c r="C1704"/>
      <c r="D1704"/>
      <c r="E1704"/>
      <c r="F1704"/>
      <c r="G1704"/>
      <c r="H1704"/>
      <c r="I1704"/>
    </row>
    <row r="1705" spans="2:9" ht="15">
      <c r="B1705"/>
      <c r="C1705"/>
      <c r="D1705"/>
      <c r="E1705"/>
      <c r="F1705"/>
      <c r="G1705"/>
      <c r="H1705"/>
      <c r="I1705"/>
    </row>
    <row r="1706" spans="2:9" ht="15">
      <c r="B1706"/>
      <c r="C1706"/>
      <c r="D1706"/>
      <c r="E1706"/>
      <c r="F1706"/>
      <c r="G1706"/>
      <c r="H1706"/>
      <c r="I1706"/>
    </row>
    <row r="1707" spans="2:9" ht="15">
      <c r="B1707"/>
      <c r="C1707"/>
      <c r="D1707"/>
      <c r="E1707"/>
      <c r="F1707"/>
      <c r="G1707"/>
      <c r="H1707"/>
      <c r="I1707"/>
    </row>
    <row r="1708" spans="2:9" ht="15">
      <c r="B1708"/>
      <c r="C1708"/>
      <c r="D1708"/>
      <c r="E1708"/>
      <c r="F1708"/>
      <c r="G1708"/>
      <c r="H1708"/>
      <c r="I1708"/>
    </row>
    <row r="1709" spans="2:9" ht="15">
      <c r="B1709"/>
      <c r="C1709"/>
      <c r="D1709"/>
      <c r="E1709"/>
      <c r="F1709"/>
      <c r="G1709"/>
      <c r="H1709"/>
      <c r="I1709"/>
    </row>
    <row r="1710" spans="2:9" ht="15">
      <c r="B1710"/>
      <c r="C1710"/>
      <c r="D1710"/>
      <c r="E1710"/>
      <c r="F1710"/>
      <c r="G1710"/>
      <c r="H1710"/>
      <c r="I1710"/>
    </row>
    <row r="1711" spans="2:9" ht="15">
      <c r="B1711"/>
      <c r="C1711"/>
      <c r="D1711"/>
      <c r="E1711"/>
      <c r="F1711"/>
      <c r="G1711"/>
      <c r="H1711"/>
      <c r="I1711"/>
    </row>
    <row r="1712" spans="2:9" ht="13.5" customHeight="1">
      <c r="B1712"/>
      <c r="C1712"/>
      <c r="D1712"/>
      <c r="E1712"/>
      <c r="F1712"/>
      <c r="G1712"/>
      <c r="H1712"/>
      <c r="I1712"/>
    </row>
    <row r="1713" spans="2:9" ht="15">
      <c r="B1713"/>
      <c r="C1713"/>
      <c r="D1713"/>
      <c r="E1713"/>
      <c r="F1713"/>
      <c r="G1713"/>
      <c r="H1713"/>
      <c r="I1713"/>
    </row>
    <row r="1714" spans="2:9" ht="15">
      <c r="B1714"/>
      <c r="C1714"/>
      <c r="D1714"/>
      <c r="E1714"/>
      <c r="F1714"/>
      <c r="G1714"/>
      <c r="H1714"/>
      <c r="I1714"/>
    </row>
    <row r="1715" spans="2:9" ht="15">
      <c r="B1715"/>
      <c r="C1715"/>
      <c r="D1715"/>
      <c r="E1715"/>
      <c r="F1715"/>
      <c r="G1715"/>
      <c r="H1715"/>
      <c r="I1715"/>
    </row>
    <row r="1716" spans="2:9" ht="15">
      <c r="B1716"/>
      <c r="C1716"/>
      <c r="D1716"/>
      <c r="E1716"/>
      <c r="F1716"/>
      <c r="G1716"/>
      <c r="H1716"/>
      <c r="I1716"/>
    </row>
    <row r="1717" spans="2:9" ht="15">
      <c r="B1717"/>
      <c r="C1717"/>
      <c r="D1717"/>
      <c r="E1717"/>
      <c r="F1717"/>
      <c r="G1717"/>
      <c r="H1717"/>
      <c r="I1717"/>
    </row>
    <row r="1718" spans="2:9" ht="15">
      <c r="B1718"/>
      <c r="C1718"/>
      <c r="D1718"/>
      <c r="E1718"/>
      <c r="F1718"/>
      <c r="G1718"/>
      <c r="H1718"/>
      <c r="I1718"/>
    </row>
    <row r="1719" spans="2:9" ht="15">
      <c r="B1719"/>
      <c r="C1719"/>
      <c r="D1719"/>
      <c r="E1719"/>
      <c r="F1719"/>
      <c r="G1719"/>
      <c r="H1719"/>
      <c r="I1719"/>
    </row>
    <row r="1720" spans="2:9" ht="15">
      <c r="B1720"/>
      <c r="C1720"/>
      <c r="D1720"/>
      <c r="E1720"/>
      <c r="F1720"/>
      <c r="G1720"/>
      <c r="H1720"/>
      <c r="I1720"/>
    </row>
    <row r="1721" spans="2:9" ht="15">
      <c r="B1721"/>
      <c r="C1721"/>
      <c r="D1721"/>
      <c r="E1721"/>
      <c r="F1721"/>
      <c r="G1721"/>
      <c r="H1721"/>
      <c r="I1721"/>
    </row>
    <row r="1722" spans="2:9" ht="15">
      <c r="B1722"/>
      <c r="C1722"/>
      <c r="D1722"/>
      <c r="E1722"/>
      <c r="F1722"/>
      <c r="G1722"/>
      <c r="H1722"/>
      <c r="I1722"/>
    </row>
    <row r="1723" spans="2:9" ht="15">
      <c r="B1723"/>
      <c r="C1723"/>
      <c r="D1723"/>
      <c r="E1723"/>
      <c r="F1723"/>
      <c r="G1723"/>
      <c r="H1723"/>
      <c r="I1723"/>
    </row>
    <row r="1724" spans="2:9" ht="15">
      <c r="B1724"/>
      <c r="C1724"/>
      <c r="D1724"/>
      <c r="E1724"/>
      <c r="F1724"/>
      <c r="G1724"/>
      <c r="H1724"/>
      <c r="I1724"/>
    </row>
    <row r="1725" spans="2:9" ht="15">
      <c r="B1725"/>
      <c r="C1725"/>
      <c r="D1725"/>
      <c r="E1725"/>
      <c r="F1725"/>
      <c r="G1725"/>
      <c r="H1725"/>
      <c r="I1725"/>
    </row>
    <row r="1726" spans="2:9" ht="15">
      <c r="B1726"/>
      <c r="C1726"/>
      <c r="D1726"/>
      <c r="E1726"/>
      <c r="F1726"/>
      <c r="G1726"/>
      <c r="H1726"/>
      <c r="I1726"/>
    </row>
    <row r="1727" spans="2:9" ht="15">
      <c r="B1727"/>
      <c r="C1727"/>
      <c r="D1727"/>
      <c r="E1727"/>
      <c r="F1727"/>
      <c r="G1727"/>
      <c r="H1727"/>
      <c r="I1727"/>
    </row>
    <row r="1728" spans="2:9" ht="15">
      <c r="B1728"/>
      <c r="C1728"/>
      <c r="D1728"/>
      <c r="E1728"/>
      <c r="F1728"/>
      <c r="G1728"/>
      <c r="H1728"/>
      <c r="I1728"/>
    </row>
    <row r="1729" spans="2:9" ht="15">
      <c r="B1729"/>
      <c r="C1729"/>
      <c r="D1729"/>
      <c r="E1729"/>
      <c r="F1729"/>
      <c r="G1729"/>
      <c r="H1729"/>
      <c r="I1729"/>
    </row>
    <row r="1730" spans="2:9" ht="15">
      <c r="B1730"/>
      <c r="C1730"/>
      <c r="D1730"/>
      <c r="E1730"/>
      <c r="F1730"/>
      <c r="G1730"/>
      <c r="H1730"/>
      <c r="I1730"/>
    </row>
    <row r="1731" spans="2:9" ht="15">
      <c r="B1731"/>
      <c r="C1731"/>
      <c r="D1731"/>
      <c r="E1731"/>
      <c r="F1731"/>
      <c r="G1731"/>
      <c r="H1731"/>
      <c r="I1731"/>
    </row>
    <row r="1732" spans="2:9" ht="15">
      <c r="B1732"/>
      <c r="C1732"/>
      <c r="D1732"/>
      <c r="E1732"/>
      <c r="F1732"/>
      <c r="G1732"/>
      <c r="H1732"/>
      <c r="I1732"/>
    </row>
    <row r="1733" spans="2:9" ht="15">
      <c r="B1733"/>
      <c r="C1733"/>
      <c r="D1733"/>
      <c r="E1733"/>
      <c r="F1733"/>
      <c r="G1733"/>
      <c r="H1733"/>
      <c r="I1733"/>
    </row>
    <row r="1734" spans="2:9" ht="15">
      <c r="B1734"/>
      <c r="C1734"/>
      <c r="D1734"/>
      <c r="E1734"/>
      <c r="F1734"/>
      <c r="G1734"/>
      <c r="H1734"/>
      <c r="I1734"/>
    </row>
    <row r="1735" spans="2:9" ht="15">
      <c r="B1735"/>
      <c r="C1735"/>
      <c r="D1735"/>
      <c r="E1735"/>
      <c r="F1735"/>
      <c r="G1735"/>
      <c r="H1735"/>
      <c r="I1735"/>
    </row>
    <row r="1736" spans="2:9" ht="15">
      <c r="B1736"/>
      <c r="C1736"/>
      <c r="D1736"/>
      <c r="E1736"/>
      <c r="F1736"/>
      <c r="G1736"/>
      <c r="H1736"/>
      <c r="I1736"/>
    </row>
    <row r="1737" spans="2:9" ht="15">
      <c r="B1737"/>
      <c r="C1737"/>
      <c r="D1737"/>
      <c r="E1737"/>
      <c r="F1737"/>
      <c r="G1737"/>
      <c r="H1737"/>
      <c r="I1737"/>
    </row>
    <row r="1738" spans="2:9" ht="15">
      <c r="B1738"/>
      <c r="C1738"/>
      <c r="D1738"/>
      <c r="E1738"/>
      <c r="F1738"/>
      <c r="G1738"/>
      <c r="H1738"/>
      <c r="I1738"/>
    </row>
    <row r="1739" spans="2:9" ht="15">
      <c r="B1739"/>
      <c r="C1739"/>
      <c r="D1739"/>
      <c r="E1739"/>
      <c r="F1739"/>
      <c r="G1739"/>
      <c r="H1739"/>
      <c r="I1739"/>
    </row>
    <row r="1740" spans="2:9" ht="15">
      <c r="B1740"/>
      <c r="C1740"/>
      <c r="D1740"/>
      <c r="E1740"/>
      <c r="F1740"/>
      <c r="G1740"/>
      <c r="H1740"/>
      <c r="I1740"/>
    </row>
    <row r="1741" spans="2:9" ht="15">
      <c r="B1741"/>
      <c r="C1741"/>
      <c r="D1741"/>
      <c r="E1741"/>
      <c r="F1741"/>
      <c r="G1741"/>
      <c r="H1741"/>
      <c r="I1741"/>
    </row>
    <row r="1742" spans="2:9" ht="15">
      <c r="B1742"/>
      <c r="C1742"/>
      <c r="D1742"/>
      <c r="E1742"/>
      <c r="F1742"/>
      <c r="G1742"/>
      <c r="H1742"/>
      <c r="I1742"/>
    </row>
    <row r="1743" spans="2:9" ht="15">
      <c r="B1743"/>
      <c r="C1743"/>
      <c r="D1743"/>
      <c r="E1743"/>
      <c r="F1743"/>
      <c r="G1743"/>
      <c r="H1743"/>
      <c r="I1743"/>
    </row>
    <row r="1744" spans="2:9" ht="15">
      <c r="B1744"/>
      <c r="C1744"/>
      <c r="D1744"/>
      <c r="E1744"/>
      <c r="F1744"/>
      <c r="G1744"/>
      <c r="H1744"/>
      <c r="I1744"/>
    </row>
    <row r="1745" spans="2:9" ht="15">
      <c r="B1745"/>
      <c r="C1745"/>
      <c r="D1745"/>
      <c r="E1745"/>
      <c r="F1745"/>
      <c r="G1745"/>
      <c r="H1745"/>
      <c r="I1745"/>
    </row>
    <row r="1746" spans="2:9" ht="15">
      <c r="B1746"/>
      <c r="C1746"/>
      <c r="D1746"/>
      <c r="E1746"/>
      <c r="F1746"/>
      <c r="G1746"/>
      <c r="H1746"/>
      <c r="I1746"/>
    </row>
    <row r="1747" spans="2:9" ht="15">
      <c r="B1747"/>
      <c r="C1747"/>
      <c r="D1747"/>
      <c r="E1747"/>
      <c r="F1747"/>
      <c r="G1747"/>
      <c r="H1747"/>
      <c r="I1747"/>
    </row>
    <row r="1748" spans="2:9" ht="15">
      <c r="B1748"/>
      <c r="C1748"/>
      <c r="D1748"/>
      <c r="E1748"/>
      <c r="F1748"/>
      <c r="G1748"/>
      <c r="H1748"/>
      <c r="I1748"/>
    </row>
    <row r="1749" spans="2:9" ht="15">
      <c r="B1749"/>
      <c r="C1749"/>
      <c r="D1749"/>
      <c r="E1749"/>
      <c r="F1749"/>
      <c r="G1749"/>
      <c r="H1749"/>
      <c r="I1749"/>
    </row>
    <row r="1750" spans="2:9" ht="15">
      <c r="B1750"/>
      <c r="C1750"/>
      <c r="D1750"/>
      <c r="E1750"/>
      <c r="F1750"/>
      <c r="G1750"/>
      <c r="H1750"/>
      <c r="I1750"/>
    </row>
    <row r="1751" spans="2:9" ht="15">
      <c r="B1751"/>
      <c r="C1751"/>
      <c r="D1751"/>
      <c r="E1751"/>
      <c r="F1751"/>
      <c r="G1751"/>
      <c r="H1751"/>
      <c r="I1751"/>
    </row>
    <row r="1752" spans="2:9" ht="15">
      <c r="B1752"/>
      <c r="C1752"/>
      <c r="D1752"/>
      <c r="E1752"/>
      <c r="F1752"/>
      <c r="G1752"/>
      <c r="H1752"/>
      <c r="I1752"/>
    </row>
    <row r="1753" spans="2:9" ht="15">
      <c r="B1753"/>
      <c r="C1753"/>
      <c r="D1753"/>
      <c r="E1753"/>
      <c r="F1753"/>
      <c r="G1753"/>
      <c r="H1753"/>
      <c r="I1753"/>
    </row>
    <row r="1754" spans="2:9" ht="15">
      <c r="B1754"/>
      <c r="C1754"/>
      <c r="D1754"/>
      <c r="E1754"/>
      <c r="F1754"/>
      <c r="G1754"/>
      <c r="H1754"/>
      <c r="I1754"/>
    </row>
    <row r="1755" spans="2:9" ht="15">
      <c r="B1755"/>
      <c r="C1755"/>
      <c r="D1755"/>
      <c r="E1755"/>
      <c r="F1755"/>
      <c r="G1755"/>
      <c r="H1755"/>
      <c r="I1755"/>
    </row>
    <row r="1756" spans="2:9" ht="13.5" customHeight="1">
      <c r="B1756"/>
      <c r="C1756"/>
      <c r="D1756"/>
      <c r="E1756"/>
      <c r="F1756"/>
      <c r="G1756"/>
      <c r="H1756"/>
      <c r="I1756"/>
    </row>
    <row r="1757" spans="2:9" ht="15">
      <c r="B1757"/>
      <c r="C1757"/>
      <c r="D1757"/>
      <c r="E1757"/>
      <c r="F1757"/>
      <c r="G1757"/>
      <c r="H1757"/>
      <c r="I1757"/>
    </row>
    <row r="1758" spans="2:9" ht="15">
      <c r="B1758"/>
      <c r="C1758"/>
      <c r="D1758"/>
      <c r="E1758"/>
      <c r="F1758"/>
      <c r="G1758"/>
      <c r="H1758"/>
      <c r="I1758"/>
    </row>
    <row r="1759" spans="2:9" ht="15">
      <c r="B1759"/>
      <c r="C1759"/>
      <c r="D1759"/>
      <c r="E1759"/>
      <c r="F1759"/>
      <c r="G1759"/>
      <c r="H1759"/>
      <c r="I1759"/>
    </row>
    <row r="1760" spans="2:9" ht="15">
      <c r="B1760"/>
      <c r="C1760"/>
      <c r="D1760"/>
      <c r="E1760"/>
      <c r="F1760"/>
      <c r="G1760"/>
      <c r="H1760"/>
      <c r="I1760"/>
    </row>
    <row r="1761" spans="2:9" ht="15">
      <c r="B1761"/>
      <c r="C1761"/>
      <c r="D1761"/>
      <c r="E1761"/>
      <c r="F1761"/>
      <c r="G1761"/>
      <c r="H1761"/>
      <c r="I1761"/>
    </row>
    <row r="1762" spans="2:9" ht="15">
      <c r="B1762"/>
      <c r="C1762"/>
      <c r="D1762"/>
      <c r="E1762"/>
      <c r="F1762"/>
      <c r="G1762"/>
      <c r="H1762"/>
      <c r="I1762"/>
    </row>
    <row r="1763" spans="2:9" ht="15">
      <c r="B1763"/>
      <c r="C1763"/>
      <c r="D1763"/>
      <c r="E1763"/>
      <c r="F1763"/>
      <c r="G1763"/>
      <c r="H1763"/>
      <c r="I1763"/>
    </row>
    <row r="1764" spans="2:9" ht="15">
      <c r="B1764"/>
      <c r="C1764"/>
      <c r="D1764"/>
      <c r="E1764"/>
      <c r="F1764"/>
      <c r="G1764"/>
      <c r="H1764"/>
      <c r="I1764"/>
    </row>
    <row r="1765" spans="2:9" ht="15">
      <c r="B1765"/>
      <c r="C1765"/>
      <c r="D1765"/>
      <c r="E1765"/>
      <c r="F1765"/>
      <c r="G1765"/>
      <c r="H1765"/>
      <c r="I1765"/>
    </row>
    <row r="1766" spans="2:9" ht="15">
      <c r="B1766"/>
      <c r="C1766"/>
      <c r="D1766"/>
      <c r="E1766"/>
      <c r="F1766"/>
      <c r="G1766"/>
      <c r="H1766"/>
      <c r="I1766"/>
    </row>
    <row r="1767" spans="2:9" ht="15">
      <c r="B1767"/>
      <c r="C1767"/>
      <c r="D1767"/>
      <c r="E1767"/>
      <c r="F1767"/>
      <c r="G1767"/>
      <c r="H1767"/>
      <c r="I1767"/>
    </row>
    <row r="1768" spans="2:9" ht="15">
      <c r="B1768"/>
      <c r="C1768"/>
      <c r="D1768"/>
      <c r="E1768"/>
      <c r="F1768"/>
      <c r="G1768"/>
      <c r="H1768"/>
      <c r="I1768"/>
    </row>
    <row r="1769" spans="2:9" ht="15">
      <c r="B1769"/>
      <c r="C1769"/>
      <c r="D1769"/>
      <c r="E1769"/>
      <c r="F1769"/>
      <c r="G1769"/>
      <c r="H1769"/>
      <c r="I1769"/>
    </row>
    <row r="1770" spans="2:9" ht="15">
      <c r="B1770"/>
      <c r="C1770"/>
      <c r="D1770"/>
      <c r="E1770"/>
      <c r="F1770"/>
      <c r="G1770"/>
      <c r="H1770"/>
      <c r="I1770"/>
    </row>
    <row r="1771" spans="2:9" ht="15">
      <c r="B1771"/>
      <c r="C1771"/>
      <c r="D1771"/>
      <c r="E1771"/>
      <c r="F1771"/>
      <c r="G1771"/>
      <c r="H1771"/>
      <c r="I1771"/>
    </row>
    <row r="1772" spans="2:9" ht="15">
      <c r="B1772"/>
      <c r="C1772"/>
      <c r="D1772"/>
      <c r="E1772"/>
      <c r="F1772"/>
      <c r="G1772"/>
      <c r="H1772"/>
      <c r="I1772"/>
    </row>
    <row r="1773" spans="2:9" ht="15">
      <c r="B1773"/>
      <c r="C1773"/>
      <c r="D1773"/>
      <c r="E1773"/>
      <c r="F1773"/>
      <c r="G1773"/>
      <c r="H1773"/>
      <c r="I1773"/>
    </row>
    <row r="1774" spans="2:9" ht="15">
      <c r="B1774"/>
      <c r="C1774"/>
      <c r="D1774"/>
      <c r="E1774"/>
      <c r="F1774"/>
      <c r="G1774"/>
      <c r="H1774"/>
      <c r="I1774"/>
    </row>
    <row r="1775" spans="2:9" ht="15">
      <c r="B1775"/>
      <c r="C1775"/>
      <c r="D1775"/>
      <c r="E1775"/>
      <c r="F1775"/>
      <c r="G1775"/>
      <c r="H1775"/>
      <c r="I1775"/>
    </row>
    <row r="1776" spans="2:9" ht="15">
      <c r="B1776"/>
      <c r="C1776"/>
      <c r="D1776"/>
      <c r="E1776"/>
      <c r="F1776"/>
      <c r="G1776"/>
      <c r="H1776"/>
      <c r="I1776"/>
    </row>
    <row r="1777" spans="2:9" ht="15">
      <c r="B1777"/>
      <c r="C1777"/>
      <c r="D1777"/>
      <c r="E1777"/>
      <c r="F1777"/>
      <c r="G1777"/>
      <c r="H1777"/>
      <c r="I1777"/>
    </row>
    <row r="1778" spans="2:9" ht="15">
      <c r="B1778"/>
      <c r="C1778"/>
      <c r="D1778"/>
      <c r="E1778"/>
      <c r="F1778"/>
      <c r="G1778"/>
      <c r="H1778"/>
      <c r="I1778"/>
    </row>
    <row r="1779" spans="2:9" ht="15">
      <c r="B1779"/>
      <c r="C1779"/>
      <c r="D1779"/>
      <c r="E1779"/>
      <c r="F1779"/>
      <c r="G1779"/>
      <c r="H1779"/>
      <c r="I1779"/>
    </row>
    <row r="1780" spans="2:9" ht="15">
      <c r="B1780"/>
      <c r="C1780"/>
      <c r="D1780"/>
      <c r="E1780"/>
      <c r="F1780"/>
      <c r="G1780"/>
      <c r="H1780"/>
      <c r="I1780"/>
    </row>
    <row r="1781" spans="2:9" ht="15">
      <c r="B1781"/>
      <c r="C1781"/>
      <c r="D1781"/>
      <c r="E1781"/>
      <c r="F1781"/>
      <c r="G1781"/>
      <c r="H1781"/>
      <c r="I1781"/>
    </row>
    <row r="1782" spans="2:9" ht="15">
      <c r="B1782"/>
      <c r="C1782"/>
      <c r="D1782"/>
      <c r="E1782"/>
      <c r="F1782"/>
      <c r="G1782"/>
      <c r="H1782"/>
      <c r="I1782"/>
    </row>
    <row r="1783" spans="2:9" ht="15">
      <c r="B1783"/>
      <c r="C1783"/>
      <c r="D1783"/>
      <c r="E1783"/>
      <c r="F1783"/>
      <c r="G1783"/>
      <c r="H1783"/>
      <c r="I1783"/>
    </row>
    <row r="1784" spans="2:9" ht="15">
      <c r="B1784"/>
      <c r="C1784"/>
      <c r="D1784"/>
      <c r="E1784"/>
      <c r="F1784"/>
      <c r="G1784"/>
      <c r="H1784"/>
      <c r="I1784"/>
    </row>
    <row r="1785" spans="2:9" ht="15">
      <c r="B1785"/>
      <c r="C1785"/>
      <c r="D1785"/>
      <c r="E1785"/>
      <c r="F1785"/>
      <c r="G1785"/>
      <c r="H1785"/>
      <c r="I1785"/>
    </row>
    <row r="1786" spans="2:9" ht="15">
      <c r="B1786"/>
      <c r="C1786"/>
      <c r="D1786"/>
      <c r="E1786"/>
      <c r="F1786"/>
      <c r="G1786"/>
      <c r="H1786"/>
      <c r="I1786"/>
    </row>
    <row r="1787" spans="2:9" ht="15">
      <c r="B1787"/>
      <c r="C1787"/>
      <c r="D1787"/>
      <c r="E1787"/>
      <c r="F1787"/>
      <c r="G1787"/>
      <c r="H1787"/>
      <c r="I1787"/>
    </row>
    <row r="1788" spans="2:9" ht="15">
      <c r="B1788"/>
      <c r="C1788"/>
      <c r="D1788"/>
      <c r="E1788"/>
      <c r="F1788"/>
      <c r="G1788"/>
      <c r="H1788"/>
      <c r="I1788"/>
    </row>
    <row r="1789" spans="2:9" ht="15">
      <c r="B1789"/>
      <c r="C1789"/>
      <c r="D1789"/>
      <c r="E1789"/>
      <c r="F1789"/>
      <c r="G1789"/>
      <c r="H1789"/>
      <c r="I1789"/>
    </row>
    <row r="1790" spans="2:9" ht="15">
      <c r="B1790"/>
      <c r="C1790"/>
      <c r="D1790"/>
      <c r="E1790"/>
      <c r="F1790"/>
      <c r="G1790"/>
      <c r="H1790"/>
      <c r="I1790"/>
    </row>
    <row r="1791" spans="2:9" ht="15">
      <c r="B1791"/>
      <c r="C1791"/>
      <c r="D1791"/>
      <c r="E1791"/>
      <c r="F1791"/>
      <c r="G1791"/>
      <c r="H1791"/>
      <c r="I1791"/>
    </row>
    <row r="1792" spans="2:9" ht="15">
      <c r="B1792"/>
      <c r="C1792"/>
      <c r="D1792"/>
      <c r="E1792"/>
      <c r="F1792"/>
      <c r="G1792"/>
      <c r="H1792"/>
      <c r="I1792"/>
    </row>
    <row r="1793" spans="2:9" ht="15">
      <c r="B1793"/>
      <c r="C1793"/>
      <c r="D1793"/>
      <c r="E1793"/>
      <c r="F1793"/>
      <c r="G1793"/>
      <c r="H1793"/>
      <c r="I1793"/>
    </row>
    <row r="1794" spans="2:9" ht="15">
      <c r="B1794"/>
      <c r="C1794"/>
      <c r="D1794"/>
      <c r="E1794"/>
      <c r="F1794"/>
      <c r="G1794"/>
      <c r="H1794"/>
      <c r="I1794"/>
    </row>
    <row r="1795" spans="2:9" ht="15">
      <c r="B1795"/>
      <c r="C1795"/>
      <c r="D1795"/>
      <c r="E1795"/>
      <c r="F1795"/>
      <c r="G1795"/>
      <c r="H1795"/>
      <c r="I1795"/>
    </row>
    <row r="1796" spans="2:9" ht="15">
      <c r="B1796"/>
      <c r="C1796"/>
      <c r="D1796"/>
      <c r="E1796"/>
      <c r="F1796"/>
      <c r="G1796"/>
      <c r="H1796"/>
      <c r="I1796"/>
    </row>
    <row r="1797" spans="2:9" ht="15">
      <c r="B1797"/>
      <c r="C1797"/>
      <c r="D1797"/>
      <c r="E1797"/>
      <c r="F1797"/>
      <c r="G1797"/>
      <c r="H1797"/>
      <c r="I1797"/>
    </row>
    <row r="1798" spans="2:9" ht="15">
      <c r="B1798"/>
      <c r="C1798"/>
      <c r="D1798"/>
      <c r="E1798"/>
      <c r="F1798"/>
      <c r="G1798"/>
      <c r="H1798"/>
      <c r="I1798"/>
    </row>
    <row r="1799" spans="2:9" ht="15">
      <c r="B1799"/>
      <c r="C1799"/>
      <c r="D1799"/>
      <c r="E1799"/>
      <c r="F1799"/>
      <c r="G1799"/>
      <c r="H1799"/>
      <c r="I1799"/>
    </row>
    <row r="1800" spans="2:9" ht="13.5" customHeight="1">
      <c r="B1800"/>
      <c r="C1800"/>
      <c r="D1800"/>
      <c r="E1800"/>
      <c r="F1800"/>
      <c r="G1800"/>
      <c r="H1800"/>
      <c r="I1800"/>
    </row>
    <row r="1801" spans="2:9" ht="15">
      <c r="B1801"/>
      <c r="C1801"/>
      <c r="D1801"/>
      <c r="E1801"/>
      <c r="F1801"/>
      <c r="G1801"/>
      <c r="H1801"/>
      <c r="I1801"/>
    </row>
    <row r="1802" spans="2:9" ht="15">
      <c r="B1802"/>
      <c r="C1802"/>
      <c r="D1802"/>
      <c r="E1802"/>
      <c r="F1802"/>
      <c r="G1802"/>
      <c r="H1802"/>
      <c r="I1802"/>
    </row>
    <row r="1803" spans="2:9" ht="15">
      <c r="B1803"/>
      <c r="C1803"/>
      <c r="D1803"/>
      <c r="E1803"/>
      <c r="F1803"/>
      <c r="G1803"/>
      <c r="H1803"/>
      <c r="I1803"/>
    </row>
    <row r="1804" spans="2:9" ht="15">
      <c r="B1804"/>
      <c r="C1804"/>
      <c r="D1804"/>
      <c r="E1804"/>
      <c r="F1804"/>
      <c r="G1804"/>
      <c r="H1804"/>
      <c r="I1804"/>
    </row>
    <row r="1805" spans="2:9" ht="15">
      <c r="B1805"/>
      <c r="C1805"/>
      <c r="D1805"/>
      <c r="E1805"/>
      <c r="F1805"/>
      <c r="G1805"/>
      <c r="H1805"/>
      <c r="I1805"/>
    </row>
    <row r="1806" spans="2:9" ht="15">
      <c r="B1806"/>
      <c r="C1806"/>
      <c r="D1806"/>
      <c r="E1806"/>
      <c r="F1806"/>
      <c r="G1806"/>
      <c r="H1806"/>
      <c r="I1806"/>
    </row>
    <row r="1807" spans="2:9" ht="15">
      <c r="B1807"/>
      <c r="C1807"/>
      <c r="D1807"/>
      <c r="E1807"/>
      <c r="F1807"/>
      <c r="G1807"/>
      <c r="H1807"/>
      <c r="I1807"/>
    </row>
    <row r="1808" spans="2:9" ht="15">
      <c r="B1808"/>
      <c r="C1808"/>
      <c r="D1808"/>
      <c r="E1808"/>
      <c r="F1808"/>
      <c r="G1808"/>
      <c r="H1808"/>
      <c r="I1808"/>
    </row>
    <row r="1809" spans="2:9" ht="15">
      <c r="B1809"/>
      <c r="C1809"/>
      <c r="D1809"/>
      <c r="E1809"/>
      <c r="F1809"/>
      <c r="G1809"/>
      <c r="H1809"/>
      <c r="I1809"/>
    </row>
    <row r="1810" spans="2:9" ht="15">
      <c r="B1810"/>
      <c r="C1810"/>
      <c r="D1810"/>
      <c r="E1810"/>
      <c r="F1810"/>
      <c r="G1810"/>
      <c r="H1810"/>
      <c r="I1810"/>
    </row>
    <row r="1811" spans="2:9" ht="15">
      <c r="B1811"/>
      <c r="C1811"/>
      <c r="D1811"/>
      <c r="E1811"/>
      <c r="F1811"/>
      <c r="G1811"/>
      <c r="H1811"/>
      <c r="I1811"/>
    </row>
    <row r="1812" spans="2:9" ht="15">
      <c r="B1812"/>
      <c r="C1812"/>
      <c r="D1812"/>
      <c r="E1812"/>
      <c r="F1812"/>
      <c r="G1812"/>
      <c r="H1812"/>
      <c r="I1812"/>
    </row>
    <row r="1813" spans="2:9" ht="15">
      <c r="B1813"/>
      <c r="C1813"/>
      <c r="D1813"/>
      <c r="E1813"/>
      <c r="F1813"/>
      <c r="G1813"/>
      <c r="H1813"/>
      <c r="I1813"/>
    </row>
    <row r="1814" spans="2:9" ht="15">
      <c r="B1814"/>
      <c r="C1814"/>
      <c r="D1814"/>
      <c r="E1814"/>
      <c r="F1814"/>
      <c r="G1814"/>
      <c r="H1814"/>
      <c r="I1814"/>
    </row>
    <row r="1815" spans="2:9" ht="15">
      <c r="B1815"/>
      <c r="C1815"/>
      <c r="D1815"/>
      <c r="E1815"/>
      <c r="F1815"/>
      <c r="G1815"/>
      <c r="H1815"/>
      <c r="I1815"/>
    </row>
    <row r="1816" spans="2:9" ht="15">
      <c r="B1816"/>
      <c r="C1816"/>
      <c r="D1816"/>
      <c r="E1816"/>
      <c r="F1816"/>
      <c r="G1816"/>
      <c r="H1816"/>
      <c r="I1816"/>
    </row>
    <row r="1817" spans="2:9" ht="15">
      <c r="B1817"/>
      <c r="C1817"/>
      <c r="D1817"/>
      <c r="E1817"/>
      <c r="F1817"/>
      <c r="G1817"/>
      <c r="H1817"/>
      <c r="I1817"/>
    </row>
    <row r="1818" spans="2:9" ht="15">
      <c r="B1818"/>
      <c r="C1818"/>
      <c r="D1818"/>
      <c r="E1818"/>
      <c r="F1818"/>
      <c r="G1818"/>
      <c r="H1818"/>
      <c r="I1818"/>
    </row>
    <row r="1819" spans="2:9" ht="15">
      <c r="B1819"/>
      <c r="C1819"/>
      <c r="D1819"/>
      <c r="E1819"/>
      <c r="F1819"/>
      <c r="G1819"/>
      <c r="H1819"/>
      <c r="I1819"/>
    </row>
    <row r="1820" spans="2:9" ht="15">
      <c r="B1820"/>
      <c r="C1820"/>
      <c r="D1820"/>
      <c r="E1820"/>
      <c r="F1820"/>
      <c r="G1820"/>
      <c r="H1820"/>
      <c r="I1820"/>
    </row>
    <row r="1821" spans="2:9" ht="15">
      <c r="B1821"/>
      <c r="C1821"/>
      <c r="D1821"/>
      <c r="E1821"/>
      <c r="F1821"/>
      <c r="G1821"/>
      <c r="H1821"/>
      <c r="I1821"/>
    </row>
    <row r="1822" spans="2:9" ht="15">
      <c r="B1822"/>
      <c r="C1822"/>
      <c r="D1822"/>
      <c r="E1822"/>
      <c r="F1822"/>
      <c r="G1822"/>
      <c r="H1822"/>
      <c r="I1822"/>
    </row>
    <row r="1823" spans="2:9" ht="15">
      <c r="B1823"/>
      <c r="C1823"/>
      <c r="D1823"/>
      <c r="E1823"/>
      <c r="F1823"/>
      <c r="G1823"/>
      <c r="H1823"/>
      <c r="I1823"/>
    </row>
    <row r="1824" spans="2:9" ht="15">
      <c r="B1824"/>
      <c r="C1824"/>
      <c r="D1824"/>
      <c r="E1824"/>
      <c r="F1824"/>
      <c r="G1824"/>
      <c r="H1824"/>
      <c r="I1824"/>
    </row>
    <row r="1825" spans="2:9" ht="15">
      <c r="B1825"/>
      <c r="C1825"/>
      <c r="D1825"/>
      <c r="E1825"/>
      <c r="F1825"/>
      <c r="G1825"/>
      <c r="H1825"/>
      <c r="I1825"/>
    </row>
    <row r="1826" spans="2:9" ht="15">
      <c r="B1826"/>
      <c r="C1826"/>
      <c r="D1826"/>
      <c r="E1826"/>
      <c r="F1826"/>
      <c r="G1826"/>
      <c r="H1826"/>
      <c r="I1826"/>
    </row>
    <row r="1827" spans="2:9" ht="15">
      <c r="B1827"/>
      <c r="C1827"/>
      <c r="D1827"/>
      <c r="E1827"/>
      <c r="F1827"/>
      <c r="G1827"/>
      <c r="H1827"/>
      <c r="I1827"/>
    </row>
    <row r="1828" spans="2:9" ht="15">
      <c r="B1828"/>
      <c r="C1828"/>
      <c r="D1828"/>
      <c r="E1828"/>
      <c r="F1828"/>
      <c r="G1828"/>
      <c r="H1828"/>
      <c r="I1828"/>
    </row>
    <row r="1829" spans="2:9" ht="15">
      <c r="B1829"/>
      <c r="C1829"/>
      <c r="D1829"/>
      <c r="E1829"/>
      <c r="F1829"/>
      <c r="G1829"/>
      <c r="H1829"/>
      <c r="I1829"/>
    </row>
    <row r="1830" spans="2:9" ht="15">
      <c r="B1830"/>
      <c r="C1830"/>
      <c r="D1830"/>
      <c r="E1830"/>
      <c r="F1830"/>
      <c r="G1830"/>
      <c r="H1830"/>
      <c r="I1830"/>
    </row>
    <row r="1831" spans="2:9" ht="15">
      <c r="B1831"/>
      <c r="C1831"/>
      <c r="D1831"/>
      <c r="E1831"/>
      <c r="F1831"/>
      <c r="G1831"/>
      <c r="H1831"/>
      <c r="I1831"/>
    </row>
    <row r="1832" spans="2:9" ht="15">
      <c r="B1832"/>
      <c r="C1832"/>
      <c r="D1832"/>
      <c r="E1832"/>
      <c r="F1832"/>
      <c r="G1832"/>
      <c r="H1832"/>
      <c r="I1832"/>
    </row>
    <row r="1833" spans="2:9" ht="15">
      <c r="B1833"/>
      <c r="C1833"/>
      <c r="D1833"/>
      <c r="E1833"/>
      <c r="F1833"/>
      <c r="G1833"/>
      <c r="H1833"/>
      <c r="I1833"/>
    </row>
    <row r="1834" spans="2:9" ht="15">
      <c r="B1834"/>
      <c r="C1834"/>
      <c r="D1834"/>
      <c r="E1834"/>
      <c r="F1834"/>
      <c r="G1834"/>
      <c r="H1834"/>
      <c r="I1834"/>
    </row>
    <row r="1835" spans="2:9" ht="15">
      <c r="B1835"/>
      <c r="C1835"/>
      <c r="D1835"/>
      <c r="E1835"/>
      <c r="F1835"/>
      <c r="G1835"/>
      <c r="H1835"/>
      <c r="I1835"/>
    </row>
    <row r="1836" spans="2:9" ht="15">
      <c r="B1836"/>
      <c r="C1836"/>
      <c r="D1836"/>
      <c r="E1836"/>
      <c r="F1836"/>
      <c r="G1836"/>
      <c r="H1836"/>
      <c r="I1836"/>
    </row>
    <row r="1837" spans="2:9" ht="15">
      <c r="B1837"/>
      <c r="C1837"/>
      <c r="D1837"/>
      <c r="E1837"/>
      <c r="F1837"/>
      <c r="G1837"/>
      <c r="H1837"/>
      <c r="I1837"/>
    </row>
    <row r="1838" spans="2:9" ht="15">
      <c r="B1838"/>
      <c r="C1838"/>
      <c r="D1838"/>
      <c r="E1838"/>
      <c r="F1838"/>
      <c r="G1838"/>
      <c r="H1838"/>
      <c r="I1838"/>
    </row>
    <row r="1839" spans="2:9" ht="15">
      <c r="B1839"/>
      <c r="C1839"/>
      <c r="D1839"/>
      <c r="E1839"/>
      <c r="F1839"/>
      <c r="G1839"/>
      <c r="H1839"/>
      <c r="I1839"/>
    </row>
    <row r="1840" spans="2:9" ht="15">
      <c r="B1840"/>
      <c r="C1840"/>
      <c r="D1840"/>
      <c r="E1840"/>
      <c r="F1840"/>
      <c r="G1840"/>
      <c r="H1840"/>
      <c r="I1840"/>
    </row>
    <row r="1841" spans="2:9" ht="15">
      <c r="B1841"/>
      <c r="C1841"/>
      <c r="D1841"/>
      <c r="E1841"/>
      <c r="F1841"/>
      <c r="G1841"/>
      <c r="H1841"/>
      <c r="I1841"/>
    </row>
    <row r="1842" spans="2:9" ht="15">
      <c r="B1842"/>
      <c r="C1842"/>
      <c r="D1842"/>
      <c r="E1842"/>
      <c r="F1842"/>
      <c r="G1842"/>
      <c r="H1842"/>
      <c r="I1842"/>
    </row>
    <row r="1843" spans="2:9" ht="15">
      <c r="B1843"/>
      <c r="C1843"/>
      <c r="D1843"/>
      <c r="E1843"/>
      <c r="F1843"/>
      <c r="G1843"/>
      <c r="H1843"/>
      <c r="I1843"/>
    </row>
    <row r="1844" spans="2:9" ht="13.5" customHeight="1">
      <c r="B1844"/>
      <c r="C1844"/>
      <c r="D1844"/>
      <c r="E1844"/>
      <c r="F1844"/>
      <c r="G1844"/>
      <c r="H1844"/>
      <c r="I1844"/>
    </row>
    <row r="1845" spans="2:9" ht="15">
      <c r="B1845"/>
      <c r="C1845"/>
      <c r="D1845"/>
      <c r="E1845"/>
      <c r="F1845"/>
      <c r="G1845"/>
      <c r="H1845"/>
      <c r="I1845"/>
    </row>
    <row r="1846" spans="2:9" ht="15">
      <c r="B1846"/>
      <c r="C1846"/>
      <c r="D1846"/>
      <c r="E1846"/>
      <c r="F1846"/>
      <c r="G1846"/>
      <c r="H1846"/>
      <c r="I1846"/>
    </row>
    <row r="1847" spans="2:9" ht="15">
      <c r="B1847"/>
      <c r="C1847"/>
      <c r="D1847"/>
      <c r="E1847"/>
      <c r="F1847"/>
      <c r="G1847"/>
      <c r="H1847"/>
      <c r="I1847"/>
    </row>
    <row r="1848" spans="2:9" ht="15">
      <c r="B1848"/>
      <c r="C1848"/>
      <c r="D1848"/>
      <c r="E1848"/>
      <c r="F1848"/>
      <c r="G1848"/>
      <c r="H1848"/>
      <c r="I1848"/>
    </row>
    <row r="1849" spans="2:9" ht="15">
      <c r="B1849"/>
      <c r="C1849"/>
      <c r="D1849"/>
      <c r="E1849"/>
      <c r="F1849"/>
      <c r="G1849"/>
      <c r="H1849"/>
      <c r="I1849"/>
    </row>
    <row r="1850" spans="2:9" ht="15">
      <c r="B1850"/>
      <c r="C1850"/>
      <c r="D1850"/>
      <c r="E1850"/>
      <c r="F1850"/>
      <c r="G1850"/>
      <c r="H1850"/>
      <c r="I1850"/>
    </row>
    <row r="1851" spans="2:9" ht="15">
      <c r="B1851"/>
      <c r="C1851"/>
      <c r="D1851"/>
      <c r="E1851"/>
      <c r="F1851"/>
      <c r="G1851"/>
      <c r="H1851"/>
      <c r="I1851"/>
    </row>
    <row r="1852" spans="2:9" ht="15">
      <c r="B1852"/>
      <c r="C1852"/>
      <c r="D1852"/>
      <c r="E1852"/>
      <c r="F1852"/>
      <c r="G1852"/>
      <c r="H1852"/>
      <c r="I1852"/>
    </row>
    <row r="1853" spans="2:9" ht="15">
      <c r="B1853"/>
      <c r="C1853"/>
      <c r="D1853"/>
      <c r="E1853"/>
      <c r="F1853"/>
      <c r="G1853"/>
      <c r="H1853"/>
      <c r="I1853"/>
    </row>
    <row r="1854" spans="2:9" ht="15">
      <c r="B1854"/>
      <c r="C1854"/>
      <c r="D1854"/>
      <c r="E1854"/>
      <c r="F1854"/>
      <c r="G1854"/>
      <c r="H1854"/>
      <c r="I1854"/>
    </row>
    <row r="1855" spans="2:9" ht="15">
      <c r="B1855"/>
      <c r="C1855"/>
      <c r="D1855"/>
      <c r="E1855"/>
      <c r="F1855"/>
      <c r="G1855"/>
      <c r="H1855"/>
      <c r="I1855"/>
    </row>
    <row r="1856" spans="2:9" ht="15">
      <c r="B1856"/>
      <c r="C1856"/>
      <c r="D1856"/>
      <c r="E1856"/>
      <c r="F1856"/>
      <c r="G1856"/>
      <c r="H1856"/>
      <c r="I1856"/>
    </row>
    <row r="1857" spans="2:9" ht="15">
      <c r="B1857"/>
      <c r="C1857"/>
      <c r="D1857"/>
      <c r="E1857"/>
      <c r="F1857"/>
      <c r="G1857"/>
      <c r="H1857"/>
      <c r="I1857"/>
    </row>
    <row r="1858" spans="2:9" ht="15">
      <c r="B1858"/>
      <c r="C1858"/>
      <c r="D1858"/>
      <c r="E1858"/>
      <c r="F1858"/>
      <c r="G1858"/>
      <c r="H1858"/>
      <c r="I1858"/>
    </row>
    <row r="1859" spans="2:9" ht="15">
      <c r="B1859"/>
      <c r="C1859"/>
      <c r="D1859"/>
      <c r="E1859"/>
      <c r="F1859"/>
      <c r="G1859"/>
      <c r="H1859"/>
      <c r="I1859"/>
    </row>
    <row r="1860" spans="2:9" ht="15">
      <c r="B1860"/>
      <c r="C1860"/>
      <c r="D1860"/>
      <c r="E1860"/>
      <c r="F1860"/>
      <c r="G1860"/>
      <c r="H1860"/>
      <c r="I1860"/>
    </row>
    <row r="1861" spans="2:9" ht="15">
      <c r="B1861"/>
      <c r="C1861"/>
      <c r="D1861"/>
      <c r="E1861"/>
      <c r="F1861"/>
      <c r="G1861"/>
      <c r="H1861"/>
      <c r="I1861"/>
    </row>
    <row r="1862" spans="2:9" ht="15">
      <c r="B1862"/>
      <c r="C1862"/>
      <c r="D1862"/>
      <c r="E1862"/>
      <c r="F1862"/>
      <c r="G1862"/>
      <c r="H1862"/>
      <c r="I1862"/>
    </row>
    <row r="1863" spans="2:9" ht="15">
      <c r="B1863"/>
      <c r="C1863"/>
      <c r="D1863"/>
      <c r="E1863"/>
      <c r="F1863"/>
      <c r="G1863"/>
      <c r="H1863"/>
      <c r="I1863"/>
    </row>
    <row r="1864" spans="2:9" ht="15">
      <c r="B1864"/>
      <c r="C1864"/>
      <c r="D1864"/>
      <c r="E1864"/>
      <c r="F1864"/>
      <c r="G1864"/>
      <c r="H1864"/>
      <c r="I1864"/>
    </row>
    <row r="1865" spans="2:9" ht="15">
      <c r="B1865"/>
      <c r="C1865"/>
      <c r="D1865"/>
      <c r="E1865"/>
      <c r="F1865"/>
      <c r="G1865"/>
      <c r="H1865"/>
      <c r="I1865"/>
    </row>
    <row r="1866" spans="2:9" ht="15">
      <c r="B1866"/>
      <c r="C1866"/>
      <c r="D1866"/>
      <c r="E1866"/>
      <c r="F1866"/>
      <c r="G1866"/>
      <c r="H1866"/>
      <c r="I1866"/>
    </row>
    <row r="1867" spans="2:9" ht="15">
      <c r="B1867"/>
      <c r="C1867"/>
      <c r="D1867"/>
      <c r="E1867"/>
      <c r="F1867"/>
      <c r="G1867"/>
      <c r="H1867"/>
      <c r="I1867"/>
    </row>
    <row r="1868" spans="2:9" ht="15">
      <c r="B1868"/>
      <c r="C1868"/>
      <c r="D1868"/>
      <c r="E1868"/>
      <c r="F1868"/>
      <c r="G1868"/>
      <c r="H1868"/>
      <c r="I1868"/>
    </row>
    <row r="1869" spans="2:9" ht="15">
      <c r="B1869"/>
      <c r="C1869"/>
      <c r="D1869"/>
      <c r="E1869"/>
      <c r="F1869"/>
      <c r="G1869"/>
      <c r="H1869"/>
      <c r="I1869"/>
    </row>
    <row r="1870" spans="2:9" ht="15">
      <c r="B1870"/>
      <c r="C1870"/>
      <c r="D1870"/>
      <c r="E1870"/>
      <c r="F1870"/>
      <c r="G1870"/>
      <c r="H1870"/>
      <c r="I1870"/>
    </row>
    <row r="1871" spans="2:9" ht="15">
      <c r="B1871"/>
      <c r="C1871"/>
      <c r="D1871"/>
      <c r="E1871"/>
      <c r="F1871"/>
      <c r="G1871"/>
      <c r="H1871"/>
      <c r="I1871"/>
    </row>
    <row r="1872" spans="2:9" ht="15">
      <c r="B1872"/>
      <c r="C1872"/>
      <c r="D1872"/>
      <c r="E1872"/>
      <c r="F1872"/>
      <c r="G1872"/>
      <c r="H1872"/>
      <c r="I1872"/>
    </row>
    <row r="1873" spans="2:9" ht="15">
      <c r="B1873"/>
      <c r="C1873"/>
      <c r="D1873"/>
      <c r="E1873"/>
      <c r="F1873"/>
      <c r="G1873"/>
      <c r="H1873"/>
      <c r="I1873"/>
    </row>
    <row r="1874" spans="2:9" ht="15">
      <c r="B1874"/>
      <c r="C1874"/>
      <c r="D1874"/>
      <c r="E1874"/>
      <c r="F1874"/>
      <c r="G1874"/>
      <c r="H1874"/>
      <c r="I1874"/>
    </row>
    <row r="1875" spans="2:9" ht="15">
      <c r="B1875"/>
      <c r="C1875"/>
      <c r="D1875"/>
      <c r="E1875"/>
      <c r="F1875"/>
      <c r="G1875"/>
      <c r="H1875"/>
      <c r="I1875"/>
    </row>
    <row r="1876" spans="2:9" ht="15">
      <c r="B1876"/>
      <c r="C1876"/>
      <c r="D1876"/>
      <c r="E1876"/>
      <c r="F1876"/>
      <c r="G1876"/>
      <c r="H1876"/>
      <c r="I1876"/>
    </row>
    <row r="1877" spans="2:9" ht="15">
      <c r="B1877"/>
      <c r="C1877"/>
      <c r="D1877"/>
      <c r="E1877"/>
      <c r="F1877"/>
      <c r="G1877"/>
      <c r="H1877"/>
      <c r="I1877"/>
    </row>
    <row r="1878" spans="2:9" ht="15">
      <c r="B1878"/>
      <c r="C1878"/>
      <c r="D1878"/>
      <c r="E1878"/>
      <c r="F1878"/>
      <c r="G1878"/>
      <c r="H1878"/>
      <c r="I1878"/>
    </row>
    <row r="1879" spans="2:9" ht="15">
      <c r="B1879"/>
      <c r="C1879"/>
      <c r="D1879"/>
      <c r="E1879"/>
      <c r="F1879"/>
      <c r="G1879"/>
      <c r="H1879"/>
      <c r="I1879"/>
    </row>
    <row r="1880" spans="2:9" ht="15">
      <c r="B1880"/>
      <c r="C1880"/>
      <c r="D1880"/>
      <c r="E1880"/>
      <c r="F1880"/>
      <c r="G1880"/>
      <c r="H1880"/>
      <c r="I1880"/>
    </row>
    <row r="1881" spans="2:9" ht="15">
      <c r="B1881"/>
      <c r="C1881"/>
      <c r="D1881"/>
      <c r="E1881"/>
      <c r="F1881"/>
      <c r="G1881"/>
      <c r="H1881"/>
      <c r="I1881"/>
    </row>
    <row r="1882" spans="2:9" ht="15">
      <c r="B1882"/>
      <c r="C1882"/>
      <c r="D1882"/>
      <c r="E1882"/>
      <c r="F1882"/>
      <c r="G1882"/>
      <c r="H1882"/>
      <c r="I1882"/>
    </row>
    <row r="1883" spans="2:9" ht="15">
      <c r="B1883"/>
      <c r="C1883"/>
      <c r="D1883"/>
      <c r="E1883"/>
      <c r="F1883"/>
      <c r="G1883"/>
      <c r="H1883"/>
      <c r="I1883"/>
    </row>
    <row r="1884" spans="2:9" ht="15">
      <c r="B1884"/>
      <c r="C1884"/>
      <c r="D1884"/>
      <c r="E1884"/>
      <c r="F1884"/>
      <c r="G1884"/>
      <c r="H1884"/>
      <c r="I1884"/>
    </row>
    <row r="1885" spans="2:9" ht="15">
      <c r="B1885"/>
      <c r="C1885"/>
      <c r="D1885"/>
      <c r="E1885"/>
      <c r="F1885"/>
      <c r="G1885"/>
      <c r="H1885"/>
      <c r="I1885"/>
    </row>
    <row r="1886" spans="2:9" ht="15">
      <c r="B1886"/>
      <c r="C1886"/>
      <c r="D1886"/>
      <c r="E1886"/>
      <c r="F1886"/>
      <c r="G1886"/>
      <c r="H1886"/>
      <c r="I1886"/>
    </row>
    <row r="1887" spans="2:9" ht="15">
      <c r="B1887"/>
      <c r="C1887"/>
      <c r="D1887"/>
      <c r="E1887"/>
      <c r="F1887"/>
      <c r="G1887"/>
      <c r="H1887"/>
      <c r="I1887"/>
    </row>
    <row r="1888" spans="2:9" ht="13.5" customHeight="1">
      <c r="B1888"/>
      <c r="C1888"/>
      <c r="D1888"/>
      <c r="E1888"/>
      <c r="F1888"/>
      <c r="G1888"/>
      <c r="H1888"/>
      <c r="I1888"/>
    </row>
    <row r="1889" spans="2:9" ht="15">
      <c r="B1889"/>
      <c r="C1889"/>
      <c r="D1889"/>
      <c r="E1889"/>
      <c r="F1889"/>
      <c r="G1889"/>
      <c r="H1889"/>
      <c r="I1889"/>
    </row>
    <row r="1890" spans="2:9" ht="15">
      <c r="B1890"/>
      <c r="C1890"/>
      <c r="D1890"/>
      <c r="E1890"/>
      <c r="F1890"/>
      <c r="G1890"/>
      <c r="H1890"/>
      <c r="I1890"/>
    </row>
    <row r="1891" spans="2:9" ht="15">
      <c r="B1891"/>
      <c r="C1891"/>
      <c r="D1891"/>
      <c r="E1891"/>
      <c r="F1891"/>
      <c r="G1891"/>
      <c r="H1891"/>
      <c r="I1891"/>
    </row>
    <row r="1892" spans="2:9" ht="15">
      <c r="B1892"/>
      <c r="C1892"/>
      <c r="D1892"/>
      <c r="E1892"/>
      <c r="F1892"/>
      <c r="G1892"/>
      <c r="H1892"/>
      <c r="I1892"/>
    </row>
    <row r="1893" spans="2:9" ht="15">
      <c r="B1893"/>
      <c r="C1893"/>
      <c r="D1893"/>
      <c r="E1893"/>
      <c r="F1893"/>
      <c r="G1893"/>
      <c r="H1893"/>
      <c r="I1893"/>
    </row>
    <row r="1894" spans="2:9" ht="15">
      <c r="B1894"/>
      <c r="C1894"/>
      <c r="D1894"/>
      <c r="E1894"/>
      <c r="F1894"/>
      <c r="G1894"/>
      <c r="H1894"/>
      <c r="I1894"/>
    </row>
    <row r="1895" spans="2:9" ht="15">
      <c r="B1895"/>
      <c r="C1895"/>
      <c r="D1895"/>
      <c r="E1895"/>
      <c r="F1895"/>
      <c r="G1895"/>
      <c r="H1895"/>
      <c r="I1895"/>
    </row>
    <row r="1896" spans="2:9" ht="15">
      <c r="B1896"/>
      <c r="C1896"/>
      <c r="D1896"/>
      <c r="E1896"/>
      <c r="F1896"/>
      <c r="G1896"/>
      <c r="H1896"/>
      <c r="I1896"/>
    </row>
    <row r="1897" spans="2:9" ht="15">
      <c r="B1897"/>
      <c r="C1897"/>
      <c r="D1897"/>
      <c r="E1897"/>
      <c r="F1897"/>
      <c r="G1897"/>
      <c r="H1897"/>
      <c r="I1897"/>
    </row>
    <row r="1898" spans="2:9" ht="15">
      <c r="B1898"/>
      <c r="C1898"/>
      <c r="D1898"/>
      <c r="E1898"/>
      <c r="F1898"/>
      <c r="G1898"/>
      <c r="H1898"/>
      <c r="I1898"/>
    </row>
    <row r="1899" spans="2:9" ht="15">
      <c r="B1899"/>
      <c r="C1899"/>
      <c r="D1899"/>
      <c r="E1899"/>
      <c r="F1899"/>
      <c r="G1899"/>
      <c r="H1899"/>
      <c r="I1899"/>
    </row>
    <row r="1900" spans="2:9" ht="15">
      <c r="B1900"/>
      <c r="C1900"/>
      <c r="D1900"/>
      <c r="E1900"/>
      <c r="F1900"/>
      <c r="G1900"/>
      <c r="H1900"/>
      <c r="I1900"/>
    </row>
    <row r="1901" spans="2:9" ht="15">
      <c r="B1901"/>
      <c r="C1901"/>
      <c r="D1901"/>
      <c r="E1901"/>
      <c r="F1901"/>
      <c r="G1901"/>
      <c r="H1901"/>
      <c r="I1901"/>
    </row>
    <row r="1902" spans="2:9" ht="15">
      <c r="B1902"/>
      <c r="C1902"/>
      <c r="D1902"/>
      <c r="E1902"/>
      <c r="F1902"/>
      <c r="G1902"/>
      <c r="H1902"/>
      <c r="I1902"/>
    </row>
    <row r="1903" spans="2:9" ht="15">
      <c r="B1903"/>
      <c r="C1903"/>
      <c r="D1903"/>
      <c r="E1903"/>
      <c r="F1903"/>
      <c r="G1903"/>
      <c r="H1903"/>
      <c r="I1903"/>
    </row>
    <row r="1904" spans="2:9" ht="15">
      <c r="B1904"/>
      <c r="C1904"/>
      <c r="D1904"/>
      <c r="E1904"/>
      <c r="F1904"/>
      <c r="G1904"/>
      <c r="H1904"/>
      <c r="I1904"/>
    </row>
    <row r="1905" spans="2:9" ht="15">
      <c r="B1905"/>
      <c r="C1905"/>
      <c r="D1905"/>
      <c r="E1905"/>
      <c r="F1905"/>
      <c r="G1905"/>
      <c r="H1905"/>
      <c r="I1905"/>
    </row>
    <row r="1906" spans="2:9" ht="15">
      <c r="B1906"/>
      <c r="C1906"/>
      <c r="D1906"/>
      <c r="E1906"/>
      <c r="F1906"/>
      <c r="G1906"/>
      <c r="H1906"/>
      <c r="I1906"/>
    </row>
    <row r="1907" spans="2:9" ht="15">
      <c r="B1907"/>
      <c r="C1907"/>
      <c r="D1907"/>
      <c r="E1907"/>
      <c r="F1907"/>
      <c r="G1907"/>
      <c r="H1907"/>
      <c r="I1907"/>
    </row>
    <row r="1908" spans="2:9" ht="15">
      <c r="B1908"/>
      <c r="C1908"/>
      <c r="D1908"/>
      <c r="E1908"/>
      <c r="F1908"/>
      <c r="G1908"/>
      <c r="H1908"/>
      <c r="I1908"/>
    </row>
    <row r="1909" spans="2:9" ht="15">
      <c r="B1909"/>
      <c r="C1909"/>
      <c r="D1909"/>
      <c r="E1909"/>
      <c r="F1909"/>
      <c r="G1909"/>
      <c r="H1909"/>
      <c r="I1909"/>
    </row>
    <row r="1910" spans="2:9" ht="15">
      <c r="B1910"/>
      <c r="C1910"/>
      <c r="D1910"/>
      <c r="E1910"/>
      <c r="F1910"/>
      <c r="G1910"/>
      <c r="H1910"/>
      <c r="I1910"/>
    </row>
    <row r="1911" spans="2:9" ht="15">
      <c r="B1911"/>
      <c r="C1911"/>
      <c r="D1911"/>
      <c r="E1911"/>
      <c r="F1911"/>
      <c r="G1911"/>
      <c r="H1911"/>
      <c r="I1911"/>
    </row>
    <row r="1912" spans="2:9" ht="15">
      <c r="B1912"/>
      <c r="C1912"/>
      <c r="D1912"/>
      <c r="E1912"/>
      <c r="F1912"/>
      <c r="G1912"/>
      <c r="H1912"/>
      <c r="I1912"/>
    </row>
    <row r="1913" spans="2:9" ht="15">
      <c r="B1913"/>
      <c r="C1913"/>
      <c r="D1913"/>
      <c r="E1913"/>
      <c r="F1913"/>
      <c r="G1913"/>
      <c r="H1913"/>
      <c r="I1913"/>
    </row>
    <row r="1914" spans="2:9" ht="15">
      <c r="B1914"/>
      <c r="C1914"/>
      <c r="D1914"/>
      <c r="E1914"/>
      <c r="F1914"/>
      <c r="G1914"/>
      <c r="H1914"/>
      <c r="I1914"/>
    </row>
    <row r="1915" spans="2:9" ht="15">
      <c r="B1915"/>
      <c r="C1915"/>
      <c r="D1915"/>
      <c r="E1915"/>
      <c r="F1915"/>
      <c r="G1915"/>
      <c r="H1915"/>
      <c r="I1915"/>
    </row>
    <row r="1916" spans="2:9" ht="15">
      <c r="B1916"/>
      <c r="C1916"/>
      <c r="D1916"/>
      <c r="E1916"/>
      <c r="F1916"/>
      <c r="G1916"/>
      <c r="H1916"/>
      <c r="I1916"/>
    </row>
    <row r="1917" spans="2:9" ht="15">
      <c r="B1917"/>
      <c r="C1917"/>
      <c r="D1917"/>
      <c r="E1917"/>
      <c r="F1917"/>
      <c r="G1917"/>
      <c r="H1917"/>
      <c r="I1917"/>
    </row>
    <row r="1918" spans="2:9" ht="15">
      <c r="B1918"/>
      <c r="C1918"/>
      <c r="D1918"/>
      <c r="E1918"/>
      <c r="F1918"/>
      <c r="G1918"/>
      <c r="H1918"/>
      <c r="I1918"/>
    </row>
    <row r="1919" spans="2:9" ht="15">
      <c r="B1919"/>
      <c r="C1919"/>
      <c r="D1919"/>
      <c r="E1919"/>
      <c r="F1919"/>
      <c r="G1919"/>
      <c r="H1919"/>
      <c r="I1919"/>
    </row>
    <row r="1920" spans="2:9" ht="15">
      <c r="B1920"/>
      <c r="C1920"/>
      <c r="D1920"/>
      <c r="E1920"/>
      <c r="F1920"/>
      <c r="G1920"/>
      <c r="H1920"/>
      <c r="I1920"/>
    </row>
    <row r="1921" spans="2:9" ht="15">
      <c r="B1921"/>
      <c r="C1921"/>
      <c r="D1921"/>
      <c r="E1921"/>
      <c r="F1921"/>
      <c r="G1921"/>
      <c r="H1921"/>
      <c r="I1921"/>
    </row>
    <row r="1922" spans="2:9" ht="15">
      <c r="B1922"/>
      <c r="C1922"/>
      <c r="D1922"/>
      <c r="E1922"/>
      <c r="F1922"/>
      <c r="G1922"/>
      <c r="H1922"/>
      <c r="I1922"/>
    </row>
    <row r="1923" spans="2:9" ht="15">
      <c r="B1923"/>
      <c r="C1923"/>
      <c r="D1923"/>
      <c r="E1923"/>
      <c r="F1923"/>
      <c r="G1923"/>
      <c r="H1923"/>
      <c r="I1923"/>
    </row>
    <row r="1924" spans="2:9" ht="15">
      <c r="B1924"/>
      <c r="C1924"/>
      <c r="D1924"/>
      <c r="E1924"/>
      <c r="F1924"/>
      <c r="G1924"/>
      <c r="H1924"/>
      <c r="I1924"/>
    </row>
    <row r="1925" spans="2:9" ht="15">
      <c r="B1925"/>
      <c r="C1925"/>
      <c r="D1925"/>
      <c r="E1925"/>
      <c r="F1925"/>
      <c r="G1925"/>
      <c r="H1925"/>
      <c r="I1925"/>
    </row>
    <row r="1926" spans="2:9" ht="15">
      <c r="B1926"/>
      <c r="C1926"/>
      <c r="D1926"/>
      <c r="E1926"/>
      <c r="F1926"/>
      <c r="G1926"/>
      <c r="H1926"/>
      <c r="I1926"/>
    </row>
    <row r="1927" spans="2:9" ht="15">
      <c r="B1927"/>
      <c r="C1927"/>
      <c r="D1927"/>
      <c r="E1927"/>
      <c r="F1927"/>
      <c r="G1927"/>
      <c r="H1927"/>
      <c r="I1927"/>
    </row>
    <row r="1928" spans="2:9" ht="15">
      <c r="B1928"/>
      <c r="C1928"/>
      <c r="D1928"/>
      <c r="E1928"/>
      <c r="F1928"/>
      <c r="G1928"/>
      <c r="H1928"/>
      <c r="I1928"/>
    </row>
    <row r="1929" spans="2:9" ht="15">
      <c r="B1929"/>
      <c r="C1929"/>
      <c r="D1929"/>
      <c r="E1929"/>
      <c r="F1929"/>
      <c r="G1929"/>
      <c r="H1929"/>
      <c r="I1929"/>
    </row>
    <row r="1930" spans="2:9" ht="15">
      <c r="B1930"/>
      <c r="C1930"/>
      <c r="D1930"/>
      <c r="E1930"/>
      <c r="F1930"/>
      <c r="G1930"/>
      <c r="H1930"/>
      <c r="I1930"/>
    </row>
    <row r="1931" spans="2:9" ht="15">
      <c r="B1931"/>
      <c r="C1931"/>
      <c r="D1931"/>
      <c r="E1931"/>
      <c r="F1931"/>
      <c r="G1931"/>
      <c r="H1931"/>
      <c r="I1931"/>
    </row>
    <row r="1932" spans="2:9" ht="13.5" customHeight="1">
      <c r="B1932"/>
      <c r="C1932"/>
      <c r="D1932"/>
      <c r="E1932"/>
      <c r="F1932"/>
      <c r="G1932"/>
      <c r="H1932"/>
      <c r="I1932"/>
    </row>
    <row r="1933" spans="2:9" ht="15">
      <c r="B1933"/>
      <c r="C1933"/>
      <c r="D1933"/>
      <c r="E1933"/>
      <c r="F1933"/>
      <c r="G1933"/>
      <c r="H1933"/>
      <c r="I1933"/>
    </row>
    <row r="1934" spans="2:9" ht="15">
      <c r="B1934"/>
      <c r="C1934"/>
      <c r="D1934"/>
      <c r="E1934"/>
      <c r="F1934"/>
      <c r="G1934"/>
      <c r="H1934"/>
      <c r="I1934"/>
    </row>
    <row r="1935" spans="2:9" ht="15">
      <c r="B1935"/>
      <c r="C1935"/>
      <c r="D1935"/>
      <c r="E1935"/>
      <c r="F1935"/>
      <c r="G1935"/>
      <c r="H1935"/>
      <c r="I1935"/>
    </row>
    <row r="1936" spans="2:9" ht="15">
      <c r="B1936"/>
      <c r="C1936"/>
      <c r="D1936"/>
      <c r="E1936"/>
      <c r="F1936"/>
      <c r="G1936"/>
      <c r="H1936"/>
      <c r="I1936"/>
    </row>
    <row r="1937" spans="2:9" ht="15">
      <c r="B1937"/>
      <c r="C1937"/>
      <c r="D1937"/>
      <c r="E1937"/>
      <c r="F1937"/>
      <c r="G1937"/>
      <c r="H1937"/>
      <c r="I1937"/>
    </row>
    <row r="1938" spans="2:9" ht="15">
      <c r="B1938"/>
      <c r="C1938"/>
      <c r="D1938"/>
      <c r="E1938"/>
      <c r="F1938"/>
      <c r="G1938"/>
      <c r="H1938"/>
      <c r="I1938"/>
    </row>
    <row r="1939" spans="2:9" ht="15">
      <c r="B1939"/>
      <c r="C1939"/>
      <c r="D1939"/>
      <c r="E1939"/>
      <c r="F1939"/>
      <c r="G1939"/>
      <c r="H1939"/>
      <c r="I1939"/>
    </row>
    <row r="1940" spans="2:9" ht="15">
      <c r="B1940"/>
      <c r="C1940"/>
      <c r="D1940"/>
      <c r="E1940"/>
      <c r="F1940"/>
      <c r="G1940"/>
      <c r="H1940"/>
      <c r="I1940"/>
    </row>
    <row r="1941" spans="2:9" ht="15">
      <c r="B1941"/>
      <c r="C1941"/>
      <c r="D1941"/>
      <c r="E1941"/>
      <c r="F1941"/>
      <c r="G1941"/>
      <c r="H1941"/>
      <c r="I1941"/>
    </row>
    <row r="1942" spans="2:9" ht="15">
      <c r="B1942"/>
      <c r="C1942"/>
      <c r="D1942"/>
      <c r="E1942"/>
      <c r="F1942"/>
      <c r="G1942"/>
      <c r="H1942"/>
      <c r="I1942"/>
    </row>
    <row r="1943" spans="2:9" ht="15">
      <c r="B1943"/>
      <c r="C1943"/>
      <c r="D1943"/>
      <c r="E1943"/>
      <c r="F1943"/>
      <c r="G1943"/>
      <c r="H1943"/>
      <c r="I1943"/>
    </row>
    <row r="1944" spans="2:9" ht="15">
      <c r="B1944"/>
      <c r="C1944"/>
      <c r="D1944"/>
      <c r="E1944"/>
      <c r="F1944"/>
      <c r="G1944"/>
      <c r="H1944"/>
      <c r="I1944"/>
    </row>
    <row r="1945" spans="2:9" ht="15">
      <c r="B1945"/>
      <c r="C1945"/>
      <c r="D1945"/>
      <c r="E1945"/>
      <c r="F1945"/>
      <c r="G1945"/>
      <c r="H1945"/>
      <c r="I1945"/>
    </row>
    <row r="1946" spans="2:9" ht="15">
      <c r="B1946"/>
      <c r="C1946"/>
      <c r="D1946"/>
      <c r="E1946"/>
      <c r="F1946"/>
      <c r="G1946"/>
      <c r="H1946"/>
      <c r="I1946"/>
    </row>
    <row r="1947" spans="2:9" ht="15">
      <c r="B1947"/>
      <c r="C1947"/>
      <c r="D1947"/>
      <c r="E1947"/>
      <c r="F1947"/>
      <c r="G1947"/>
      <c r="H1947"/>
      <c r="I1947"/>
    </row>
    <row r="1948" spans="2:9" ht="15">
      <c r="B1948"/>
      <c r="C1948"/>
      <c r="D1948"/>
      <c r="E1948"/>
      <c r="F1948"/>
      <c r="G1948"/>
      <c r="H1948"/>
      <c r="I1948"/>
    </row>
    <row r="1949" spans="2:9" ht="15">
      <c r="B1949"/>
      <c r="C1949"/>
      <c r="D1949"/>
      <c r="E1949"/>
      <c r="F1949"/>
      <c r="G1949"/>
      <c r="H1949"/>
      <c r="I1949"/>
    </row>
    <row r="1950" spans="2:9" ht="15">
      <c r="B1950"/>
      <c r="C1950"/>
      <c r="D1950"/>
      <c r="E1950"/>
      <c r="F1950"/>
      <c r="G1950"/>
      <c r="H1950"/>
      <c r="I1950"/>
    </row>
    <row r="1951" spans="2:9" ht="15">
      <c r="B1951"/>
      <c r="C1951"/>
      <c r="D1951"/>
      <c r="E1951"/>
      <c r="F1951"/>
      <c r="G1951"/>
      <c r="H1951"/>
      <c r="I1951"/>
    </row>
    <row r="1952" spans="2:9" ht="15">
      <c r="B1952"/>
      <c r="C1952"/>
      <c r="D1952"/>
      <c r="E1952"/>
      <c r="F1952"/>
      <c r="G1952"/>
      <c r="H1952"/>
      <c r="I1952"/>
    </row>
    <row r="1953" spans="2:9" ht="15">
      <c r="B1953"/>
      <c r="C1953"/>
      <c r="D1953"/>
      <c r="E1953"/>
      <c r="F1953"/>
      <c r="G1953"/>
      <c r="H1953"/>
      <c r="I1953"/>
    </row>
    <row r="1954" spans="2:9" ht="15">
      <c r="B1954"/>
      <c r="C1954"/>
      <c r="D1954"/>
      <c r="E1954"/>
      <c r="F1954"/>
      <c r="G1954"/>
      <c r="H1954"/>
      <c r="I1954"/>
    </row>
    <row r="1955" spans="2:9" ht="15">
      <c r="B1955"/>
      <c r="C1955"/>
      <c r="D1955"/>
      <c r="E1955"/>
      <c r="F1955"/>
      <c r="G1955"/>
      <c r="H1955"/>
      <c r="I1955"/>
    </row>
    <row r="1956" spans="2:9" ht="15">
      <c r="B1956"/>
      <c r="C1956"/>
      <c r="D1956"/>
      <c r="E1956"/>
      <c r="F1956"/>
      <c r="G1956"/>
      <c r="H1956"/>
      <c r="I1956"/>
    </row>
    <row r="1957" spans="2:9" ht="15">
      <c r="B1957"/>
      <c r="C1957"/>
      <c r="D1957"/>
      <c r="E1957"/>
      <c r="F1957"/>
      <c r="G1957"/>
      <c r="H1957"/>
      <c r="I1957"/>
    </row>
    <row r="1958" spans="2:9" ht="15">
      <c r="B1958"/>
      <c r="C1958"/>
      <c r="D1958"/>
      <c r="E1958"/>
      <c r="F1958"/>
      <c r="G1958"/>
      <c r="H1958"/>
      <c r="I1958"/>
    </row>
    <row r="1959" spans="2:9" ht="15">
      <c r="B1959"/>
      <c r="C1959"/>
      <c r="D1959"/>
      <c r="E1959"/>
      <c r="F1959"/>
      <c r="G1959"/>
      <c r="H1959"/>
      <c r="I1959"/>
    </row>
    <row r="1960" spans="2:9" ht="15">
      <c r="B1960"/>
      <c r="C1960"/>
      <c r="D1960"/>
      <c r="E1960"/>
      <c r="F1960"/>
      <c r="G1960"/>
      <c r="H1960"/>
      <c r="I1960"/>
    </row>
    <row r="1961" spans="2:9" ht="15">
      <c r="B1961"/>
      <c r="C1961"/>
      <c r="D1961"/>
      <c r="E1961"/>
      <c r="F1961"/>
      <c r="G1961"/>
      <c r="H1961"/>
      <c r="I1961"/>
    </row>
    <row r="1962" spans="2:9" ht="15">
      <c r="B1962"/>
      <c r="C1962"/>
      <c r="D1962"/>
      <c r="E1962"/>
      <c r="F1962"/>
      <c r="G1962"/>
      <c r="H1962"/>
      <c r="I1962"/>
    </row>
    <row r="1963" spans="2:9" ht="15">
      <c r="B1963"/>
      <c r="C1963"/>
      <c r="D1963"/>
      <c r="E1963"/>
      <c r="F1963"/>
      <c r="G1963"/>
      <c r="H1963"/>
      <c r="I1963"/>
    </row>
    <row r="1964" spans="2:9" ht="15">
      <c r="B1964"/>
      <c r="C1964"/>
      <c r="D1964"/>
      <c r="E1964"/>
      <c r="F1964"/>
      <c r="G1964"/>
      <c r="H1964"/>
      <c r="I1964"/>
    </row>
    <row r="1965" spans="2:9" ht="15">
      <c r="B1965"/>
      <c r="C1965"/>
      <c r="D1965"/>
      <c r="E1965"/>
      <c r="F1965"/>
      <c r="G1965"/>
      <c r="H1965"/>
      <c r="I1965"/>
    </row>
    <row r="1966" spans="2:9" ht="15">
      <c r="B1966"/>
      <c r="C1966"/>
      <c r="D1966"/>
      <c r="E1966"/>
      <c r="F1966"/>
      <c r="G1966"/>
      <c r="H1966"/>
      <c r="I1966"/>
    </row>
    <row r="1967" spans="2:9" ht="15">
      <c r="B1967"/>
      <c r="C1967"/>
      <c r="D1967"/>
      <c r="E1967"/>
      <c r="F1967"/>
      <c r="G1967"/>
      <c r="H1967"/>
      <c r="I1967"/>
    </row>
    <row r="1968" spans="2:9" ht="15">
      <c r="B1968"/>
      <c r="C1968"/>
      <c r="D1968"/>
      <c r="E1968"/>
      <c r="F1968"/>
      <c r="G1968"/>
      <c r="H1968"/>
      <c r="I1968"/>
    </row>
    <row r="1969" spans="2:9" ht="15">
      <c r="B1969"/>
      <c r="C1969"/>
      <c r="D1969"/>
      <c r="E1969"/>
      <c r="F1969"/>
      <c r="G1969"/>
      <c r="H1969"/>
      <c r="I1969"/>
    </row>
    <row r="1970" spans="2:9" ht="15">
      <c r="B1970"/>
      <c r="C1970"/>
      <c r="D1970"/>
      <c r="E1970"/>
      <c r="F1970"/>
      <c r="G1970"/>
      <c r="H1970"/>
      <c r="I1970"/>
    </row>
    <row r="1971" spans="2:9" ht="15">
      <c r="B1971"/>
      <c r="C1971"/>
      <c r="D1971"/>
      <c r="E1971"/>
      <c r="F1971"/>
      <c r="G1971"/>
      <c r="H1971"/>
      <c r="I1971"/>
    </row>
    <row r="1972" spans="2:9" ht="15">
      <c r="B1972"/>
      <c r="C1972"/>
      <c r="D1972"/>
      <c r="E1972"/>
      <c r="F1972"/>
      <c r="G1972"/>
      <c r="H1972"/>
      <c r="I1972"/>
    </row>
    <row r="1973" spans="2:9" ht="15">
      <c r="B1973"/>
      <c r="C1973"/>
      <c r="D1973"/>
      <c r="E1973"/>
      <c r="F1973"/>
      <c r="G1973"/>
      <c r="H1973"/>
      <c r="I1973"/>
    </row>
    <row r="1974" spans="2:9" ht="15">
      <c r="B1974"/>
      <c r="C1974"/>
      <c r="D1974"/>
      <c r="E1974"/>
      <c r="F1974"/>
      <c r="G1974"/>
      <c r="H1974"/>
      <c r="I1974"/>
    </row>
    <row r="1975" spans="2:9" ht="15">
      <c r="B1975"/>
      <c r="C1975"/>
      <c r="D1975"/>
      <c r="E1975"/>
      <c r="F1975"/>
      <c r="G1975"/>
      <c r="H1975"/>
      <c r="I1975"/>
    </row>
    <row r="1976" spans="2:9" ht="13.5" customHeight="1">
      <c r="B1976"/>
      <c r="C1976"/>
      <c r="D1976"/>
      <c r="E1976"/>
      <c r="F1976"/>
      <c r="G1976"/>
      <c r="H1976"/>
      <c r="I1976"/>
    </row>
    <row r="1977" spans="2:9" ht="15">
      <c r="B1977"/>
      <c r="C1977"/>
      <c r="D1977"/>
      <c r="E1977"/>
      <c r="F1977"/>
      <c r="G1977"/>
      <c r="H1977"/>
      <c r="I1977"/>
    </row>
    <row r="1978" spans="2:9" ht="15">
      <c r="B1978"/>
      <c r="C1978"/>
      <c r="D1978"/>
      <c r="E1978"/>
      <c r="F1978"/>
      <c r="G1978"/>
      <c r="H1978"/>
      <c r="I1978"/>
    </row>
    <row r="1979" spans="2:9" ht="15">
      <c r="B1979"/>
      <c r="C1979"/>
      <c r="D1979"/>
      <c r="E1979"/>
      <c r="F1979"/>
      <c r="G1979"/>
      <c r="H1979"/>
      <c r="I1979"/>
    </row>
    <row r="1980" spans="2:9" ht="15">
      <c r="B1980"/>
      <c r="C1980"/>
      <c r="D1980"/>
      <c r="E1980"/>
      <c r="F1980"/>
      <c r="G1980"/>
      <c r="H1980"/>
      <c r="I1980"/>
    </row>
    <row r="1981" spans="2:9" ht="15">
      <c r="B1981"/>
      <c r="C1981"/>
      <c r="D1981"/>
      <c r="E1981"/>
      <c r="F1981"/>
      <c r="G1981"/>
      <c r="H1981"/>
      <c r="I1981"/>
    </row>
    <row r="1982" spans="2:9" ht="15">
      <c r="B1982"/>
      <c r="C1982"/>
      <c r="D1982"/>
      <c r="E1982"/>
      <c r="F1982"/>
      <c r="G1982"/>
      <c r="H1982"/>
      <c r="I1982"/>
    </row>
    <row r="1983" spans="2:9" ht="15">
      <c r="B1983"/>
      <c r="C1983"/>
      <c r="D1983"/>
      <c r="E1983"/>
      <c r="F1983"/>
      <c r="G1983"/>
      <c r="H1983"/>
      <c r="I1983"/>
    </row>
    <row r="1984" spans="2:9" ht="15">
      <c r="B1984"/>
      <c r="C1984"/>
      <c r="D1984"/>
      <c r="E1984"/>
      <c r="F1984"/>
      <c r="G1984"/>
      <c r="H1984"/>
      <c r="I1984"/>
    </row>
    <row r="1985" spans="2:9" ht="15">
      <c r="B1985"/>
      <c r="C1985"/>
      <c r="D1985"/>
      <c r="E1985"/>
      <c r="F1985"/>
      <c r="G1985"/>
      <c r="H1985"/>
      <c r="I1985"/>
    </row>
    <row r="1986" spans="2:9" ht="15">
      <c r="B1986"/>
      <c r="C1986"/>
      <c r="D1986"/>
      <c r="E1986"/>
      <c r="F1986"/>
      <c r="G1986"/>
      <c r="H1986"/>
      <c r="I1986"/>
    </row>
    <row r="1987" spans="2:9" ht="15">
      <c r="B1987"/>
      <c r="C1987"/>
      <c r="D1987"/>
      <c r="E1987"/>
      <c r="F1987"/>
      <c r="G1987"/>
      <c r="H1987"/>
      <c r="I1987"/>
    </row>
    <row r="1988" spans="2:9" ht="15">
      <c r="B1988"/>
      <c r="C1988"/>
      <c r="D1988"/>
      <c r="E1988"/>
      <c r="F1988"/>
      <c r="G1988"/>
      <c r="H1988"/>
      <c r="I1988"/>
    </row>
    <row r="1989" spans="2:9" ht="15">
      <c r="B1989"/>
      <c r="C1989"/>
      <c r="D1989"/>
      <c r="E1989"/>
      <c r="F1989"/>
      <c r="G1989"/>
      <c r="H1989"/>
      <c r="I1989"/>
    </row>
    <row r="1990" spans="2:9" ht="15">
      <c r="B1990"/>
      <c r="C1990"/>
      <c r="D1990"/>
      <c r="E1990"/>
      <c r="F1990"/>
      <c r="G1990"/>
      <c r="H1990"/>
      <c r="I1990"/>
    </row>
    <row r="1991" spans="2:9" ht="15">
      <c r="B1991"/>
      <c r="C1991"/>
      <c r="D1991"/>
      <c r="E1991"/>
      <c r="F1991"/>
      <c r="G1991"/>
      <c r="H1991"/>
      <c r="I1991"/>
    </row>
    <row r="1992" spans="2:9" ht="15">
      <c r="B1992"/>
      <c r="C1992"/>
      <c r="D1992"/>
      <c r="E1992"/>
      <c r="F1992"/>
      <c r="G1992"/>
      <c r="H1992"/>
      <c r="I1992"/>
    </row>
    <row r="1993" spans="2:9" ht="15">
      <c r="B1993"/>
      <c r="C1993"/>
      <c r="D1993"/>
      <c r="E1993"/>
      <c r="F1993"/>
      <c r="G1993"/>
      <c r="H1993"/>
      <c r="I1993"/>
    </row>
    <row r="1994" spans="2:9" ht="15">
      <c r="B1994"/>
      <c r="C1994"/>
      <c r="D1994"/>
      <c r="E1994"/>
      <c r="F1994"/>
      <c r="G1994"/>
      <c r="H1994"/>
      <c r="I1994"/>
    </row>
    <row r="1995" spans="2:9" ht="15">
      <c r="B1995"/>
      <c r="C1995"/>
      <c r="D1995"/>
      <c r="E1995"/>
      <c r="F1995"/>
      <c r="G1995"/>
      <c r="H1995"/>
      <c r="I1995"/>
    </row>
    <row r="1996" spans="2:9" ht="15">
      <c r="B1996"/>
      <c r="C1996"/>
      <c r="D1996"/>
      <c r="E1996"/>
      <c r="F1996"/>
      <c r="G1996"/>
      <c r="H1996"/>
      <c r="I1996"/>
    </row>
    <row r="1997" spans="2:9" ht="15">
      <c r="B1997"/>
      <c r="C1997"/>
      <c r="D1997"/>
      <c r="E1997"/>
      <c r="F1997"/>
      <c r="G1997"/>
      <c r="H1997"/>
      <c r="I1997"/>
    </row>
    <row r="1998" spans="2:9" ht="15">
      <c r="B1998"/>
      <c r="C1998"/>
      <c r="D1998"/>
      <c r="E1998"/>
      <c r="F1998"/>
      <c r="G1998"/>
      <c r="H1998"/>
      <c r="I1998"/>
    </row>
    <row r="1999" spans="2:9" ht="15">
      <c r="B1999"/>
      <c r="C1999"/>
      <c r="D1999"/>
      <c r="E1999"/>
      <c r="F1999"/>
      <c r="G1999"/>
      <c r="H1999"/>
      <c r="I1999"/>
    </row>
    <row r="2000" spans="2:9" ht="15">
      <c r="B2000"/>
      <c r="C2000"/>
      <c r="D2000"/>
      <c r="E2000"/>
      <c r="F2000"/>
      <c r="G2000"/>
      <c r="H2000"/>
      <c r="I2000"/>
    </row>
    <row r="2001" spans="2:9" ht="15">
      <c r="B2001"/>
      <c r="C2001"/>
      <c r="D2001"/>
      <c r="E2001"/>
      <c r="F2001"/>
      <c r="G2001"/>
      <c r="H2001"/>
      <c r="I2001"/>
    </row>
    <row r="2002" spans="2:9" ht="15">
      <c r="B2002"/>
      <c r="C2002"/>
      <c r="D2002"/>
      <c r="E2002"/>
      <c r="F2002"/>
      <c r="G2002"/>
      <c r="H2002"/>
      <c r="I2002"/>
    </row>
    <row r="2003" spans="2:9" ht="15">
      <c r="B2003"/>
      <c r="C2003"/>
      <c r="D2003"/>
      <c r="E2003"/>
      <c r="F2003"/>
      <c r="G2003"/>
      <c r="H2003"/>
      <c r="I2003"/>
    </row>
    <row r="2004" spans="2:9" ht="15">
      <c r="B2004"/>
      <c r="C2004"/>
      <c r="D2004"/>
      <c r="E2004"/>
      <c r="F2004"/>
      <c r="G2004"/>
      <c r="H2004"/>
      <c r="I2004"/>
    </row>
    <row r="2005" spans="2:9" ht="15">
      <c r="B2005"/>
      <c r="C2005"/>
      <c r="D2005"/>
      <c r="E2005"/>
      <c r="F2005"/>
      <c r="G2005"/>
      <c r="H2005"/>
      <c r="I2005"/>
    </row>
    <row r="2006" spans="2:9" ht="15">
      <c r="B2006"/>
      <c r="C2006"/>
      <c r="D2006"/>
      <c r="E2006"/>
      <c r="F2006"/>
      <c r="G2006"/>
      <c r="H2006"/>
      <c r="I2006"/>
    </row>
    <row r="2007" spans="2:9" ht="15">
      <c r="B2007"/>
      <c r="C2007"/>
      <c r="D2007"/>
      <c r="E2007"/>
      <c r="F2007"/>
      <c r="G2007"/>
      <c r="H2007"/>
      <c r="I2007"/>
    </row>
    <row r="2008" spans="2:9" ht="15">
      <c r="B2008"/>
      <c r="C2008"/>
      <c r="D2008"/>
      <c r="E2008"/>
      <c r="F2008"/>
      <c r="G2008"/>
      <c r="H2008"/>
      <c r="I2008"/>
    </row>
    <row r="2009" spans="2:9" ht="15">
      <c r="B2009"/>
      <c r="C2009"/>
      <c r="D2009"/>
      <c r="E2009"/>
      <c r="F2009"/>
      <c r="G2009"/>
      <c r="H2009"/>
      <c r="I2009"/>
    </row>
    <row r="2010" spans="2:9" ht="15">
      <c r="B2010"/>
      <c r="C2010"/>
      <c r="D2010"/>
      <c r="E2010"/>
      <c r="F2010"/>
      <c r="G2010"/>
      <c r="H2010"/>
      <c r="I2010"/>
    </row>
    <row r="2011" spans="2:9" ht="15">
      <c r="B2011"/>
      <c r="C2011"/>
      <c r="D2011"/>
      <c r="E2011"/>
      <c r="F2011"/>
      <c r="G2011"/>
      <c r="H2011"/>
      <c r="I2011"/>
    </row>
    <row r="2012" spans="2:9" ht="15">
      <c r="B2012"/>
      <c r="C2012"/>
      <c r="D2012"/>
      <c r="E2012"/>
      <c r="F2012"/>
      <c r="G2012"/>
      <c r="H2012"/>
      <c r="I2012"/>
    </row>
    <row r="2013" spans="2:9" ht="15">
      <c r="B2013"/>
      <c r="C2013"/>
      <c r="D2013"/>
      <c r="E2013"/>
      <c r="F2013"/>
      <c r="G2013"/>
      <c r="H2013"/>
      <c r="I2013"/>
    </row>
    <row r="2014" spans="2:9" ht="15">
      <c r="B2014"/>
      <c r="C2014"/>
      <c r="D2014"/>
      <c r="E2014"/>
      <c r="F2014"/>
      <c r="G2014"/>
      <c r="H2014"/>
      <c r="I2014"/>
    </row>
    <row r="2015" spans="2:9" ht="15">
      <c r="B2015"/>
      <c r="C2015"/>
      <c r="D2015"/>
      <c r="E2015"/>
      <c r="F2015"/>
      <c r="G2015"/>
      <c r="H2015"/>
      <c r="I2015"/>
    </row>
    <row r="2016" spans="2:9" ht="15">
      <c r="B2016"/>
      <c r="C2016"/>
      <c r="D2016"/>
      <c r="E2016"/>
      <c r="F2016"/>
      <c r="G2016"/>
      <c r="H2016"/>
      <c r="I2016"/>
    </row>
    <row r="2017" spans="2:9" ht="15">
      <c r="B2017"/>
      <c r="C2017"/>
      <c r="D2017"/>
      <c r="E2017"/>
      <c r="F2017"/>
      <c r="G2017"/>
      <c r="H2017"/>
      <c r="I2017"/>
    </row>
    <row r="2018" spans="2:9" ht="15">
      <c r="B2018"/>
      <c r="C2018"/>
      <c r="D2018"/>
      <c r="E2018"/>
      <c r="F2018"/>
      <c r="G2018"/>
      <c r="H2018"/>
      <c r="I2018"/>
    </row>
    <row r="2019" spans="2:9" ht="15">
      <c r="B2019"/>
      <c r="C2019"/>
      <c r="D2019"/>
      <c r="E2019"/>
      <c r="F2019"/>
      <c r="G2019"/>
      <c r="H2019"/>
      <c r="I2019"/>
    </row>
    <row r="2020" spans="2:9" ht="13.5" customHeight="1">
      <c r="B2020"/>
      <c r="C2020"/>
      <c r="D2020"/>
      <c r="E2020"/>
      <c r="F2020"/>
      <c r="G2020"/>
      <c r="H2020"/>
      <c r="I2020"/>
    </row>
    <row r="2021" spans="2:9" ht="15">
      <c r="B2021"/>
      <c r="C2021"/>
      <c r="D2021"/>
      <c r="E2021"/>
      <c r="F2021"/>
      <c r="G2021"/>
      <c r="H2021"/>
      <c r="I2021"/>
    </row>
    <row r="2022" spans="2:9" ht="15">
      <c r="B2022"/>
      <c r="C2022"/>
      <c r="D2022"/>
      <c r="E2022"/>
      <c r="F2022"/>
      <c r="G2022"/>
      <c r="H2022"/>
      <c r="I2022"/>
    </row>
    <row r="2023" spans="2:9" ht="15">
      <c r="B2023"/>
      <c r="C2023"/>
      <c r="D2023"/>
      <c r="E2023"/>
      <c r="F2023"/>
      <c r="G2023"/>
      <c r="H2023"/>
      <c r="I2023"/>
    </row>
    <row r="2024" spans="2:9" ht="15">
      <c r="B2024"/>
      <c r="C2024"/>
      <c r="D2024"/>
      <c r="E2024"/>
      <c r="F2024"/>
      <c r="G2024"/>
      <c r="H2024"/>
      <c r="I2024"/>
    </row>
    <row r="2025" spans="2:9" ht="15">
      <c r="B2025"/>
      <c r="C2025"/>
      <c r="D2025"/>
      <c r="E2025"/>
      <c r="F2025"/>
      <c r="G2025"/>
      <c r="H2025"/>
      <c r="I2025"/>
    </row>
    <row r="2026" spans="2:9" ht="15">
      <c r="B2026"/>
      <c r="C2026"/>
      <c r="D2026"/>
      <c r="E2026"/>
      <c r="F2026"/>
      <c r="G2026"/>
      <c r="H2026"/>
      <c r="I2026"/>
    </row>
    <row r="2027" spans="2:9" ht="15">
      <c r="B2027"/>
      <c r="C2027"/>
      <c r="D2027"/>
      <c r="E2027"/>
      <c r="F2027"/>
      <c r="G2027"/>
      <c r="H2027"/>
      <c r="I2027"/>
    </row>
    <row r="2028" spans="2:9" ht="15">
      <c r="B2028"/>
      <c r="C2028"/>
      <c r="D2028"/>
      <c r="E2028"/>
      <c r="F2028"/>
      <c r="G2028"/>
      <c r="H2028"/>
      <c r="I2028"/>
    </row>
    <row r="2029" spans="2:9" ht="15">
      <c r="B2029"/>
      <c r="C2029"/>
      <c r="D2029"/>
      <c r="E2029"/>
      <c r="F2029"/>
      <c r="G2029"/>
      <c r="H2029"/>
      <c r="I2029"/>
    </row>
    <row r="2030" spans="2:9" ht="15">
      <c r="B2030"/>
      <c r="C2030"/>
      <c r="D2030"/>
      <c r="E2030"/>
      <c r="F2030"/>
      <c r="G2030"/>
      <c r="H2030"/>
      <c r="I2030"/>
    </row>
    <row r="2031" spans="2:9" ht="15">
      <c r="B2031"/>
      <c r="C2031"/>
      <c r="D2031"/>
      <c r="E2031"/>
      <c r="F2031"/>
      <c r="G2031"/>
      <c r="H2031"/>
      <c r="I2031"/>
    </row>
    <row r="2032" spans="2:9" ht="15">
      <c r="B2032"/>
      <c r="C2032"/>
      <c r="D2032"/>
      <c r="E2032"/>
      <c r="F2032"/>
      <c r="G2032"/>
      <c r="H2032"/>
      <c r="I2032"/>
    </row>
    <row r="2033" spans="2:9" ht="15">
      <c r="B2033"/>
      <c r="C2033"/>
      <c r="D2033"/>
      <c r="E2033"/>
      <c r="F2033"/>
      <c r="G2033"/>
      <c r="H2033"/>
      <c r="I2033"/>
    </row>
    <row r="2034" spans="2:9" ht="15">
      <c r="B2034"/>
      <c r="C2034"/>
      <c r="D2034"/>
      <c r="E2034"/>
      <c r="F2034"/>
      <c r="G2034"/>
      <c r="H2034"/>
      <c r="I2034"/>
    </row>
    <row r="2035" spans="2:9" ht="15">
      <c r="B2035"/>
      <c r="C2035"/>
      <c r="D2035"/>
      <c r="E2035"/>
      <c r="F2035"/>
      <c r="G2035"/>
      <c r="H2035"/>
      <c r="I2035"/>
    </row>
    <row r="2036" spans="2:9" ht="15">
      <c r="B2036"/>
      <c r="C2036"/>
      <c r="D2036"/>
      <c r="E2036"/>
      <c r="F2036"/>
      <c r="G2036"/>
      <c r="H2036"/>
      <c r="I2036"/>
    </row>
    <row r="2037" spans="2:9" ht="15">
      <c r="B2037"/>
      <c r="C2037"/>
      <c r="D2037"/>
      <c r="E2037"/>
      <c r="F2037"/>
      <c r="G2037"/>
      <c r="H2037"/>
      <c r="I2037"/>
    </row>
    <row r="2038" spans="2:9" ht="15">
      <c r="B2038"/>
      <c r="C2038"/>
      <c r="D2038"/>
      <c r="E2038"/>
      <c r="F2038"/>
      <c r="G2038"/>
      <c r="H2038"/>
      <c r="I2038"/>
    </row>
    <row r="2039" spans="2:9" ht="15">
      <c r="B2039"/>
      <c r="C2039"/>
      <c r="D2039"/>
      <c r="E2039"/>
      <c r="F2039"/>
      <c r="G2039"/>
      <c r="H2039"/>
      <c r="I2039"/>
    </row>
    <row r="2040" spans="2:9" ht="15">
      <c r="B2040"/>
      <c r="C2040"/>
      <c r="D2040"/>
      <c r="E2040"/>
      <c r="F2040"/>
      <c r="G2040"/>
      <c r="H2040"/>
      <c r="I2040"/>
    </row>
    <row r="2041" spans="2:9" ht="15">
      <c r="B2041"/>
      <c r="C2041"/>
      <c r="D2041"/>
      <c r="E2041"/>
      <c r="F2041"/>
      <c r="G2041"/>
      <c r="H2041"/>
      <c r="I2041"/>
    </row>
    <row r="2042" spans="2:9" ht="15">
      <c r="B2042"/>
      <c r="C2042"/>
      <c r="D2042"/>
      <c r="E2042"/>
      <c r="F2042"/>
      <c r="G2042"/>
      <c r="H2042"/>
      <c r="I2042"/>
    </row>
    <row r="2043" spans="2:9" ht="15">
      <c r="B2043"/>
      <c r="C2043"/>
      <c r="D2043"/>
      <c r="E2043"/>
      <c r="F2043"/>
      <c r="G2043"/>
      <c r="H2043"/>
      <c r="I2043"/>
    </row>
    <row r="2044" spans="2:9" ht="15">
      <c r="B2044"/>
      <c r="C2044"/>
      <c r="D2044"/>
      <c r="E2044"/>
      <c r="F2044"/>
      <c r="G2044"/>
      <c r="H2044"/>
      <c r="I2044"/>
    </row>
    <row r="2045" spans="2:9" ht="15">
      <c r="B2045"/>
      <c r="C2045"/>
      <c r="D2045"/>
      <c r="E2045"/>
      <c r="F2045"/>
      <c r="G2045"/>
      <c r="H2045"/>
      <c r="I2045"/>
    </row>
    <row r="2046" spans="2:9" ht="15">
      <c r="B2046"/>
      <c r="C2046"/>
      <c r="D2046"/>
      <c r="E2046"/>
      <c r="F2046"/>
      <c r="G2046"/>
      <c r="H2046"/>
      <c r="I2046"/>
    </row>
    <row r="2047" spans="2:9" ht="15">
      <c r="B2047"/>
      <c r="C2047"/>
      <c r="D2047"/>
      <c r="E2047"/>
      <c r="F2047"/>
      <c r="G2047"/>
      <c r="H2047"/>
      <c r="I2047"/>
    </row>
    <row r="2048" spans="2:9" ht="15">
      <c r="B2048"/>
      <c r="C2048"/>
      <c r="D2048"/>
      <c r="E2048"/>
      <c r="F2048"/>
      <c r="G2048"/>
      <c r="H2048"/>
      <c r="I2048"/>
    </row>
    <row r="2049" spans="2:9" ht="15">
      <c r="B2049"/>
      <c r="C2049"/>
      <c r="D2049"/>
      <c r="E2049"/>
      <c r="F2049"/>
      <c r="G2049"/>
      <c r="H2049"/>
      <c r="I2049"/>
    </row>
    <row r="2050" spans="2:9" ht="15">
      <c r="B2050"/>
      <c r="C2050"/>
      <c r="D2050"/>
      <c r="E2050"/>
      <c r="F2050"/>
      <c r="G2050"/>
      <c r="H2050"/>
      <c r="I2050"/>
    </row>
    <row r="2051" spans="2:9" ht="15">
      <c r="B2051"/>
      <c r="C2051"/>
      <c r="D2051"/>
      <c r="E2051"/>
      <c r="F2051"/>
      <c r="G2051"/>
      <c r="H2051"/>
      <c r="I2051"/>
    </row>
    <row r="2052" spans="2:9" ht="15">
      <c r="B2052"/>
      <c r="C2052"/>
      <c r="D2052"/>
      <c r="E2052"/>
      <c r="F2052"/>
      <c r="G2052"/>
      <c r="H2052"/>
      <c r="I2052"/>
    </row>
    <row r="2053" spans="2:9" ht="15">
      <c r="B2053"/>
      <c r="C2053"/>
      <c r="D2053"/>
      <c r="E2053"/>
      <c r="F2053"/>
      <c r="G2053"/>
      <c r="H2053"/>
      <c r="I2053"/>
    </row>
    <row r="2054" spans="2:9" ht="15">
      <c r="B2054"/>
      <c r="C2054"/>
      <c r="D2054"/>
      <c r="E2054"/>
      <c r="F2054"/>
      <c r="G2054"/>
      <c r="H2054"/>
      <c r="I2054"/>
    </row>
    <row r="2055" spans="2:9" ht="15">
      <c r="B2055"/>
      <c r="C2055"/>
      <c r="D2055"/>
      <c r="E2055"/>
      <c r="F2055"/>
      <c r="G2055"/>
      <c r="H2055"/>
      <c r="I2055"/>
    </row>
    <row r="2056" spans="2:9" ht="15">
      <c r="B2056"/>
      <c r="C2056"/>
      <c r="D2056"/>
      <c r="E2056"/>
      <c r="F2056"/>
      <c r="G2056"/>
      <c r="H2056"/>
      <c r="I2056"/>
    </row>
    <row r="2057" spans="2:9" ht="15">
      <c r="B2057"/>
      <c r="C2057"/>
      <c r="D2057"/>
      <c r="E2057"/>
      <c r="F2057"/>
      <c r="G2057"/>
      <c r="H2057"/>
      <c r="I2057"/>
    </row>
    <row r="2058" spans="2:9" ht="15">
      <c r="B2058"/>
      <c r="C2058"/>
      <c r="D2058"/>
      <c r="E2058"/>
      <c r="F2058"/>
      <c r="G2058"/>
      <c r="H2058"/>
      <c r="I2058"/>
    </row>
    <row r="2059" spans="2:9" ht="15">
      <c r="B2059"/>
      <c r="C2059"/>
      <c r="D2059"/>
      <c r="E2059"/>
      <c r="F2059"/>
      <c r="G2059"/>
      <c r="H2059"/>
      <c r="I2059"/>
    </row>
    <row r="2060" spans="2:9" ht="15">
      <c r="B2060"/>
      <c r="C2060"/>
      <c r="D2060"/>
      <c r="E2060"/>
      <c r="F2060"/>
      <c r="G2060"/>
      <c r="H2060"/>
      <c r="I2060"/>
    </row>
    <row r="2061" spans="2:9" ht="15">
      <c r="B2061"/>
      <c r="C2061"/>
      <c r="D2061"/>
      <c r="E2061"/>
      <c r="F2061"/>
      <c r="G2061"/>
      <c r="H2061"/>
      <c r="I2061"/>
    </row>
    <row r="2062" spans="2:9" ht="15">
      <c r="B2062"/>
      <c r="C2062"/>
      <c r="D2062"/>
      <c r="E2062"/>
      <c r="F2062"/>
      <c r="G2062"/>
      <c r="H2062"/>
      <c r="I2062"/>
    </row>
    <row r="2063" spans="2:9" ht="15">
      <c r="B2063"/>
      <c r="C2063"/>
      <c r="D2063"/>
      <c r="E2063"/>
      <c r="F2063"/>
      <c r="G2063"/>
      <c r="H2063"/>
      <c r="I2063"/>
    </row>
    <row r="2064" spans="2:9" ht="13.5" customHeight="1">
      <c r="B2064"/>
      <c r="C2064"/>
      <c r="D2064"/>
      <c r="E2064"/>
      <c r="F2064"/>
      <c r="G2064"/>
      <c r="H2064"/>
      <c r="I2064"/>
    </row>
    <row r="2065" spans="2:9" ht="15">
      <c r="B2065"/>
      <c r="C2065"/>
      <c r="D2065"/>
      <c r="E2065"/>
      <c r="F2065"/>
      <c r="G2065"/>
      <c r="H2065"/>
      <c r="I2065"/>
    </row>
    <row r="2066" spans="2:9" ht="15">
      <c r="B2066"/>
      <c r="C2066"/>
      <c r="D2066"/>
      <c r="E2066"/>
      <c r="F2066"/>
      <c r="G2066"/>
      <c r="H2066"/>
      <c r="I2066"/>
    </row>
    <row r="2067" spans="2:9" ht="15">
      <c r="B2067"/>
      <c r="C2067"/>
      <c r="D2067"/>
      <c r="E2067"/>
      <c r="F2067"/>
      <c r="G2067"/>
      <c r="H2067"/>
      <c r="I2067"/>
    </row>
    <row r="2068" spans="2:9" ht="15">
      <c r="B2068"/>
      <c r="C2068"/>
      <c r="D2068"/>
      <c r="E2068"/>
      <c r="F2068"/>
      <c r="G2068"/>
      <c r="H2068"/>
      <c r="I2068"/>
    </row>
    <row r="2069" spans="2:9" ht="15">
      <c r="B2069"/>
      <c r="C2069"/>
      <c r="D2069"/>
      <c r="E2069"/>
      <c r="F2069"/>
      <c r="G2069"/>
      <c r="H2069"/>
      <c r="I2069"/>
    </row>
    <row r="2070" spans="2:9" ht="15">
      <c r="B2070"/>
      <c r="C2070"/>
      <c r="D2070"/>
      <c r="E2070"/>
      <c r="F2070"/>
      <c r="G2070"/>
      <c r="H2070"/>
      <c r="I2070"/>
    </row>
    <row r="2071" spans="2:9" ht="15">
      <c r="B2071"/>
      <c r="C2071"/>
      <c r="D2071"/>
      <c r="E2071"/>
      <c r="F2071"/>
      <c r="G2071"/>
      <c r="H2071"/>
      <c r="I2071"/>
    </row>
    <row r="2072" spans="2:9" ht="15">
      <c r="B2072"/>
      <c r="C2072"/>
      <c r="D2072"/>
      <c r="E2072"/>
      <c r="F2072"/>
      <c r="G2072"/>
      <c r="H2072"/>
      <c r="I2072"/>
    </row>
    <row r="2073" spans="2:9" ht="15">
      <c r="B2073"/>
      <c r="C2073"/>
      <c r="D2073"/>
      <c r="E2073"/>
      <c r="F2073"/>
      <c r="G2073"/>
      <c r="H2073"/>
      <c r="I2073"/>
    </row>
    <row r="2074" spans="2:9" ht="15">
      <c r="B2074"/>
      <c r="C2074"/>
      <c r="D2074"/>
      <c r="E2074"/>
      <c r="F2074"/>
      <c r="G2074"/>
      <c r="H2074"/>
      <c r="I2074"/>
    </row>
    <row r="2075" spans="2:9" ht="15">
      <c r="B2075"/>
      <c r="C2075"/>
      <c r="D2075"/>
      <c r="E2075"/>
      <c r="F2075"/>
      <c r="G2075"/>
      <c r="H2075"/>
      <c r="I2075"/>
    </row>
    <row r="2076" spans="2:9" ht="15">
      <c r="B2076"/>
      <c r="C2076"/>
      <c r="D2076"/>
      <c r="E2076"/>
      <c r="F2076"/>
      <c r="G2076"/>
      <c r="H2076"/>
      <c r="I2076"/>
    </row>
    <row r="2077" spans="2:9" ht="15">
      <c r="B2077"/>
      <c r="C2077"/>
      <c r="D2077"/>
      <c r="E2077"/>
      <c r="F2077"/>
      <c r="G2077"/>
      <c r="H2077"/>
      <c r="I2077"/>
    </row>
    <row r="2078" spans="2:9" ht="15">
      <c r="B2078"/>
      <c r="C2078"/>
      <c r="D2078"/>
      <c r="E2078"/>
      <c r="F2078"/>
      <c r="G2078"/>
      <c r="H2078"/>
      <c r="I2078"/>
    </row>
    <row r="2079" spans="2:9" ht="15">
      <c r="B2079"/>
      <c r="C2079"/>
      <c r="D2079"/>
      <c r="E2079"/>
      <c r="F2079"/>
      <c r="G2079"/>
      <c r="H2079"/>
      <c r="I2079"/>
    </row>
    <row r="2080" spans="2:9" ht="15">
      <c r="B2080"/>
      <c r="C2080"/>
      <c r="D2080"/>
      <c r="E2080"/>
      <c r="F2080"/>
      <c r="G2080"/>
      <c r="H2080"/>
      <c r="I2080"/>
    </row>
    <row r="2081" spans="2:9" ht="15">
      <c r="B2081"/>
      <c r="C2081"/>
      <c r="D2081"/>
      <c r="E2081"/>
      <c r="F2081"/>
      <c r="G2081"/>
      <c r="H2081"/>
      <c r="I2081"/>
    </row>
    <row r="2082" spans="2:9" ht="15">
      <c r="B2082"/>
      <c r="C2082"/>
      <c r="D2082"/>
      <c r="E2082"/>
      <c r="F2082"/>
      <c r="G2082"/>
      <c r="H2082"/>
      <c r="I2082"/>
    </row>
    <row r="2083" spans="2:9" ht="15">
      <c r="B2083"/>
      <c r="C2083"/>
      <c r="D2083"/>
      <c r="E2083"/>
      <c r="F2083"/>
      <c r="G2083"/>
      <c r="H2083"/>
      <c r="I2083"/>
    </row>
    <row r="2084" spans="2:9" ht="15">
      <c r="B2084"/>
      <c r="C2084"/>
      <c r="D2084"/>
      <c r="E2084"/>
      <c r="F2084"/>
      <c r="G2084"/>
      <c r="H2084"/>
      <c r="I2084"/>
    </row>
    <row r="2085" spans="2:9" ht="15">
      <c r="B2085"/>
      <c r="C2085"/>
      <c r="D2085"/>
      <c r="E2085"/>
      <c r="F2085"/>
      <c r="G2085"/>
      <c r="H2085"/>
      <c r="I2085"/>
    </row>
    <row r="2086" spans="2:9" ht="15">
      <c r="B2086"/>
      <c r="C2086"/>
      <c r="D2086"/>
      <c r="E2086"/>
      <c r="F2086"/>
      <c r="G2086"/>
      <c r="H2086"/>
      <c r="I2086"/>
    </row>
    <row r="2087" spans="2:9" ht="15">
      <c r="B2087"/>
      <c r="C2087"/>
      <c r="D2087"/>
      <c r="E2087"/>
      <c r="F2087"/>
      <c r="G2087"/>
      <c r="H2087"/>
      <c r="I2087"/>
    </row>
    <row r="2088" spans="2:9" ht="15">
      <c r="B2088"/>
      <c r="C2088"/>
      <c r="D2088"/>
      <c r="E2088"/>
      <c r="F2088"/>
      <c r="G2088"/>
      <c r="H2088"/>
      <c r="I2088"/>
    </row>
    <row r="2089" spans="2:9" ht="15">
      <c r="B2089"/>
      <c r="C2089"/>
      <c r="D2089"/>
      <c r="E2089"/>
      <c r="F2089"/>
      <c r="G2089"/>
      <c r="H2089"/>
      <c r="I2089"/>
    </row>
    <row r="2090" spans="2:9" ht="15">
      <c r="B2090"/>
      <c r="C2090"/>
      <c r="D2090"/>
      <c r="E2090"/>
      <c r="F2090"/>
      <c r="G2090"/>
      <c r="H2090"/>
      <c r="I2090"/>
    </row>
    <row r="2091" spans="2:9" ht="15">
      <c r="B2091"/>
      <c r="C2091"/>
      <c r="D2091"/>
      <c r="E2091"/>
      <c r="F2091"/>
      <c r="G2091"/>
      <c r="H2091"/>
      <c r="I2091"/>
    </row>
    <row r="2092" spans="2:9" ht="15">
      <c r="B2092"/>
      <c r="C2092"/>
      <c r="D2092"/>
      <c r="E2092"/>
      <c r="F2092"/>
      <c r="G2092"/>
      <c r="H2092"/>
      <c r="I2092"/>
    </row>
    <row r="2093" spans="2:9" ht="15">
      <c r="B2093"/>
      <c r="C2093"/>
      <c r="D2093"/>
      <c r="E2093"/>
      <c r="F2093"/>
      <c r="G2093"/>
      <c r="H2093"/>
      <c r="I2093"/>
    </row>
    <row r="2094" spans="2:9" ht="15">
      <c r="B2094"/>
      <c r="C2094"/>
      <c r="D2094"/>
      <c r="E2094"/>
      <c r="F2094"/>
      <c r="G2094"/>
      <c r="H2094"/>
      <c r="I2094"/>
    </row>
    <row r="2095" spans="2:9" ht="15">
      <c r="B2095"/>
      <c r="C2095"/>
      <c r="D2095"/>
      <c r="E2095"/>
      <c r="F2095"/>
      <c r="G2095"/>
      <c r="H2095"/>
      <c r="I2095"/>
    </row>
    <row r="2096" spans="2:9" ht="15">
      <c r="B2096"/>
      <c r="C2096"/>
      <c r="D2096"/>
      <c r="E2096"/>
      <c r="F2096"/>
      <c r="G2096"/>
      <c r="H2096"/>
      <c r="I2096"/>
    </row>
    <row r="2097" spans="2:9" ht="15">
      <c r="B2097"/>
      <c r="C2097"/>
      <c r="D2097"/>
      <c r="E2097"/>
      <c r="F2097"/>
      <c r="G2097"/>
      <c r="H2097"/>
      <c r="I2097"/>
    </row>
    <row r="2098" spans="2:9" ht="15">
      <c r="B2098"/>
      <c r="C2098"/>
      <c r="D2098"/>
      <c r="E2098"/>
      <c r="F2098"/>
      <c r="G2098"/>
      <c r="H2098"/>
      <c r="I2098"/>
    </row>
    <row r="2099" spans="2:9" ht="15">
      <c r="B2099"/>
      <c r="C2099"/>
      <c r="D2099"/>
      <c r="E2099"/>
      <c r="F2099"/>
      <c r="G2099"/>
      <c r="H2099"/>
      <c r="I2099"/>
    </row>
    <row r="2100" spans="2:9" ht="15">
      <c r="B2100"/>
      <c r="C2100"/>
      <c r="D2100"/>
      <c r="E2100"/>
      <c r="F2100"/>
      <c r="G2100"/>
      <c r="H2100"/>
      <c r="I2100"/>
    </row>
    <row r="2101" spans="2:9" ht="15">
      <c r="B2101"/>
      <c r="C2101"/>
      <c r="D2101"/>
      <c r="E2101"/>
      <c r="F2101"/>
      <c r="G2101"/>
      <c r="H2101"/>
      <c r="I2101"/>
    </row>
    <row r="2102" spans="2:9" ht="15">
      <c r="B2102"/>
      <c r="C2102"/>
      <c r="D2102"/>
      <c r="E2102"/>
      <c r="F2102"/>
      <c r="G2102"/>
      <c r="H2102"/>
      <c r="I2102"/>
    </row>
    <row r="2103" spans="2:9" ht="15">
      <c r="B2103"/>
      <c r="C2103"/>
      <c r="D2103"/>
      <c r="E2103"/>
      <c r="F2103"/>
      <c r="G2103"/>
      <c r="H2103"/>
      <c r="I2103"/>
    </row>
    <row r="2104" spans="2:9" ht="15">
      <c r="B2104"/>
      <c r="C2104"/>
      <c r="D2104"/>
      <c r="E2104"/>
      <c r="F2104"/>
      <c r="G2104"/>
      <c r="H2104"/>
      <c r="I2104"/>
    </row>
    <row r="2105" spans="2:9" ht="15">
      <c r="B2105"/>
      <c r="C2105"/>
      <c r="D2105"/>
      <c r="E2105"/>
      <c r="F2105"/>
      <c r="G2105"/>
      <c r="H2105"/>
      <c r="I2105"/>
    </row>
    <row r="2106" spans="2:9" ht="15">
      <c r="B2106"/>
      <c r="C2106"/>
      <c r="D2106"/>
      <c r="E2106"/>
      <c r="F2106"/>
      <c r="G2106"/>
      <c r="H2106"/>
      <c r="I2106"/>
    </row>
    <row r="2107" spans="2:9" ht="15">
      <c r="B2107"/>
      <c r="C2107"/>
      <c r="D2107"/>
      <c r="E2107"/>
      <c r="F2107"/>
      <c r="G2107"/>
      <c r="H2107"/>
      <c r="I2107"/>
    </row>
    <row r="2108" spans="2:9" ht="13.5" customHeight="1">
      <c r="B2108"/>
      <c r="C2108"/>
      <c r="D2108"/>
      <c r="E2108"/>
      <c r="F2108"/>
      <c r="G2108"/>
      <c r="H2108"/>
      <c r="I2108"/>
    </row>
    <row r="2109" spans="2:9" ht="15">
      <c r="B2109"/>
      <c r="C2109"/>
      <c r="D2109"/>
      <c r="E2109"/>
      <c r="F2109"/>
      <c r="G2109"/>
      <c r="H2109"/>
      <c r="I2109"/>
    </row>
    <row r="2110" spans="2:9" ht="15">
      <c r="B2110"/>
      <c r="C2110"/>
      <c r="D2110"/>
      <c r="E2110"/>
      <c r="F2110"/>
      <c r="G2110"/>
      <c r="H2110"/>
      <c r="I2110"/>
    </row>
    <row r="2111" spans="2:9" ht="15">
      <c r="B2111"/>
      <c r="C2111"/>
      <c r="D2111"/>
      <c r="E2111"/>
      <c r="F2111"/>
      <c r="G2111"/>
      <c r="H2111"/>
      <c r="I2111"/>
    </row>
    <row r="2112" spans="2:9" ht="15">
      <c r="B2112"/>
      <c r="C2112"/>
      <c r="D2112"/>
      <c r="E2112"/>
      <c r="F2112"/>
      <c r="G2112"/>
      <c r="H2112"/>
      <c r="I2112"/>
    </row>
    <row r="2113" spans="2:9" ht="15">
      <c r="B2113"/>
      <c r="C2113"/>
      <c r="D2113"/>
      <c r="E2113"/>
      <c r="F2113"/>
      <c r="G2113"/>
      <c r="H2113"/>
      <c r="I2113"/>
    </row>
    <row r="2114" spans="2:9" ht="15">
      <c r="B2114"/>
      <c r="C2114"/>
      <c r="D2114"/>
      <c r="E2114"/>
      <c r="F2114"/>
      <c r="G2114"/>
      <c r="H2114"/>
      <c r="I2114"/>
    </row>
    <row r="2115" spans="2:9" ht="15">
      <c r="B2115"/>
      <c r="C2115"/>
      <c r="D2115"/>
      <c r="E2115"/>
      <c r="F2115"/>
      <c r="G2115"/>
      <c r="H2115"/>
      <c r="I2115"/>
    </row>
    <row r="2116" spans="2:9" ht="15">
      <c r="B2116"/>
      <c r="C2116"/>
      <c r="D2116"/>
      <c r="E2116"/>
      <c r="F2116"/>
      <c r="G2116"/>
      <c r="H2116"/>
      <c r="I2116"/>
    </row>
    <row r="2117" spans="2:9" ht="15">
      <c r="B2117"/>
      <c r="C2117"/>
      <c r="D2117"/>
      <c r="E2117"/>
      <c r="F2117"/>
      <c r="G2117"/>
      <c r="H2117"/>
      <c r="I2117"/>
    </row>
    <row r="2118" spans="2:9" ht="15">
      <c r="B2118"/>
      <c r="C2118"/>
      <c r="D2118"/>
      <c r="E2118"/>
      <c r="F2118"/>
      <c r="G2118"/>
      <c r="H2118"/>
      <c r="I2118"/>
    </row>
    <row r="2119" spans="2:9" ht="15">
      <c r="B2119"/>
      <c r="C2119"/>
      <c r="D2119"/>
      <c r="E2119"/>
      <c r="F2119"/>
      <c r="G2119"/>
      <c r="H2119"/>
      <c r="I2119"/>
    </row>
    <row r="2120" spans="2:9" ht="15">
      <c r="B2120"/>
      <c r="C2120"/>
      <c r="D2120"/>
      <c r="E2120"/>
      <c r="F2120"/>
      <c r="G2120"/>
      <c r="H2120"/>
      <c r="I2120"/>
    </row>
    <row r="2121" spans="2:9" ht="15">
      <c r="B2121"/>
      <c r="C2121"/>
      <c r="D2121"/>
      <c r="E2121"/>
      <c r="F2121"/>
      <c r="G2121"/>
      <c r="H2121"/>
      <c r="I2121"/>
    </row>
    <row r="2122" spans="2:9" ht="15">
      <c r="B2122"/>
      <c r="C2122"/>
      <c r="D2122"/>
      <c r="E2122"/>
      <c r="F2122"/>
      <c r="G2122"/>
      <c r="H2122"/>
      <c r="I2122"/>
    </row>
    <row r="2123" spans="2:9" ht="15">
      <c r="B2123"/>
      <c r="C2123"/>
      <c r="D2123"/>
      <c r="E2123"/>
      <c r="F2123"/>
      <c r="G2123"/>
      <c r="H2123"/>
      <c r="I2123"/>
    </row>
    <row r="2124" spans="2:9" ht="15">
      <c r="B2124"/>
      <c r="C2124"/>
      <c r="D2124"/>
      <c r="E2124"/>
      <c r="F2124"/>
      <c r="G2124"/>
      <c r="H2124"/>
      <c r="I2124"/>
    </row>
    <row r="2125" spans="2:9" ht="15">
      <c r="B2125"/>
      <c r="C2125"/>
      <c r="D2125"/>
      <c r="E2125"/>
      <c r="F2125"/>
      <c r="G2125"/>
      <c r="H2125"/>
      <c r="I2125"/>
    </row>
    <row r="2126" spans="2:9" ht="15">
      <c r="B2126"/>
      <c r="C2126"/>
      <c r="D2126"/>
      <c r="E2126"/>
      <c r="F2126"/>
      <c r="G2126"/>
      <c r="H2126"/>
      <c r="I2126"/>
    </row>
    <row r="2127" spans="2:9" ht="15">
      <c r="B2127"/>
      <c r="C2127"/>
      <c r="D2127"/>
      <c r="E2127"/>
      <c r="F2127"/>
      <c r="G2127"/>
      <c r="H2127"/>
      <c r="I2127"/>
    </row>
    <row r="2128" spans="2:9" ht="15">
      <c r="B2128"/>
      <c r="C2128"/>
      <c r="D2128"/>
      <c r="E2128"/>
      <c r="F2128"/>
      <c r="G2128"/>
      <c r="H2128"/>
      <c r="I2128"/>
    </row>
    <row r="2129" spans="2:9" ht="15">
      <c r="B2129"/>
      <c r="C2129"/>
      <c r="D2129"/>
      <c r="E2129"/>
      <c r="F2129"/>
      <c r="G2129"/>
      <c r="H2129"/>
      <c r="I2129"/>
    </row>
    <row r="2130" spans="2:9" ht="15">
      <c r="B2130"/>
      <c r="C2130"/>
      <c r="D2130"/>
      <c r="E2130"/>
      <c r="F2130"/>
      <c r="G2130"/>
      <c r="H2130"/>
      <c r="I2130"/>
    </row>
    <row r="2131" spans="2:9" ht="15">
      <c r="B2131"/>
      <c r="C2131"/>
      <c r="D2131"/>
      <c r="E2131"/>
      <c r="F2131"/>
      <c r="G2131"/>
      <c r="H2131"/>
      <c r="I2131"/>
    </row>
    <row r="2132" spans="2:9" ht="15">
      <c r="B2132"/>
      <c r="C2132"/>
      <c r="D2132"/>
      <c r="E2132"/>
      <c r="F2132"/>
      <c r="G2132"/>
      <c r="H2132"/>
      <c r="I2132"/>
    </row>
    <row r="2133" spans="2:9" ht="15">
      <c r="B2133"/>
      <c r="C2133"/>
      <c r="D2133"/>
      <c r="E2133"/>
      <c r="F2133"/>
      <c r="G2133"/>
      <c r="H2133"/>
      <c r="I2133"/>
    </row>
    <row r="2134" spans="2:9" ht="15">
      <c r="B2134"/>
      <c r="C2134"/>
      <c r="D2134"/>
      <c r="E2134"/>
      <c r="F2134"/>
      <c r="G2134"/>
      <c r="H2134"/>
      <c r="I2134"/>
    </row>
    <row r="2135" spans="2:9" ht="15">
      <c r="B2135"/>
      <c r="C2135"/>
      <c r="D2135"/>
      <c r="E2135"/>
      <c r="F2135"/>
      <c r="G2135"/>
      <c r="H2135"/>
      <c r="I2135"/>
    </row>
    <row r="2136" spans="2:9" ht="15">
      <c r="B2136"/>
      <c r="C2136"/>
      <c r="D2136"/>
      <c r="E2136"/>
      <c r="F2136"/>
      <c r="G2136"/>
      <c r="H2136"/>
      <c r="I2136"/>
    </row>
    <row r="2137" spans="2:9" ht="15">
      <c r="B2137"/>
      <c r="C2137"/>
      <c r="D2137"/>
      <c r="E2137"/>
      <c r="F2137"/>
      <c r="G2137"/>
      <c r="H2137"/>
      <c r="I2137"/>
    </row>
    <row r="2138" spans="2:9" ht="15">
      <c r="B2138"/>
      <c r="C2138"/>
      <c r="D2138"/>
      <c r="E2138"/>
      <c r="F2138"/>
      <c r="G2138"/>
      <c r="H2138"/>
      <c r="I2138"/>
    </row>
    <row r="2139" spans="2:9" ht="15">
      <c r="B2139"/>
      <c r="C2139"/>
      <c r="D2139"/>
      <c r="E2139"/>
      <c r="F2139"/>
      <c r="G2139"/>
      <c r="H2139"/>
      <c r="I2139"/>
    </row>
    <row r="2140" spans="2:9" ht="15">
      <c r="B2140"/>
      <c r="C2140"/>
      <c r="D2140"/>
      <c r="E2140"/>
      <c r="F2140"/>
      <c r="G2140"/>
      <c r="H2140"/>
      <c r="I2140"/>
    </row>
    <row r="2141" spans="2:9" ht="15">
      <c r="B2141"/>
      <c r="C2141"/>
      <c r="D2141"/>
      <c r="E2141"/>
      <c r="F2141"/>
      <c r="G2141"/>
      <c r="H2141"/>
      <c r="I2141"/>
    </row>
    <row r="2142" spans="2:9" ht="15">
      <c r="B2142"/>
      <c r="C2142"/>
      <c r="D2142"/>
      <c r="E2142"/>
      <c r="F2142"/>
      <c r="G2142"/>
      <c r="H2142"/>
      <c r="I2142"/>
    </row>
    <row r="2143" spans="2:9" ht="15">
      <c r="B2143"/>
      <c r="C2143"/>
      <c r="D2143"/>
      <c r="E2143"/>
      <c r="F2143"/>
      <c r="G2143"/>
      <c r="H2143"/>
      <c r="I2143"/>
    </row>
    <row r="2144" spans="2:9" ht="15">
      <c r="B2144"/>
      <c r="C2144"/>
      <c r="D2144"/>
      <c r="E2144"/>
      <c r="F2144"/>
      <c r="G2144"/>
      <c r="H2144"/>
      <c r="I2144"/>
    </row>
    <row r="2145" spans="2:9" ht="15">
      <c r="B2145"/>
      <c r="C2145"/>
      <c r="D2145"/>
      <c r="E2145"/>
      <c r="F2145"/>
      <c r="G2145"/>
      <c r="H2145"/>
      <c r="I2145"/>
    </row>
    <row r="2146" spans="2:9" ht="15">
      <c r="B2146"/>
      <c r="C2146"/>
      <c r="D2146"/>
      <c r="E2146"/>
      <c r="F2146"/>
      <c r="G2146"/>
      <c r="H2146"/>
      <c r="I2146"/>
    </row>
    <row r="2147" spans="2:9" ht="15">
      <c r="B2147"/>
      <c r="C2147"/>
      <c r="D2147"/>
      <c r="E2147"/>
      <c r="F2147"/>
      <c r="G2147"/>
      <c r="H2147"/>
      <c r="I2147"/>
    </row>
    <row r="2148" spans="2:9" ht="15">
      <c r="B2148"/>
      <c r="C2148"/>
      <c r="D2148"/>
      <c r="E2148"/>
      <c r="F2148"/>
      <c r="G2148"/>
      <c r="H2148"/>
      <c r="I2148"/>
    </row>
    <row r="2149" spans="2:9" ht="15">
      <c r="B2149"/>
      <c r="C2149"/>
      <c r="D2149"/>
      <c r="E2149"/>
      <c r="F2149"/>
      <c r="G2149"/>
      <c r="H2149"/>
      <c r="I2149"/>
    </row>
    <row r="2150" spans="2:9" ht="15">
      <c r="B2150"/>
      <c r="C2150"/>
      <c r="D2150"/>
      <c r="E2150"/>
      <c r="F2150"/>
      <c r="G2150"/>
      <c r="H2150"/>
      <c r="I2150"/>
    </row>
    <row r="2151" spans="2:9" ht="15">
      <c r="B2151"/>
      <c r="C2151"/>
      <c r="D2151"/>
      <c r="E2151"/>
      <c r="F2151"/>
      <c r="G2151"/>
      <c r="H2151"/>
      <c r="I2151"/>
    </row>
    <row r="2152" spans="2:9" ht="13.5" customHeight="1">
      <c r="B2152"/>
      <c r="C2152"/>
      <c r="D2152"/>
      <c r="E2152"/>
      <c r="F2152"/>
      <c r="G2152"/>
      <c r="H2152"/>
      <c r="I2152"/>
    </row>
    <row r="2153" spans="2:9" ht="15">
      <c r="B2153"/>
      <c r="C2153"/>
      <c r="D2153"/>
      <c r="E2153"/>
      <c r="F2153"/>
      <c r="G2153"/>
      <c r="H2153"/>
      <c r="I2153"/>
    </row>
    <row r="2154" spans="2:9" ht="15">
      <c r="B2154"/>
      <c r="C2154"/>
      <c r="D2154"/>
      <c r="E2154"/>
      <c r="F2154"/>
      <c r="G2154"/>
      <c r="H2154"/>
      <c r="I2154"/>
    </row>
    <row r="2155" spans="2:9" ht="15">
      <c r="B2155"/>
      <c r="C2155"/>
      <c r="D2155"/>
      <c r="E2155"/>
      <c r="F2155"/>
      <c r="G2155"/>
      <c r="H2155"/>
      <c r="I2155"/>
    </row>
    <row r="2156" spans="2:9" ht="15">
      <c r="B2156"/>
      <c r="C2156"/>
      <c r="D2156"/>
      <c r="E2156"/>
      <c r="F2156"/>
      <c r="G2156"/>
      <c r="H2156"/>
      <c r="I2156"/>
    </row>
    <row r="2157" spans="2:9" ht="15">
      <c r="B2157"/>
      <c r="C2157"/>
      <c r="D2157"/>
      <c r="E2157"/>
      <c r="F2157"/>
      <c r="G2157"/>
      <c r="H2157"/>
      <c r="I2157"/>
    </row>
    <row r="2158" spans="2:9" ht="15">
      <c r="B2158"/>
      <c r="C2158"/>
      <c r="D2158"/>
      <c r="E2158"/>
      <c r="F2158"/>
      <c r="G2158"/>
      <c r="H2158"/>
      <c r="I2158"/>
    </row>
    <row r="2159" spans="2:9" ht="15">
      <c r="B2159"/>
      <c r="C2159"/>
      <c r="D2159"/>
      <c r="E2159"/>
      <c r="F2159"/>
      <c r="G2159"/>
      <c r="H2159"/>
      <c r="I2159"/>
    </row>
    <row r="2160" spans="2:9" ht="15">
      <c r="B2160"/>
      <c r="C2160"/>
      <c r="D2160"/>
      <c r="E2160"/>
      <c r="F2160"/>
      <c r="G2160"/>
      <c r="H2160"/>
      <c r="I2160"/>
    </row>
    <row r="2161" spans="2:9" ht="15">
      <c r="B2161"/>
      <c r="C2161"/>
      <c r="D2161"/>
      <c r="E2161"/>
      <c r="F2161"/>
      <c r="G2161"/>
      <c r="H2161"/>
      <c r="I2161"/>
    </row>
    <row r="2162" spans="2:9" ht="15">
      <c r="B2162"/>
      <c r="C2162"/>
      <c r="D2162"/>
      <c r="E2162"/>
      <c r="F2162"/>
      <c r="G2162"/>
      <c r="H2162"/>
      <c r="I2162"/>
    </row>
    <row r="2163" spans="2:9" ht="15">
      <c r="B2163"/>
      <c r="C2163"/>
      <c r="D2163"/>
      <c r="E2163"/>
      <c r="F2163"/>
      <c r="G2163"/>
      <c r="H2163"/>
      <c r="I2163"/>
    </row>
    <row r="2164" spans="2:9" ht="15">
      <c r="B2164"/>
      <c r="C2164"/>
      <c r="D2164"/>
      <c r="E2164"/>
      <c r="F2164"/>
      <c r="G2164"/>
      <c r="H2164"/>
      <c r="I2164"/>
    </row>
    <row r="2165" spans="2:9" ht="15">
      <c r="B2165"/>
      <c r="C2165"/>
      <c r="D2165"/>
      <c r="E2165"/>
      <c r="F2165"/>
      <c r="G2165"/>
      <c r="H2165"/>
      <c r="I2165"/>
    </row>
    <row r="2166" spans="2:9" ht="15">
      <c r="B2166"/>
      <c r="C2166"/>
      <c r="D2166"/>
      <c r="E2166"/>
      <c r="F2166"/>
      <c r="G2166"/>
      <c r="H2166"/>
      <c r="I2166"/>
    </row>
    <row r="2167" spans="2:9" ht="15">
      <c r="B2167"/>
      <c r="C2167"/>
      <c r="D2167"/>
      <c r="E2167"/>
      <c r="F2167"/>
      <c r="G2167"/>
      <c r="H2167"/>
      <c r="I2167"/>
    </row>
    <row r="2168" spans="2:9" ht="15">
      <c r="B2168"/>
      <c r="C2168"/>
      <c r="D2168"/>
      <c r="E2168"/>
      <c r="F2168"/>
      <c r="G2168"/>
      <c r="H2168"/>
      <c r="I2168"/>
    </row>
    <row r="2169" spans="2:9" ht="15">
      <c r="B2169"/>
      <c r="C2169"/>
      <c r="D2169"/>
      <c r="E2169"/>
      <c r="F2169"/>
      <c r="G2169"/>
      <c r="H2169"/>
      <c r="I2169"/>
    </row>
    <row r="2170" spans="2:9" ht="15">
      <c r="B2170"/>
      <c r="C2170"/>
      <c r="D2170"/>
      <c r="E2170"/>
      <c r="F2170"/>
      <c r="G2170"/>
      <c r="H2170"/>
      <c r="I2170"/>
    </row>
    <row r="2171" spans="2:9" ht="15">
      <c r="B2171"/>
      <c r="C2171"/>
      <c r="D2171"/>
      <c r="E2171"/>
      <c r="F2171"/>
      <c r="G2171"/>
      <c r="H2171"/>
      <c r="I2171"/>
    </row>
    <row r="2172" spans="2:9" ht="15">
      <c r="B2172"/>
      <c r="C2172"/>
      <c r="D2172"/>
      <c r="E2172"/>
      <c r="F2172"/>
      <c r="G2172"/>
      <c r="H2172"/>
      <c r="I2172"/>
    </row>
    <row r="2173" spans="2:9" ht="15">
      <c r="B2173"/>
      <c r="C2173"/>
      <c r="D2173"/>
      <c r="E2173"/>
      <c r="F2173"/>
      <c r="G2173"/>
      <c r="H2173"/>
      <c r="I2173"/>
    </row>
    <row r="2174" spans="2:9" ht="15">
      <c r="B2174"/>
      <c r="C2174"/>
      <c r="D2174"/>
      <c r="E2174"/>
      <c r="F2174"/>
      <c r="G2174"/>
      <c r="H2174"/>
      <c r="I2174"/>
    </row>
    <row r="2175" spans="2:9" ht="15">
      <c r="B2175"/>
      <c r="C2175"/>
      <c r="D2175"/>
      <c r="E2175"/>
      <c r="F2175"/>
      <c r="G2175"/>
      <c r="H2175"/>
      <c r="I2175"/>
    </row>
    <row r="2176" spans="2:9" ht="15">
      <c r="B2176"/>
      <c r="C2176"/>
      <c r="D2176"/>
      <c r="E2176"/>
      <c r="F2176"/>
      <c r="G2176"/>
      <c r="H2176"/>
      <c r="I2176"/>
    </row>
    <row r="2177" spans="2:9" ht="15">
      <c r="B2177"/>
      <c r="C2177"/>
      <c r="D2177"/>
      <c r="E2177"/>
      <c r="F2177"/>
      <c r="G2177"/>
      <c r="H2177"/>
      <c r="I2177"/>
    </row>
    <row r="2178" spans="2:9" ht="15">
      <c r="B2178"/>
      <c r="C2178"/>
      <c r="D2178"/>
      <c r="E2178"/>
      <c r="F2178"/>
      <c r="G2178"/>
      <c r="H2178"/>
      <c r="I2178"/>
    </row>
    <row r="2179" spans="2:9" ht="15">
      <c r="B2179"/>
      <c r="C2179"/>
      <c r="D2179"/>
      <c r="E2179"/>
      <c r="F2179"/>
      <c r="G2179"/>
      <c r="H2179"/>
      <c r="I2179"/>
    </row>
    <row r="2180" spans="2:9" ht="15">
      <c r="B2180"/>
      <c r="C2180"/>
      <c r="D2180"/>
      <c r="E2180"/>
      <c r="F2180"/>
      <c r="G2180"/>
      <c r="H2180"/>
      <c r="I2180"/>
    </row>
    <row r="2181" spans="2:9" ht="15">
      <c r="B2181"/>
      <c r="C2181"/>
      <c r="D2181"/>
      <c r="E2181"/>
      <c r="F2181"/>
      <c r="G2181"/>
      <c r="H2181"/>
      <c r="I2181"/>
    </row>
    <row r="2182" spans="2:9" ht="15">
      <c r="B2182"/>
      <c r="C2182"/>
      <c r="D2182"/>
      <c r="E2182"/>
      <c r="F2182"/>
      <c r="G2182"/>
      <c r="H2182"/>
      <c r="I2182"/>
    </row>
    <row r="2183" spans="2:9" ht="15">
      <c r="B2183"/>
      <c r="C2183"/>
      <c r="D2183"/>
      <c r="E2183"/>
      <c r="F2183"/>
      <c r="G2183"/>
      <c r="H2183"/>
      <c r="I2183"/>
    </row>
    <row r="2184" spans="2:9" ht="15">
      <c r="B2184"/>
      <c r="C2184"/>
      <c r="D2184"/>
      <c r="E2184"/>
      <c r="F2184"/>
      <c r="G2184"/>
      <c r="H2184"/>
      <c r="I2184"/>
    </row>
    <row r="2185" spans="2:9" ht="15">
      <c r="B2185"/>
      <c r="C2185"/>
      <c r="D2185"/>
      <c r="E2185"/>
      <c r="F2185"/>
      <c r="G2185"/>
      <c r="H2185"/>
      <c r="I2185"/>
    </row>
    <row r="2186" spans="2:9" ht="15">
      <c r="B2186"/>
      <c r="C2186"/>
      <c r="D2186"/>
      <c r="E2186"/>
      <c r="F2186"/>
      <c r="G2186"/>
      <c r="H2186"/>
      <c r="I2186"/>
    </row>
    <row r="2187" spans="2:9" ht="15">
      <c r="B2187"/>
      <c r="C2187"/>
      <c r="D2187"/>
      <c r="E2187"/>
      <c r="F2187"/>
      <c r="G2187"/>
      <c r="H2187"/>
      <c r="I2187"/>
    </row>
    <row r="2188" spans="2:9" ht="15">
      <c r="B2188"/>
      <c r="C2188"/>
      <c r="D2188"/>
      <c r="E2188"/>
      <c r="F2188"/>
      <c r="G2188"/>
      <c r="H2188"/>
      <c r="I2188"/>
    </row>
    <row r="2189" spans="2:9" ht="15">
      <c r="B2189"/>
      <c r="C2189"/>
      <c r="D2189"/>
      <c r="E2189"/>
      <c r="F2189"/>
      <c r="G2189"/>
      <c r="H2189"/>
      <c r="I2189"/>
    </row>
    <row r="2190" spans="2:9" ht="15">
      <c r="B2190"/>
      <c r="C2190"/>
      <c r="D2190"/>
      <c r="E2190"/>
      <c r="F2190"/>
      <c r="G2190"/>
      <c r="H2190"/>
      <c r="I2190"/>
    </row>
    <row r="2191" spans="2:9" ht="15">
      <c r="B2191"/>
      <c r="C2191"/>
      <c r="D2191"/>
      <c r="E2191"/>
      <c r="F2191"/>
      <c r="G2191"/>
      <c r="H2191"/>
      <c r="I2191"/>
    </row>
    <row r="2192" spans="2:9" ht="15">
      <c r="B2192"/>
      <c r="C2192"/>
      <c r="D2192"/>
      <c r="E2192"/>
      <c r="F2192"/>
      <c r="G2192"/>
      <c r="H2192"/>
      <c r="I2192"/>
    </row>
    <row r="2193" spans="2:9" ht="15">
      <c r="B2193"/>
      <c r="C2193"/>
      <c r="D2193"/>
      <c r="E2193"/>
      <c r="F2193"/>
      <c r="G2193"/>
      <c r="H2193"/>
      <c r="I2193"/>
    </row>
    <row r="2194" spans="2:9" ht="15">
      <c r="B2194"/>
      <c r="C2194"/>
      <c r="D2194"/>
      <c r="E2194"/>
      <c r="F2194"/>
      <c r="G2194"/>
      <c r="H2194"/>
      <c r="I2194"/>
    </row>
    <row r="2195" spans="2:9" ht="15">
      <c r="B2195"/>
      <c r="C2195"/>
      <c r="D2195"/>
      <c r="E2195"/>
      <c r="F2195"/>
      <c r="G2195"/>
      <c r="H2195"/>
      <c r="I2195"/>
    </row>
    <row r="2196" spans="2:9" ht="13.5" customHeight="1">
      <c r="B2196"/>
      <c r="C2196"/>
      <c r="D2196"/>
      <c r="E2196"/>
      <c r="F2196"/>
      <c r="G2196"/>
      <c r="H2196"/>
      <c r="I2196"/>
    </row>
    <row r="2197" spans="2:9" ht="15">
      <c r="B2197"/>
      <c r="C2197"/>
      <c r="D2197"/>
      <c r="E2197"/>
      <c r="F2197"/>
      <c r="G2197"/>
      <c r="H2197"/>
      <c r="I2197"/>
    </row>
    <row r="2198" spans="2:9" ht="15">
      <c r="B2198"/>
      <c r="C2198"/>
      <c r="D2198"/>
      <c r="E2198"/>
      <c r="F2198"/>
      <c r="G2198"/>
      <c r="H2198"/>
      <c r="I2198"/>
    </row>
    <row r="2199" spans="2:9" ht="15">
      <c r="B2199"/>
      <c r="C2199"/>
      <c r="D2199"/>
      <c r="E2199"/>
      <c r="F2199"/>
      <c r="G2199"/>
      <c r="H2199"/>
      <c r="I2199"/>
    </row>
    <row r="2200" spans="2:9" ht="15">
      <c r="B2200"/>
      <c r="C2200"/>
      <c r="D2200"/>
      <c r="E2200"/>
      <c r="F2200"/>
      <c r="G2200"/>
      <c r="H2200"/>
      <c r="I2200"/>
    </row>
    <row r="2201" spans="2:9" ht="15">
      <c r="B2201"/>
      <c r="C2201"/>
      <c r="D2201"/>
      <c r="E2201"/>
      <c r="F2201"/>
      <c r="G2201"/>
      <c r="H2201"/>
      <c r="I2201"/>
    </row>
    <row r="2202" spans="2:9" ht="15">
      <c r="B2202"/>
      <c r="C2202"/>
      <c r="D2202"/>
      <c r="E2202"/>
      <c r="F2202"/>
      <c r="G2202"/>
      <c r="H2202"/>
      <c r="I2202"/>
    </row>
    <row r="2203" spans="2:9" ht="15">
      <c r="B2203"/>
      <c r="C2203"/>
      <c r="D2203"/>
      <c r="E2203"/>
      <c r="F2203"/>
      <c r="G2203"/>
      <c r="H2203"/>
      <c r="I2203"/>
    </row>
    <row r="2204" spans="2:9" ht="15">
      <c r="B2204"/>
      <c r="C2204"/>
      <c r="D2204"/>
      <c r="E2204"/>
      <c r="F2204"/>
      <c r="G2204"/>
      <c r="H2204"/>
      <c r="I2204"/>
    </row>
    <row r="2205" spans="2:9" ht="15">
      <c r="B2205"/>
      <c r="C2205"/>
      <c r="D2205"/>
      <c r="E2205"/>
      <c r="F2205"/>
      <c r="G2205"/>
      <c r="H2205"/>
      <c r="I2205"/>
    </row>
    <row r="2206" spans="2:9" ht="15">
      <c r="B2206"/>
      <c r="C2206"/>
      <c r="D2206"/>
      <c r="E2206"/>
      <c r="F2206"/>
      <c r="G2206"/>
      <c r="H2206"/>
      <c r="I2206"/>
    </row>
    <row r="2207" spans="2:9" ht="15">
      <c r="B2207"/>
      <c r="C2207"/>
      <c r="D2207"/>
      <c r="E2207"/>
      <c r="F2207"/>
      <c r="G2207"/>
      <c r="H2207"/>
      <c r="I2207"/>
    </row>
    <row r="2208" spans="2:9" ht="15">
      <c r="B2208"/>
      <c r="C2208"/>
      <c r="D2208"/>
      <c r="E2208"/>
      <c r="F2208"/>
      <c r="G2208"/>
      <c r="H2208"/>
      <c r="I2208"/>
    </row>
    <row r="2209" spans="2:9" ht="15">
      <c r="B2209"/>
      <c r="C2209"/>
      <c r="D2209"/>
      <c r="E2209"/>
      <c r="F2209"/>
      <c r="G2209"/>
      <c r="H2209"/>
      <c r="I2209"/>
    </row>
    <row r="2210" spans="2:9" ht="15">
      <c r="B2210"/>
      <c r="C2210"/>
      <c r="D2210"/>
      <c r="E2210"/>
      <c r="F2210"/>
      <c r="G2210"/>
      <c r="H2210"/>
      <c r="I2210"/>
    </row>
    <row r="2211" spans="2:9" ht="15">
      <c r="B2211"/>
      <c r="C2211"/>
      <c r="D2211"/>
      <c r="E2211"/>
      <c r="F2211"/>
      <c r="G2211"/>
      <c r="H2211"/>
      <c r="I2211"/>
    </row>
    <row r="2212" spans="2:9" ht="15">
      <c r="B2212"/>
      <c r="C2212"/>
      <c r="D2212"/>
      <c r="E2212"/>
      <c r="F2212"/>
      <c r="G2212"/>
      <c r="H2212"/>
      <c r="I2212"/>
    </row>
    <row r="2213" spans="2:9" ht="15">
      <c r="B2213"/>
      <c r="C2213"/>
      <c r="D2213"/>
      <c r="E2213"/>
      <c r="F2213"/>
      <c r="G2213"/>
      <c r="H2213"/>
      <c r="I2213"/>
    </row>
    <row r="2214" spans="2:9" ht="15">
      <c r="B2214"/>
      <c r="C2214"/>
      <c r="D2214"/>
      <c r="E2214"/>
      <c r="F2214"/>
      <c r="G2214"/>
      <c r="H2214"/>
      <c r="I2214"/>
    </row>
    <row r="2215" spans="2:9" ht="15">
      <c r="B2215"/>
      <c r="C2215"/>
      <c r="D2215"/>
      <c r="E2215"/>
      <c r="F2215"/>
      <c r="G2215"/>
      <c r="H2215"/>
      <c r="I2215"/>
    </row>
    <row r="2216" spans="2:9" ht="15">
      <c r="B2216"/>
      <c r="C2216"/>
      <c r="D2216"/>
      <c r="E2216"/>
      <c r="F2216"/>
      <c r="G2216"/>
      <c r="H2216"/>
      <c r="I2216"/>
    </row>
    <row r="2217" spans="2:9" ht="15">
      <c r="B2217"/>
      <c r="C2217"/>
      <c r="D2217"/>
      <c r="E2217"/>
      <c r="F2217"/>
      <c r="G2217"/>
      <c r="H2217"/>
      <c r="I2217"/>
    </row>
    <row r="2218" spans="2:9" ht="15">
      <c r="B2218"/>
      <c r="C2218"/>
      <c r="D2218"/>
      <c r="E2218"/>
      <c r="F2218"/>
      <c r="G2218"/>
      <c r="H2218"/>
      <c r="I2218"/>
    </row>
    <row r="2219" spans="2:9" ht="15">
      <c r="B2219"/>
      <c r="C2219"/>
      <c r="D2219"/>
      <c r="E2219"/>
      <c r="F2219"/>
      <c r="G2219"/>
      <c r="H2219"/>
      <c r="I2219"/>
    </row>
    <row r="2220" spans="2:9" ht="15">
      <c r="B2220"/>
      <c r="C2220"/>
      <c r="D2220"/>
      <c r="E2220"/>
      <c r="F2220"/>
      <c r="G2220"/>
      <c r="H2220"/>
      <c r="I2220"/>
    </row>
    <row r="2221" spans="2:9" ht="15">
      <c r="B2221"/>
      <c r="C2221"/>
      <c r="D2221"/>
      <c r="E2221"/>
      <c r="F2221"/>
      <c r="G2221"/>
      <c r="H2221"/>
      <c r="I2221"/>
    </row>
    <row r="2222" spans="2:9" ht="15">
      <c r="B2222"/>
      <c r="C2222"/>
      <c r="D2222"/>
      <c r="E2222"/>
      <c r="F2222"/>
      <c r="G2222"/>
      <c r="H2222"/>
      <c r="I2222"/>
    </row>
    <row r="2223" spans="2:9" ht="15">
      <c r="B2223"/>
      <c r="C2223"/>
      <c r="D2223"/>
      <c r="E2223"/>
      <c r="F2223"/>
      <c r="G2223"/>
      <c r="H2223"/>
      <c r="I2223"/>
    </row>
    <row r="2224" spans="2:9" ht="15">
      <c r="B2224"/>
      <c r="C2224"/>
      <c r="D2224"/>
      <c r="E2224"/>
      <c r="F2224"/>
      <c r="G2224"/>
      <c r="H2224"/>
      <c r="I2224"/>
    </row>
    <row r="2225" spans="2:9" ht="15">
      <c r="B2225"/>
      <c r="C2225"/>
      <c r="D2225"/>
      <c r="E2225"/>
      <c r="F2225"/>
      <c r="G2225"/>
      <c r="H2225"/>
      <c r="I2225"/>
    </row>
    <row r="2226" spans="2:9" ht="15">
      <c r="B2226"/>
      <c r="C2226"/>
      <c r="D2226"/>
      <c r="E2226"/>
      <c r="F2226"/>
      <c r="G2226"/>
      <c r="H2226"/>
      <c r="I2226"/>
    </row>
    <row r="2227" spans="2:9" ht="15">
      <c r="B2227"/>
      <c r="C2227"/>
      <c r="D2227"/>
      <c r="E2227"/>
      <c r="F2227"/>
      <c r="G2227"/>
      <c r="H2227"/>
      <c r="I2227"/>
    </row>
    <row r="2228" spans="2:9" ht="15">
      <c r="B2228"/>
      <c r="C2228"/>
      <c r="D2228"/>
      <c r="E2228"/>
      <c r="F2228"/>
      <c r="G2228"/>
      <c r="H2228"/>
      <c r="I2228"/>
    </row>
    <row r="2229" spans="2:9" ht="15">
      <c r="B2229"/>
      <c r="C2229"/>
      <c r="D2229"/>
      <c r="E2229"/>
      <c r="F2229"/>
      <c r="G2229"/>
      <c r="H2229"/>
      <c r="I2229"/>
    </row>
    <row r="2230" spans="2:9" ht="15">
      <c r="B2230"/>
      <c r="C2230"/>
      <c r="D2230"/>
      <c r="E2230"/>
      <c r="F2230"/>
      <c r="G2230"/>
      <c r="H2230"/>
      <c r="I2230"/>
    </row>
    <row r="2231" spans="2:9" ht="15">
      <c r="B2231"/>
      <c r="C2231"/>
      <c r="D2231"/>
      <c r="E2231"/>
      <c r="F2231"/>
      <c r="G2231"/>
      <c r="H2231"/>
      <c r="I2231"/>
    </row>
    <row r="2232" spans="2:9" ht="15">
      <c r="B2232"/>
      <c r="C2232"/>
      <c r="D2232"/>
      <c r="E2232"/>
      <c r="F2232"/>
      <c r="G2232"/>
      <c r="H2232"/>
      <c r="I2232"/>
    </row>
    <row r="2233" spans="2:9" ht="15">
      <c r="B2233"/>
      <c r="C2233"/>
      <c r="D2233"/>
      <c r="E2233"/>
      <c r="F2233"/>
      <c r="G2233"/>
      <c r="H2233"/>
      <c r="I2233"/>
    </row>
    <row r="2234" spans="2:9" ht="15">
      <c r="B2234"/>
      <c r="C2234"/>
      <c r="D2234"/>
      <c r="E2234"/>
      <c r="F2234"/>
      <c r="G2234"/>
      <c r="H2234"/>
      <c r="I2234"/>
    </row>
    <row r="2235" spans="2:9" ht="15">
      <c r="B2235"/>
      <c r="C2235"/>
      <c r="D2235"/>
      <c r="E2235"/>
      <c r="F2235"/>
      <c r="G2235"/>
      <c r="H2235"/>
      <c r="I2235"/>
    </row>
    <row r="2236" spans="2:9" ht="15">
      <c r="B2236"/>
      <c r="C2236"/>
      <c r="D2236"/>
      <c r="E2236"/>
      <c r="F2236"/>
      <c r="G2236"/>
      <c r="H2236"/>
      <c r="I2236"/>
    </row>
    <row r="2237" spans="2:9" ht="15">
      <c r="B2237"/>
      <c r="C2237"/>
      <c r="D2237"/>
      <c r="E2237"/>
      <c r="F2237"/>
      <c r="G2237"/>
      <c r="H2237"/>
      <c r="I2237"/>
    </row>
  </sheetData>
  <printOptions gridLines="1"/>
  <pageMargins left="0.23622047244094491" right="0.23622047244094491" top="0.74803149606299213" bottom="0.74803149606299213" header="0.31496062992125984" footer="0.31496062992125984"/>
  <pageSetup paperSize="9" scale="70" fitToHeight="0" orientation="portrait" r:id="rId1"/>
  <headerFooter alignWithMargins="0">
    <oddFooter>&amp;R&amp;P de &amp;N</oddFooter>
  </headerFooter>
  <rowBreaks count="50" manualBreakCount="50">
    <brk id="51" max="16383" man="1"/>
    <brk id="94" max="16383" man="1"/>
    <brk id="137" max="16383" man="1"/>
    <brk id="180" max="16383" man="1"/>
    <brk id="223" max="16383" man="1"/>
    <brk id="266" max="16383" man="1"/>
    <brk id="309" max="16383" man="1"/>
    <brk id="353" max="16383" man="1"/>
    <brk id="397" max="16383" man="1"/>
    <brk id="440" max="16383" man="1"/>
    <brk id="484" max="16383" man="1"/>
    <brk id="528" max="16383" man="1"/>
    <brk id="571" max="16383" man="1"/>
    <brk id="615" max="16383" man="1"/>
    <brk id="658" min="1" max="8" man="1"/>
    <brk id="702" max="16383" man="1"/>
    <brk id="745" max="16383" man="1"/>
    <brk id="789" max="16383" man="1"/>
    <brk id="833" max="16383" man="1"/>
    <brk id="877" max="16383" man="1"/>
    <brk id="921" max="16383" man="1"/>
    <brk id="964" max="16383" man="1"/>
    <brk id="1008" max="16383" man="1"/>
    <brk id="1052" max="16383" man="1"/>
    <brk id="1096" max="16383" man="1"/>
    <brk id="1140" max="16383" man="1"/>
    <brk id="1184" max="16383" man="1"/>
    <brk id="1228" max="16383" man="1"/>
    <brk id="1272" max="16383" man="1"/>
    <brk id="1316" max="16383" man="1"/>
    <brk id="1360" max="16383" man="1"/>
    <brk id="1404" max="16383" man="1"/>
    <brk id="1447" max="16383" man="1"/>
    <brk id="1491" max="16383" man="1"/>
    <brk id="1534" max="16383" man="1"/>
    <brk id="1578" max="16383" man="1"/>
    <brk id="1622" max="16383" man="1"/>
    <brk id="1666" max="16383" man="1"/>
    <brk id="1710" max="16383" man="1"/>
    <brk id="1754" max="16383" man="1"/>
    <brk id="1798" max="16383" man="1"/>
    <brk id="1842" max="16383" man="1"/>
    <brk id="1886" max="16383" man="1"/>
    <brk id="1930" max="16383" man="1"/>
    <brk id="1974" max="16383" man="1"/>
    <brk id="2018" max="16383" man="1"/>
    <brk id="2062" max="16383" man="1"/>
    <brk id="2106" max="16383" man="1"/>
    <brk id="2150" max="16383" man="1"/>
    <brk id="2194" max="16383" man="1"/>
  </rowBreaks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B1:P60"/>
  <sheetViews>
    <sheetView topLeftCell="A7" zoomScaleNormal="100" workbookViewId="0">
      <selection activeCell="B8" sqref="B8:E8"/>
    </sheetView>
  </sheetViews>
  <sheetFormatPr defaultRowHeight="15"/>
  <cols>
    <col min="2" max="2" width="9.5703125" customWidth="1"/>
    <col min="3" max="3" width="11.42578125" bestFit="1" customWidth="1"/>
    <col min="4" max="4" width="14.140625" customWidth="1"/>
    <col min="5" max="5" width="10.140625" bestFit="1" customWidth="1"/>
    <col min="6" max="6" width="11" customWidth="1"/>
    <col min="7" max="7" width="12.42578125" bestFit="1" customWidth="1"/>
    <col min="8" max="8" width="12.140625" style="95" bestFit="1" customWidth="1"/>
    <col min="9" max="9" width="11.28515625" bestFit="1" customWidth="1"/>
    <col min="10" max="10" width="12.7109375" bestFit="1" customWidth="1"/>
    <col min="15" max="15" width="12" bestFit="1" customWidth="1"/>
  </cols>
  <sheetData>
    <row r="1" spans="2:16" ht="21" thickBot="1">
      <c r="B1" s="92" t="s">
        <v>798</v>
      </c>
      <c r="C1" s="92"/>
      <c r="D1" s="92"/>
      <c r="E1" s="92"/>
      <c r="F1" s="92"/>
      <c r="G1" s="92"/>
      <c r="H1" s="93"/>
    </row>
    <row r="2" spans="2:16" ht="21" thickBot="1">
      <c r="B2" s="94"/>
      <c r="C2" s="94"/>
      <c r="D2" s="94"/>
      <c r="E2" s="94"/>
      <c r="F2" s="94"/>
      <c r="G2" s="94"/>
      <c r="H2" s="93"/>
      <c r="I2" s="94"/>
    </row>
    <row r="3" spans="2:16" ht="21">
      <c r="B3" s="1610" t="s">
        <v>667</v>
      </c>
      <c r="C3" s="1611"/>
      <c r="D3" s="1611"/>
      <c r="E3" s="1612"/>
      <c r="F3" s="135">
        <f>VLOOKUP(B3,Tabela13[[#All],[Descrição]:[FONTE]],2,FALSE)</f>
        <v>0</v>
      </c>
      <c r="G3" s="136" t="s">
        <v>814</v>
      </c>
      <c r="H3" s="137" t="e">
        <f>TRUNC(H11+H22+H26+H30+H37+H42+H54+(H4/12),2)</f>
        <v>#N/A</v>
      </c>
      <c r="I3" s="146"/>
      <c r="J3" s="65" t="s">
        <v>563</v>
      </c>
      <c r="K3" s="59"/>
      <c r="L3" s="59"/>
      <c r="M3" s="59" t="s">
        <v>490</v>
      </c>
      <c r="N3" s="59"/>
      <c r="O3" s="59"/>
      <c r="P3" s="66" t="s">
        <v>600</v>
      </c>
    </row>
    <row r="4" spans="2:16">
      <c r="B4" s="1512" t="s">
        <v>799</v>
      </c>
      <c r="C4" s="1513"/>
      <c r="D4" s="1513"/>
      <c r="E4" s="1514"/>
      <c r="F4" s="97" t="s">
        <v>477</v>
      </c>
      <c r="G4" s="68"/>
      <c r="H4" s="98">
        <f>VLOOKUP(B3,Tabela13[[#All],[Descrição]:[FONTE]],3,FALSE)</f>
        <v>226487</v>
      </c>
      <c r="I4" s="63"/>
      <c r="J4" s="75" t="s">
        <v>684</v>
      </c>
      <c r="K4" s="59"/>
      <c r="L4" s="59"/>
      <c r="M4" s="70" t="s">
        <v>616</v>
      </c>
      <c r="N4" s="59"/>
      <c r="O4" s="59"/>
      <c r="P4" s="81" t="e">
        <f>TRUNC(P8+P11+P14,2)</f>
        <v>#N/A</v>
      </c>
    </row>
    <row r="5" spans="2:16">
      <c r="B5" s="1493" t="s">
        <v>800</v>
      </c>
      <c r="C5" s="1494"/>
      <c r="D5" s="1494"/>
      <c r="E5" s="1495"/>
      <c r="F5" s="97" t="s">
        <v>615</v>
      </c>
      <c r="G5" s="68"/>
      <c r="H5" s="98">
        <f>VLOOKUP(B3,Tabela13[[#All],[Descrição]:[FONTE]],4,FALSE)</f>
        <v>6</v>
      </c>
      <c r="J5" s="72" t="s">
        <v>882</v>
      </c>
      <c r="K5" s="61"/>
      <c r="M5" s="67" t="s">
        <v>601</v>
      </c>
      <c r="N5" s="61"/>
      <c r="O5" s="61"/>
      <c r="P5" s="82" t="e">
        <f>VLOOKUP(J4,Tabela1[#All],11,FALSE)</f>
        <v>#N/A</v>
      </c>
    </row>
    <row r="6" spans="2:16">
      <c r="B6" s="1493" t="s">
        <v>801</v>
      </c>
      <c r="C6" s="1494"/>
      <c r="D6" s="1494"/>
      <c r="E6" s="1495"/>
      <c r="F6" s="97" t="s">
        <v>615</v>
      </c>
      <c r="G6" s="68"/>
      <c r="H6" s="98">
        <f>VLOOKUP(B3,Tabela13[[#All],[Descrição]:[FONTE]],5,FALSE)</f>
        <v>0</v>
      </c>
      <c r="J6" s="73" t="s">
        <v>605</v>
      </c>
      <c r="M6" s="68" t="s">
        <v>615</v>
      </c>
      <c r="P6" s="62">
        <v>0</v>
      </c>
    </row>
    <row r="7" spans="2:16" ht="14.25" customHeight="1">
      <c r="B7" s="1493" t="s">
        <v>802</v>
      </c>
      <c r="C7" s="1494"/>
      <c r="D7" s="1494"/>
      <c r="E7" s="1495"/>
      <c r="F7" s="97" t="s">
        <v>803</v>
      </c>
      <c r="G7" s="68"/>
      <c r="H7" s="100">
        <f>VLOOKUP(B3,Tabela13[[#All],[Descrição]:[FONTE]],8,FALSE)</f>
        <v>2000</v>
      </c>
      <c r="J7" s="73" t="s">
        <v>606</v>
      </c>
      <c r="M7" s="68" t="s">
        <v>615</v>
      </c>
      <c r="P7" s="62">
        <v>0</v>
      </c>
    </row>
    <row r="8" spans="2:16" ht="14.25" customHeight="1">
      <c r="B8" s="1493" t="s">
        <v>804</v>
      </c>
      <c r="C8" s="1494"/>
      <c r="D8" s="1494"/>
      <c r="E8" s="1495"/>
      <c r="F8" s="97" t="s">
        <v>703</v>
      </c>
      <c r="G8" s="68"/>
      <c r="H8" s="100">
        <f>VLOOKUP(B3,Tabela13[[#All],[Descrição]:[FONTE]],9,FALSE)</f>
        <v>3000</v>
      </c>
      <c r="J8" s="76" t="s">
        <v>607</v>
      </c>
      <c r="K8" s="59"/>
      <c r="L8" s="59"/>
      <c r="M8" s="70" t="s">
        <v>616</v>
      </c>
      <c r="N8" s="59"/>
      <c r="O8" s="59"/>
      <c r="P8" s="80" t="e">
        <f>TRUNC((P5-P10)/P6/12,2)</f>
        <v>#N/A</v>
      </c>
    </row>
    <row r="9" spans="2:16">
      <c r="B9" s="1493" t="s">
        <v>805</v>
      </c>
      <c r="C9" s="1494"/>
      <c r="D9" s="1494"/>
      <c r="E9" s="1495"/>
      <c r="F9" s="97" t="s">
        <v>806</v>
      </c>
      <c r="G9" s="68"/>
      <c r="H9" s="100">
        <f>VLOOKUP(B3,Tabela13[[#All],[Descrição]:[FONTE]],11,FALSE)</f>
        <v>0.6</v>
      </c>
      <c r="J9" s="73" t="s">
        <v>608</v>
      </c>
      <c r="M9" s="68" t="s">
        <v>480</v>
      </c>
      <c r="P9" s="77">
        <v>0.3</v>
      </c>
    </row>
    <row r="10" spans="2:16">
      <c r="B10" s="1493" t="s">
        <v>807</v>
      </c>
      <c r="C10" s="1494"/>
      <c r="D10" s="1494"/>
      <c r="E10" s="1495"/>
      <c r="F10" s="102" t="s">
        <v>808</v>
      </c>
      <c r="G10" s="69"/>
      <c r="H10" s="103">
        <f>VLOOKUP(B3,Tabela13[[#All],[Descrição]:[FONTE]],7,FALSE)</f>
        <v>190</v>
      </c>
      <c r="J10" s="73" t="s">
        <v>609</v>
      </c>
      <c r="M10" s="68" t="s">
        <v>477</v>
      </c>
      <c r="P10" s="62" t="e">
        <f>P9*P5</f>
        <v>#N/A</v>
      </c>
    </row>
    <row r="11" spans="2:16" ht="15.75">
      <c r="B11" s="1613" t="s">
        <v>757</v>
      </c>
      <c r="C11" s="1614"/>
      <c r="D11" s="1614"/>
      <c r="E11" s="1615"/>
      <c r="F11" s="142" t="s">
        <v>814</v>
      </c>
      <c r="G11" s="105"/>
      <c r="H11" s="149">
        <f>IFERROR(TRUNC(H19+H21+(H13/12),2),0)</f>
        <v>0</v>
      </c>
      <c r="J11" s="76" t="s">
        <v>610</v>
      </c>
      <c r="K11" s="59"/>
      <c r="L11" s="59"/>
      <c r="M11" s="70" t="s">
        <v>616</v>
      </c>
      <c r="N11" s="59"/>
      <c r="O11" s="59"/>
      <c r="P11" s="80" t="e">
        <f>TRUNC(((1+P12)^(1/12)-1)*P13,2)</f>
        <v>#N/A</v>
      </c>
    </row>
    <row r="12" spans="2:16">
      <c r="B12" s="1607"/>
      <c r="C12" s="1608"/>
      <c r="D12" s="1608"/>
      <c r="E12" s="1609"/>
      <c r="F12" s="143"/>
      <c r="G12" s="106"/>
      <c r="H12" s="148"/>
      <c r="J12" s="73" t="s">
        <v>612</v>
      </c>
      <c r="M12" s="68" t="s">
        <v>480</v>
      </c>
      <c r="P12" s="78" t="e">
        <f>VLOOKUP(J12,Tabela1[#All],11,FALSE)</f>
        <v>#N/A</v>
      </c>
    </row>
    <row r="13" spans="2:16">
      <c r="B13" s="1512" t="s">
        <v>809</v>
      </c>
      <c r="C13" s="1513"/>
      <c r="D13" s="1513"/>
      <c r="E13" s="1514"/>
      <c r="F13" s="97" t="s">
        <v>477</v>
      </c>
      <c r="G13" s="68"/>
      <c r="H13" s="98">
        <f>IFERROR(VLOOKUP(B12,Tabela13[[#All],[Descrição]:[FONTE]],3,FALSE),0)</f>
        <v>0</v>
      </c>
      <c r="J13" s="73" t="s">
        <v>611</v>
      </c>
      <c r="M13" s="68" t="s">
        <v>477</v>
      </c>
      <c r="P13" s="79" t="e">
        <f>P10+((((P6-P7)+1)*(P5-P10))/(2*(P6-P7)))</f>
        <v>#N/A</v>
      </c>
    </row>
    <row r="14" spans="2:16" ht="25.5" customHeight="1">
      <c r="B14" s="1493" t="s">
        <v>800</v>
      </c>
      <c r="C14" s="1494"/>
      <c r="D14" s="1494"/>
      <c r="E14" s="1495"/>
      <c r="F14" s="97" t="s">
        <v>615</v>
      </c>
      <c r="G14" s="68"/>
      <c r="H14" s="98">
        <f>IFERROR(VLOOKUP(B12,Tabela13[[#All],[Descrição]:[FONTE]],4,FALSE),0)</f>
        <v>0</v>
      </c>
      <c r="J14" s="76" t="s">
        <v>613</v>
      </c>
      <c r="K14" s="59"/>
      <c r="L14" s="59"/>
      <c r="M14" s="70" t="s">
        <v>616</v>
      </c>
      <c r="N14" s="186" t="s">
        <v>874</v>
      </c>
      <c r="O14" s="187">
        <v>0.5</v>
      </c>
      <c r="P14" s="80" t="e">
        <f>TRUNC(P5*O14/(P6*12),2)</f>
        <v>#N/A</v>
      </c>
    </row>
    <row r="15" spans="2:16" ht="15" customHeight="1">
      <c r="B15" s="1493" t="s">
        <v>801</v>
      </c>
      <c r="C15" s="1494"/>
      <c r="D15" s="1494"/>
      <c r="E15" s="1495"/>
      <c r="F15" s="97" t="s">
        <v>615</v>
      </c>
      <c r="G15" s="68"/>
      <c r="H15" s="98">
        <f>IFERROR(VLOOKUP(B12,Tabela13[[#All],[Descrição]:[FONTE]],5,FALSE),0)</f>
        <v>0</v>
      </c>
      <c r="J15" s="76" t="s">
        <v>384</v>
      </c>
      <c r="K15" s="59"/>
      <c r="M15" s="70"/>
      <c r="N15" s="59"/>
      <c r="O15" s="59"/>
      <c r="P15" s="83" t="e">
        <f>#REF!</f>
        <v>#REF!</v>
      </c>
    </row>
    <row r="16" spans="2:16">
      <c r="B16" s="1493" t="s">
        <v>810</v>
      </c>
      <c r="C16" s="1494"/>
      <c r="D16" s="1494"/>
      <c r="E16" s="1495"/>
      <c r="F16" s="97" t="s">
        <v>480</v>
      </c>
      <c r="G16" s="68"/>
      <c r="H16" s="107" t="str">
        <f>IFERROR(VLOOKUP(B12,Tabela13[[#All],[Descrição]:[FONTE]],6,FALSE),"")</f>
        <v/>
      </c>
      <c r="J16" s="76" t="s">
        <v>244</v>
      </c>
      <c r="K16" s="59"/>
      <c r="L16" s="59"/>
      <c r="M16" s="70" t="s">
        <v>616</v>
      </c>
      <c r="N16" s="59"/>
      <c r="O16" s="59"/>
      <c r="P16" s="80" t="e">
        <f>TRUNC(P15*P4,2)</f>
        <v>#REF!</v>
      </c>
    </row>
    <row r="17" spans="2:8">
      <c r="B17" s="1493" t="s">
        <v>811</v>
      </c>
      <c r="C17" s="1494"/>
      <c r="D17" s="1494"/>
      <c r="E17" s="1495"/>
      <c r="F17" s="97" t="s">
        <v>477</v>
      </c>
      <c r="G17" s="68"/>
      <c r="H17" s="98">
        <f>IFERROR(H16*H13,0)</f>
        <v>0</v>
      </c>
    </row>
    <row r="18" spans="2:8">
      <c r="B18" s="1493" t="s">
        <v>812</v>
      </c>
      <c r="C18" s="1494"/>
      <c r="D18" s="1494"/>
      <c r="E18" s="1495"/>
      <c r="F18" s="97" t="s">
        <v>477</v>
      </c>
      <c r="G18" s="68"/>
      <c r="H18" s="98">
        <f>IFERROR((H13-H17)/H14,0)</f>
        <v>0</v>
      </c>
    </row>
    <row r="19" spans="2:8">
      <c r="B19" s="1493" t="s">
        <v>813</v>
      </c>
      <c r="C19" s="1494"/>
      <c r="D19" s="1494"/>
      <c r="E19" s="1495"/>
      <c r="F19" s="97" t="s">
        <v>814</v>
      </c>
      <c r="G19" s="68"/>
      <c r="H19" s="98">
        <f>IFERROR(H18/12,0)</f>
        <v>0</v>
      </c>
    </row>
    <row r="20" spans="2:8">
      <c r="B20" s="1493" t="s">
        <v>815</v>
      </c>
      <c r="C20" s="1494"/>
      <c r="D20" s="1494"/>
      <c r="E20" s="1495"/>
      <c r="F20" s="97" t="s">
        <v>477</v>
      </c>
      <c r="G20" s="68"/>
      <c r="H20" s="98">
        <f>IFERROR((((H13-H17)*(H14-H15))/(2*(H14-H15)))+H17,0)</f>
        <v>0</v>
      </c>
    </row>
    <row r="21" spans="2:8">
      <c r="B21" s="1493" t="s">
        <v>816</v>
      </c>
      <c r="C21" s="1494"/>
      <c r="D21" s="1494"/>
      <c r="E21" s="1495"/>
      <c r="F21" s="102" t="s">
        <v>814</v>
      </c>
      <c r="G21" s="69"/>
      <c r="H21" s="108">
        <f>IFERROR(H20*(((1+H27)^(1/12))-1),0)</f>
        <v>0</v>
      </c>
    </row>
    <row r="22" spans="2:8">
      <c r="B22" s="1616" t="s">
        <v>817</v>
      </c>
      <c r="C22" s="1617"/>
      <c r="D22" s="1617"/>
      <c r="E22" s="1617"/>
      <c r="F22" s="109" t="s">
        <v>814</v>
      </c>
      <c r="G22" s="110"/>
      <c r="H22" s="111">
        <f>TRUNC(H25,2)</f>
        <v>2201.9499999999998</v>
      </c>
    </row>
    <row r="23" spans="2:8">
      <c r="B23" s="1512" t="s">
        <v>810</v>
      </c>
      <c r="C23" s="1513"/>
      <c r="D23" s="1513"/>
      <c r="E23" s="1514"/>
      <c r="F23" s="112" t="s">
        <v>480</v>
      </c>
      <c r="G23" s="67"/>
      <c r="H23" s="113">
        <f>VLOOKUP(B3,Tabela13[[#All],[Descrição]:[FONTE]],6,FALSE)</f>
        <v>0.3</v>
      </c>
    </row>
    <row r="24" spans="2:8" ht="25.5" customHeight="1">
      <c r="B24" s="1493" t="s">
        <v>811</v>
      </c>
      <c r="C24" s="1494"/>
      <c r="D24" s="1494"/>
      <c r="E24" s="1495"/>
      <c r="F24" s="97" t="s">
        <v>477</v>
      </c>
      <c r="G24" s="68"/>
      <c r="H24" s="98">
        <f>H23*H4</f>
        <v>67946.099999999991</v>
      </c>
    </row>
    <row r="25" spans="2:8" ht="25.5" customHeight="1">
      <c r="B25" s="1515" t="s">
        <v>817</v>
      </c>
      <c r="C25" s="1516"/>
      <c r="D25" s="1516"/>
      <c r="E25" s="1517"/>
      <c r="F25" s="102" t="s">
        <v>616</v>
      </c>
      <c r="G25" s="69"/>
      <c r="H25" s="114">
        <f>((H4-H24)/((H5*12)))</f>
        <v>2201.9569444444446</v>
      </c>
    </row>
    <row r="26" spans="2:8">
      <c r="B26" s="1616" t="s">
        <v>839</v>
      </c>
      <c r="C26" s="1617"/>
      <c r="D26" s="1617"/>
      <c r="E26" s="1618"/>
      <c r="F26" s="115" t="s">
        <v>814</v>
      </c>
      <c r="G26" s="110"/>
      <c r="H26" s="111" t="e">
        <f>TRUNC(H29,2)</f>
        <v>#N/A</v>
      </c>
    </row>
    <row r="27" spans="2:8">
      <c r="B27" s="1512" t="s">
        <v>778</v>
      </c>
      <c r="C27" s="1513"/>
      <c r="D27" s="1513"/>
      <c r="E27" s="1514"/>
      <c r="F27" s="112" t="s">
        <v>480</v>
      </c>
      <c r="G27" s="67"/>
      <c r="H27" s="116" t="e">
        <f>VLOOKUP(B27,Tabela1[#All],11,FALSE)</f>
        <v>#N/A</v>
      </c>
    </row>
    <row r="28" spans="2:8" ht="38.25" customHeight="1">
      <c r="B28" s="1493" t="s">
        <v>815</v>
      </c>
      <c r="C28" s="1494"/>
      <c r="D28" s="1494"/>
      <c r="E28" s="1495"/>
      <c r="F28" s="97" t="s">
        <v>477</v>
      </c>
      <c r="G28" s="99"/>
      <c r="H28" s="98">
        <f>((((H5-H6)+1)*(H4-H24))/(2*(H5-H6)))+H24</f>
        <v>160428.29166666669</v>
      </c>
    </row>
    <row r="29" spans="2:8" ht="25.5" customHeight="1">
      <c r="B29" s="1515" t="s">
        <v>818</v>
      </c>
      <c r="C29" s="1516"/>
      <c r="D29" s="1516"/>
      <c r="E29" s="1517"/>
      <c r="F29" s="102" t="s">
        <v>616</v>
      </c>
      <c r="G29" s="101"/>
      <c r="H29" s="108" t="e">
        <f>((1+H27)^(1/12)-1)*(H28)</f>
        <v>#N/A</v>
      </c>
    </row>
    <row r="30" spans="2:8">
      <c r="B30" s="1616" t="s">
        <v>840</v>
      </c>
      <c r="C30" s="1617"/>
      <c r="D30" s="1617"/>
      <c r="E30" s="1618"/>
      <c r="F30" s="115" t="s">
        <v>814</v>
      </c>
      <c r="G30" s="117"/>
      <c r="H30" s="118">
        <f>TRUNC(H36,2)</f>
        <v>777.38</v>
      </c>
    </row>
    <row r="31" spans="2:8">
      <c r="B31" s="1512" t="s">
        <v>819</v>
      </c>
      <c r="C31" s="1513"/>
      <c r="D31" s="1513"/>
      <c r="E31" s="1514"/>
      <c r="F31" s="112" t="s">
        <v>814</v>
      </c>
      <c r="G31" s="119">
        <f>IFERROR((H20+H28),IFERROR(H28,H20))</f>
        <v>160428.29166666669</v>
      </c>
      <c r="H31" s="120">
        <f>(H32*G31)</f>
        <v>3208.565833333334</v>
      </c>
    </row>
    <row r="32" spans="2:8" ht="25.5" customHeight="1">
      <c r="B32" s="1619" t="s">
        <v>766</v>
      </c>
      <c r="C32" s="1620"/>
      <c r="D32" s="1620"/>
      <c r="E32" s="1621"/>
      <c r="F32" s="97" t="s">
        <v>480</v>
      </c>
      <c r="G32" s="121"/>
      <c r="H32" s="107">
        <f>VLOOKUP(B32,Tabela13[[#All],[Descrição]:[FONTE]],17,FALSE)</f>
        <v>0.02</v>
      </c>
    </row>
    <row r="33" spans="2:8" ht="25.5" customHeight="1">
      <c r="B33" s="1493" t="s">
        <v>820</v>
      </c>
      <c r="C33" s="1494"/>
      <c r="D33" s="1494"/>
      <c r="E33" s="1495"/>
      <c r="F33" s="97" t="s">
        <v>477</v>
      </c>
      <c r="G33" s="122"/>
      <c r="H33" s="98">
        <f>VLOOKUP(B3,Tabela13[[#All],[Descrição]:[FONTE]],14,FALSE)</f>
        <v>100</v>
      </c>
    </row>
    <row r="34" spans="2:8">
      <c r="B34" s="1493" t="s">
        <v>821</v>
      </c>
      <c r="C34" s="1494"/>
      <c r="D34" s="1494"/>
      <c r="E34" s="1495"/>
      <c r="F34" s="97" t="s">
        <v>477</v>
      </c>
      <c r="G34" s="122"/>
      <c r="H34" s="98">
        <f>VLOOKUP(B3,Tabela13[[#All],[Descrição]:[FONTE]],15,FALSE)</f>
        <v>20</v>
      </c>
    </row>
    <row r="35" spans="2:8" ht="24.75" customHeight="1">
      <c r="B35" s="1493" t="s">
        <v>822</v>
      </c>
      <c r="C35" s="1494"/>
      <c r="D35" s="1494"/>
      <c r="E35" s="1495"/>
      <c r="F35" s="97" t="s">
        <v>477</v>
      </c>
      <c r="G35" s="123"/>
      <c r="H35" s="98">
        <f>VLOOKUP(B3,Tabela13[[#All],[Descrição]:[FONTE]],16,FALSE)</f>
        <v>6000</v>
      </c>
    </row>
    <row r="36" spans="2:8">
      <c r="B36" s="1493" t="s">
        <v>823</v>
      </c>
      <c r="C36" s="1494"/>
      <c r="D36" s="1494"/>
      <c r="E36" s="1495"/>
      <c r="F36" s="102" t="s">
        <v>616</v>
      </c>
      <c r="G36" s="124"/>
      <c r="H36" s="108">
        <f>(H31+H33+H34+H35)/12</f>
        <v>777.38048611111117</v>
      </c>
    </row>
    <row r="37" spans="2:8">
      <c r="B37" s="1616" t="s">
        <v>841</v>
      </c>
      <c r="C37" s="1617"/>
      <c r="D37" s="1617"/>
      <c r="E37" s="1618"/>
      <c r="F37" s="115" t="s">
        <v>814</v>
      </c>
      <c r="G37" s="109"/>
      <c r="H37" s="111">
        <f>TRUNC(H40+H41,2)</f>
        <v>7595.28</v>
      </c>
    </row>
    <row r="38" spans="2:8">
      <c r="B38" s="1518" t="s">
        <v>772</v>
      </c>
      <c r="C38" s="1519"/>
      <c r="D38" s="1519"/>
      <c r="E38" s="1520"/>
      <c r="F38" s="112" t="s">
        <v>477</v>
      </c>
      <c r="G38" s="125"/>
      <c r="H38" s="120">
        <f>VLOOKUP(B38,Tabela13[[#All],[Descrição]:[FONTE]],17,FALSE)</f>
        <v>3.8359999999999999</v>
      </c>
    </row>
    <row r="39" spans="2:8" ht="25.5" customHeight="1">
      <c r="B39" s="1493" t="s">
        <v>824</v>
      </c>
      <c r="C39" s="1494"/>
      <c r="D39" s="1494"/>
      <c r="E39" s="1495"/>
      <c r="F39" s="97" t="s">
        <v>825</v>
      </c>
      <c r="G39" s="126">
        <f>H9</f>
        <v>0.6</v>
      </c>
      <c r="H39" s="98">
        <f>G39*H38</f>
        <v>2.3015999999999996</v>
      </c>
    </row>
    <row r="40" spans="2:8" ht="25.5" customHeight="1">
      <c r="B40" s="1493" t="s">
        <v>826</v>
      </c>
      <c r="C40" s="1494"/>
      <c r="D40" s="1494"/>
      <c r="E40" s="1495"/>
      <c r="F40" s="97" t="s">
        <v>814</v>
      </c>
      <c r="G40" s="126">
        <f>H8</f>
        <v>3000</v>
      </c>
      <c r="H40" s="98">
        <f>H39*G40</f>
        <v>6904.7999999999993</v>
      </c>
    </row>
    <row r="41" spans="2:8" ht="15" customHeight="1">
      <c r="B41" s="1493" t="s">
        <v>827</v>
      </c>
      <c r="C41" s="1494"/>
      <c r="D41" s="1494"/>
      <c r="E41" s="1495"/>
      <c r="F41" s="102" t="s">
        <v>814</v>
      </c>
      <c r="G41" s="188">
        <v>0.1</v>
      </c>
      <c r="H41" s="108">
        <f>H40*G41</f>
        <v>690.48</v>
      </c>
    </row>
    <row r="42" spans="2:8">
      <c r="B42" s="1616" t="s">
        <v>842</v>
      </c>
      <c r="C42" s="1617"/>
      <c r="D42" s="1617"/>
      <c r="E42" s="1618"/>
      <c r="F42" s="115" t="s">
        <v>814</v>
      </c>
      <c r="G42" s="127"/>
      <c r="H42" s="111">
        <f>TRUNC(H52*H53,2)</f>
        <v>592.27</v>
      </c>
    </row>
    <row r="43" spans="2:8">
      <c r="B43" s="1622" t="s">
        <v>779</v>
      </c>
      <c r="C43" s="1623"/>
      <c r="D43" s="1623"/>
      <c r="E43" s="1624"/>
      <c r="F43" s="112" t="s">
        <v>477</v>
      </c>
      <c r="G43" s="67"/>
      <c r="H43" s="120">
        <f>VLOOKUP(B43,Tabela13[[#All],[Descrição]:[FONTE]],17,FALSE)</f>
        <v>1557</v>
      </c>
    </row>
    <row r="44" spans="2:8" ht="38.25" customHeight="1">
      <c r="B44" s="1619" t="s">
        <v>783</v>
      </c>
      <c r="C44" s="1620"/>
      <c r="D44" s="1620"/>
      <c r="E44" s="1621"/>
      <c r="F44" s="97" t="s">
        <v>477</v>
      </c>
      <c r="G44" s="68"/>
      <c r="H44" s="98">
        <f>VLOOKUP(B44,Tabela13[[#All],[Descrição]:[FONTE]],17,FALSE)</f>
        <v>101.64</v>
      </c>
    </row>
    <row r="45" spans="2:8" ht="26.25" customHeight="1">
      <c r="B45" s="1619" t="s">
        <v>781</v>
      </c>
      <c r="C45" s="1620"/>
      <c r="D45" s="1620"/>
      <c r="E45" s="1621"/>
      <c r="F45" s="97" t="s">
        <v>477</v>
      </c>
      <c r="G45" s="68"/>
      <c r="H45" s="98">
        <f>VLOOKUP(B45,Tabela13[[#All],[Descrição]:[FONTE]],17,FALSE)</f>
        <v>101.64</v>
      </c>
    </row>
    <row r="46" spans="2:8">
      <c r="B46" s="1493" t="s">
        <v>828</v>
      </c>
      <c r="C46" s="1494"/>
      <c r="D46" s="1494"/>
      <c r="E46" s="1495"/>
      <c r="F46" s="97" t="s">
        <v>829</v>
      </c>
      <c r="G46" s="68"/>
      <c r="H46" s="128">
        <f>VLOOKUP(B3,Tabela13[[#All],[Descrição]:[FONTE]],13,FALSE)</f>
        <v>6</v>
      </c>
    </row>
    <row r="47" spans="2:8">
      <c r="B47" s="1493" t="s">
        <v>830</v>
      </c>
      <c r="C47" s="1494"/>
      <c r="D47" s="1494"/>
      <c r="E47" s="1495"/>
      <c r="F47" s="97" t="s">
        <v>829</v>
      </c>
      <c r="G47" s="68"/>
      <c r="H47" s="129">
        <f>IFERROR(VLOOKUP(B12,Tabela13[[#All],[Descrição]:[FONTE]],13,FALSE),0)</f>
        <v>0</v>
      </c>
    </row>
    <row r="48" spans="2:8">
      <c r="B48" s="1619" t="s">
        <v>782</v>
      </c>
      <c r="C48" s="1620"/>
      <c r="D48" s="1620"/>
      <c r="E48" s="1621"/>
      <c r="F48" s="97" t="s">
        <v>477</v>
      </c>
      <c r="G48" s="68"/>
      <c r="H48" s="98">
        <f>VLOOKUP(B48,Tabela13[[#All],[Descrição]:[FONTE]],17,FALSE)</f>
        <v>520</v>
      </c>
    </row>
    <row r="49" spans="2:8">
      <c r="B49" s="1493" t="s">
        <v>831</v>
      </c>
      <c r="C49" s="1494"/>
      <c r="D49" s="1494"/>
      <c r="E49" s="1495"/>
      <c r="F49" s="97" t="s">
        <v>832</v>
      </c>
      <c r="G49" s="68"/>
      <c r="H49" s="130">
        <f>VLOOKUP(B43,Tabela13[[#All],[Descrição]:[FONTE]],4,FALSE)</f>
        <v>30000</v>
      </c>
    </row>
    <row r="50" spans="2:8">
      <c r="B50" s="1493" t="s">
        <v>833</v>
      </c>
      <c r="C50" s="1494"/>
      <c r="D50" s="1494"/>
      <c r="E50" s="1495"/>
      <c r="F50" s="97" t="s">
        <v>832</v>
      </c>
      <c r="G50" s="68"/>
      <c r="H50" s="130">
        <f>VLOOKUP(B48,Tabela13[[#All],[Descrição]:[FONTE]],4,FALSE)</f>
        <v>50000</v>
      </c>
    </row>
    <row r="51" spans="2:8">
      <c r="B51" s="1493" t="s">
        <v>834</v>
      </c>
      <c r="C51" s="1494"/>
      <c r="D51" s="1494"/>
      <c r="E51" s="1495"/>
      <c r="F51" s="97" t="s">
        <v>480</v>
      </c>
      <c r="G51" s="68"/>
      <c r="H51" s="107">
        <v>0.2</v>
      </c>
    </row>
    <row r="52" spans="2:8">
      <c r="B52" s="1493" t="s">
        <v>835</v>
      </c>
      <c r="C52" s="1494"/>
      <c r="D52" s="1494"/>
      <c r="E52" s="1495"/>
      <c r="F52" s="97" t="s">
        <v>825</v>
      </c>
      <c r="G52" s="68"/>
      <c r="H52" s="98">
        <f>(((1+H51)*(H43+H44+H45)*(H46+H47))+(H48*(H46+H47)))/(H49+H50)</f>
        <v>0.19742520000000002</v>
      </c>
    </row>
    <row r="53" spans="2:8">
      <c r="B53" s="1493" t="s">
        <v>836</v>
      </c>
      <c r="C53" s="1494"/>
      <c r="D53" s="1494"/>
      <c r="E53" s="1495"/>
      <c r="F53" s="102" t="s">
        <v>704</v>
      </c>
      <c r="G53" s="69"/>
      <c r="H53" s="131">
        <f>G40</f>
        <v>3000</v>
      </c>
    </row>
    <row r="54" spans="2:8">
      <c r="B54" s="1616" t="s">
        <v>843</v>
      </c>
      <c r="C54" s="1617"/>
      <c r="D54" s="1617"/>
      <c r="E54" s="1618"/>
      <c r="F54" s="132" t="s">
        <v>814</v>
      </c>
      <c r="G54" s="104"/>
      <c r="H54" s="111">
        <f>TRUNC(H56,2)</f>
        <v>2831.08</v>
      </c>
    </row>
    <row r="55" spans="2:8">
      <c r="B55" s="1512" t="s">
        <v>837</v>
      </c>
      <c r="C55" s="1513"/>
      <c r="D55" s="1513"/>
      <c r="E55" s="1514"/>
      <c r="F55" s="112"/>
      <c r="G55" s="67"/>
      <c r="H55" s="133">
        <f>VLOOKUP(B3,Tabela13[[#All],[Descrição]:[FONTE]],12,FALSE)</f>
        <v>0.9</v>
      </c>
    </row>
    <row r="56" spans="2:8">
      <c r="B56" s="1515" t="s">
        <v>838</v>
      </c>
      <c r="C56" s="1516"/>
      <c r="D56" s="1516"/>
      <c r="E56" s="1517"/>
      <c r="F56" s="97" t="s">
        <v>616</v>
      </c>
      <c r="G56" s="68"/>
      <c r="H56" s="138">
        <f>(H4*H55)/(H5*12)</f>
        <v>2831.0875000000001</v>
      </c>
    </row>
    <row r="57" spans="2:8" ht="25.5" customHeight="1">
      <c r="B57" s="145" t="s">
        <v>845</v>
      </c>
      <c r="C57" s="144"/>
      <c r="D57" s="144"/>
      <c r="E57" s="144"/>
      <c r="F57" s="104"/>
      <c r="G57" s="104"/>
      <c r="H57" s="139"/>
    </row>
    <row r="58" spans="2:8" ht="15.75" thickBot="1">
      <c r="B58" s="1625" t="s">
        <v>844</v>
      </c>
      <c r="C58" s="1626"/>
      <c r="D58" s="1626"/>
      <c r="E58" s="1626"/>
      <c r="F58" s="140"/>
      <c r="G58" s="140"/>
      <c r="H58" s="141" t="e">
        <f>H57*H3</f>
        <v>#N/A</v>
      </c>
    </row>
    <row r="60" spans="2:8" ht="15.75" customHeight="1"/>
  </sheetData>
  <mergeCells count="55">
    <mergeCell ref="B54:E54"/>
    <mergeCell ref="B55:E55"/>
    <mergeCell ref="B56:E56"/>
    <mergeCell ref="B58:E58"/>
    <mergeCell ref="B48:E48"/>
    <mergeCell ref="B49:E49"/>
    <mergeCell ref="B50:E50"/>
    <mergeCell ref="B51:E51"/>
    <mergeCell ref="B52:E52"/>
    <mergeCell ref="B53:E53"/>
    <mergeCell ref="B47:E47"/>
    <mergeCell ref="B36:E36"/>
    <mergeCell ref="B37:E37"/>
    <mergeCell ref="B38:E38"/>
    <mergeCell ref="B39:E39"/>
    <mergeCell ref="B40:E40"/>
    <mergeCell ref="B41:E41"/>
    <mergeCell ref="B42:E42"/>
    <mergeCell ref="B43:E43"/>
    <mergeCell ref="B44:E44"/>
    <mergeCell ref="B45:E45"/>
    <mergeCell ref="B46:E46"/>
    <mergeCell ref="B35:E35"/>
    <mergeCell ref="B24:E24"/>
    <mergeCell ref="B25:E25"/>
    <mergeCell ref="B26:E26"/>
    <mergeCell ref="B27:E27"/>
    <mergeCell ref="B28:E28"/>
    <mergeCell ref="B29:E29"/>
    <mergeCell ref="B30:E30"/>
    <mergeCell ref="B31:E31"/>
    <mergeCell ref="B32:E32"/>
    <mergeCell ref="B33:E33"/>
    <mergeCell ref="B34:E34"/>
    <mergeCell ref="B23:E23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12:E12"/>
    <mergeCell ref="B4:E4"/>
    <mergeCell ref="B5:E5"/>
    <mergeCell ref="B6:E6"/>
    <mergeCell ref="B3:E3"/>
    <mergeCell ref="B7:E7"/>
    <mergeCell ref="B8:E8"/>
    <mergeCell ref="B9:E9"/>
    <mergeCell ref="B10:E10"/>
    <mergeCell ref="B11:E11"/>
  </mergeCells>
  <pageMargins left="0.78740157480314965" right="0.82677165354330717" top="0.78740157480314965" bottom="0.78740157480314965" header="0.31496062992125984" footer="0.31496062992125984"/>
  <pageSetup paperSize="9" scale="49" fitToHeight="0" orientation="portrait" r:id="rId1"/>
  <headerFooter>
    <oddHeader>&amp;L&amp;G&amp;C&amp;"-,Negrito"&amp;K153357
Produto 3.4 – Estudos e Projetos para a solução definida – Volume 6&amp;R&amp;G</oddHeader>
    <oddFooter xml:space="preserve">&amp;L&amp;G&amp;R&amp;P </oddFooter>
  </headerFooter>
  <legacyDrawing r:id="rId2"/>
  <legacyDrawingHF r:id="rId3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B3:T41"/>
  <sheetViews>
    <sheetView zoomScale="85" zoomScaleNormal="85" zoomScalePageLayoutView="55" workbookViewId="0">
      <selection activeCell="F6" sqref="F6"/>
    </sheetView>
  </sheetViews>
  <sheetFormatPr defaultRowHeight="15"/>
  <cols>
    <col min="2" max="2" width="16.140625" bestFit="1" customWidth="1"/>
    <col min="3" max="3" width="39.7109375" customWidth="1"/>
    <col min="4" max="4" width="18" bestFit="1" customWidth="1"/>
    <col min="5" max="5" width="22.140625" style="21" bestFit="1" customWidth="1"/>
    <col min="6" max="6" width="11.7109375" bestFit="1" customWidth="1"/>
    <col min="7" max="7" width="13.85546875" customWidth="1"/>
    <col min="8" max="9" width="10.28515625" customWidth="1"/>
    <col min="10" max="10" width="11.28515625" bestFit="1" customWidth="1"/>
    <col min="11" max="12" width="11.28515625" customWidth="1"/>
    <col min="13" max="13" width="15.42578125" customWidth="1"/>
    <col min="14" max="14" width="12" customWidth="1"/>
    <col min="15" max="15" width="14.140625" bestFit="1" customWidth="1"/>
    <col min="16" max="16" width="14.5703125" style="21" customWidth="1"/>
    <col min="17" max="17" width="12.5703125" style="21" customWidth="1"/>
    <col min="18" max="18" width="27.42578125" style="21" bestFit="1" customWidth="1"/>
    <col min="19" max="19" width="12" customWidth="1"/>
    <col min="20" max="20" width="10.5703125" customWidth="1"/>
  </cols>
  <sheetData>
    <row r="3" spans="2:20" s="88" customFormat="1" ht="60">
      <c r="B3" s="88" t="s">
        <v>737</v>
      </c>
      <c r="C3" s="88" t="s">
        <v>738</v>
      </c>
      <c r="D3" s="88" t="s">
        <v>739</v>
      </c>
      <c r="E3" s="89" t="s">
        <v>740</v>
      </c>
      <c r="F3" s="88" t="s">
        <v>741</v>
      </c>
      <c r="G3" s="88" t="s">
        <v>742</v>
      </c>
      <c r="H3" s="90" t="s">
        <v>743</v>
      </c>
      <c r="I3" s="88" t="s">
        <v>744</v>
      </c>
      <c r="J3" s="88" t="s">
        <v>745</v>
      </c>
      <c r="K3" s="88" t="s">
        <v>746</v>
      </c>
      <c r="L3" s="88" t="s">
        <v>747</v>
      </c>
      <c r="M3" s="88" t="s">
        <v>748</v>
      </c>
      <c r="N3" s="88" t="s">
        <v>749</v>
      </c>
      <c r="O3" s="88" t="s">
        <v>750</v>
      </c>
      <c r="P3" s="89" t="s">
        <v>751</v>
      </c>
      <c r="Q3" s="89" t="s">
        <v>752</v>
      </c>
      <c r="R3" s="89" t="s">
        <v>753</v>
      </c>
      <c r="S3" s="88" t="s">
        <v>754</v>
      </c>
      <c r="T3" s="88" t="s">
        <v>755</v>
      </c>
    </row>
    <row r="4" spans="2:20" hidden="1">
      <c r="B4" t="s">
        <v>547</v>
      </c>
      <c r="C4" t="s">
        <v>756</v>
      </c>
      <c r="E4" s="21">
        <v>1453</v>
      </c>
      <c r="F4" s="91">
        <v>10</v>
      </c>
      <c r="H4" s="87">
        <v>0.1</v>
      </c>
      <c r="I4">
        <v>0.2</v>
      </c>
      <c r="N4">
        <v>0.05</v>
      </c>
      <c r="S4" s="21"/>
    </row>
    <row r="5" spans="2:20" hidden="1">
      <c r="B5" t="s">
        <v>757</v>
      </c>
      <c r="C5" t="s">
        <v>758</v>
      </c>
      <c r="E5" s="21">
        <v>123200</v>
      </c>
      <c r="F5" s="91"/>
      <c r="H5" s="87"/>
      <c r="S5" s="21"/>
    </row>
    <row r="6" spans="2:20" hidden="1">
      <c r="B6" t="s">
        <v>757</v>
      </c>
      <c r="C6" t="s">
        <v>759</v>
      </c>
      <c r="E6" s="21">
        <v>121000</v>
      </c>
      <c r="F6" s="91"/>
      <c r="H6" s="87"/>
      <c r="S6" s="21"/>
    </row>
    <row r="7" spans="2:20" hidden="1">
      <c r="B7" t="s">
        <v>757</v>
      </c>
      <c r="C7" t="s">
        <v>411</v>
      </c>
      <c r="E7" s="21">
        <v>47250</v>
      </c>
      <c r="F7" s="91"/>
      <c r="H7" s="87"/>
      <c r="S7" s="21"/>
    </row>
    <row r="8" spans="2:20" hidden="1">
      <c r="B8" t="s">
        <v>757</v>
      </c>
      <c r="C8" t="s">
        <v>760</v>
      </c>
      <c r="E8" s="21">
        <v>19500</v>
      </c>
      <c r="F8" s="91"/>
      <c r="H8" s="87"/>
      <c r="S8" s="21"/>
    </row>
    <row r="9" spans="2:20" hidden="1">
      <c r="B9" t="s">
        <v>757</v>
      </c>
      <c r="C9" t="s">
        <v>761</v>
      </c>
      <c r="E9" s="21">
        <v>24000</v>
      </c>
      <c r="F9" s="91">
        <v>10</v>
      </c>
      <c r="H9" s="87">
        <v>0.4</v>
      </c>
      <c r="S9" s="21"/>
    </row>
    <row r="10" spans="2:20" hidden="1">
      <c r="B10" t="s">
        <v>757</v>
      </c>
      <c r="C10" t="s">
        <v>762</v>
      </c>
      <c r="E10" s="21">
        <v>55750</v>
      </c>
      <c r="F10" s="91"/>
      <c r="H10" s="87"/>
      <c r="S10" s="21"/>
    </row>
    <row r="11" spans="2:20" hidden="1">
      <c r="B11" t="s">
        <v>757</v>
      </c>
      <c r="C11" t="s">
        <v>763</v>
      </c>
      <c r="E11" s="21">
        <v>11200</v>
      </c>
      <c r="F11" s="91"/>
      <c r="H11" s="87"/>
      <c r="S11" s="21"/>
    </row>
    <row r="12" spans="2:20" hidden="1">
      <c r="B12" t="s">
        <v>757</v>
      </c>
      <c r="C12" t="s">
        <v>764</v>
      </c>
      <c r="E12" s="21">
        <v>62500</v>
      </c>
      <c r="F12" s="91"/>
      <c r="H12" s="87"/>
      <c r="S12" s="21"/>
    </row>
    <row r="13" spans="2:20">
      <c r="B13" t="s">
        <v>765</v>
      </c>
      <c r="C13" t="s">
        <v>766</v>
      </c>
      <c r="F13" s="91"/>
      <c r="H13" s="87"/>
      <c r="S13" s="86">
        <v>0.02</v>
      </c>
      <c r="T13" t="s">
        <v>767</v>
      </c>
    </row>
    <row r="14" spans="2:20">
      <c r="B14" t="s">
        <v>765</v>
      </c>
      <c r="C14" t="s">
        <v>768</v>
      </c>
      <c r="F14" s="91"/>
      <c r="H14" s="87"/>
      <c r="S14" s="86">
        <v>0.02</v>
      </c>
      <c r="T14" t="s">
        <v>767</v>
      </c>
    </row>
    <row r="15" spans="2:20">
      <c r="B15" t="s">
        <v>765</v>
      </c>
      <c r="C15" t="s">
        <v>769</v>
      </c>
      <c r="F15" s="91"/>
      <c r="H15" s="87"/>
      <c r="S15" s="86">
        <v>3.5000000000000003E-2</v>
      </c>
      <c r="T15" t="s">
        <v>767</v>
      </c>
    </row>
    <row r="16" spans="2:20" hidden="1">
      <c r="B16" t="s">
        <v>765</v>
      </c>
      <c r="C16" t="s">
        <v>770</v>
      </c>
      <c r="F16" s="91"/>
      <c r="H16" s="87"/>
      <c r="S16" s="21">
        <v>150</v>
      </c>
      <c r="T16" t="s">
        <v>771</v>
      </c>
    </row>
    <row r="17" spans="2:20" hidden="1">
      <c r="B17" t="s">
        <v>765</v>
      </c>
      <c r="C17" t="s">
        <v>772</v>
      </c>
      <c r="F17" s="91"/>
      <c r="H17" s="87"/>
      <c r="S17" s="21">
        <v>3.8359999999999999</v>
      </c>
      <c r="T17" t="s">
        <v>773</v>
      </c>
    </row>
    <row r="18" spans="2:20" hidden="1">
      <c r="B18" t="s">
        <v>765</v>
      </c>
      <c r="C18" t="s">
        <v>774</v>
      </c>
      <c r="F18" s="91"/>
      <c r="H18" s="87"/>
      <c r="S18" s="21">
        <v>3.3250000000000002</v>
      </c>
      <c r="T18" t="s">
        <v>773</v>
      </c>
    </row>
    <row r="19" spans="2:20" hidden="1">
      <c r="B19" t="s">
        <v>765</v>
      </c>
      <c r="C19" t="s">
        <v>775</v>
      </c>
      <c r="F19" s="91"/>
      <c r="H19" s="87"/>
      <c r="S19" s="21">
        <v>4.0490000000000004</v>
      </c>
      <c r="T19" t="s">
        <v>773</v>
      </c>
    </row>
    <row r="20" spans="2:20" hidden="1">
      <c r="B20" t="s">
        <v>765</v>
      </c>
      <c r="C20" t="s">
        <v>776</v>
      </c>
      <c r="F20" s="91"/>
      <c r="H20" s="87"/>
      <c r="S20" s="21">
        <v>650</v>
      </c>
      <c r="T20" t="s">
        <v>771</v>
      </c>
    </row>
    <row r="21" spans="2:20" hidden="1">
      <c r="B21" t="s">
        <v>765</v>
      </c>
      <c r="C21" t="s">
        <v>777</v>
      </c>
      <c r="F21" s="91"/>
      <c r="H21" s="87"/>
      <c r="S21" s="21">
        <v>450</v>
      </c>
      <c r="T21" t="s">
        <v>771</v>
      </c>
    </row>
    <row r="22" spans="2:20" hidden="1">
      <c r="B22" t="s">
        <v>765</v>
      </c>
      <c r="C22" t="s">
        <v>779</v>
      </c>
      <c r="F22" s="91">
        <v>30000</v>
      </c>
      <c r="H22" s="87"/>
      <c r="S22" s="21">
        <f>COTAÇÕES!M69</f>
        <v>1557</v>
      </c>
      <c r="T22" t="s">
        <v>771</v>
      </c>
    </row>
    <row r="23" spans="2:20" hidden="1">
      <c r="B23" t="s">
        <v>765</v>
      </c>
      <c r="C23" t="s">
        <v>780</v>
      </c>
      <c r="F23" s="91"/>
      <c r="H23" s="87"/>
      <c r="S23" s="21"/>
    </row>
    <row r="24" spans="2:20" hidden="1">
      <c r="B24" t="s">
        <v>765</v>
      </c>
      <c r="C24" t="s">
        <v>781</v>
      </c>
      <c r="F24" s="91"/>
      <c r="H24" s="87"/>
      <c r="S24" s="21">
        <f>S26</f>
        <v>101.64</v>
      </c>
    </row>
    <row r="25" spans="2:20" hidden="1">
      <c r="B25" t="s">
        <v>765</v>
      </c>
      <c r="C25" t="s">
        <v>782</v>
      </c>
      <c r="F25" s="91">
        <v>50000</v>
      </c>
      <c r="H25" s="87"/>
      <c r="S25" s="21">
        <v>520</v>
      </c>
    </row>
    <row r="26" spans="2:20" hidden="1">
      <c r="B26" t="s">
        <v>765</v>
      </c>
      <c r="C26" t="s">
        <v>783</v>
      </c>
      <c r="F26" s="91"/>
      <c r="H26" s="87"/>
      <c r="S26" s="21">
        <f>COTAÇÕES!M95</f>
        <v>101.64</v>
      </c>
    </row>
    <row r="27" spans="2:20" hidden="1">
      <c r="B27" t="s">
        <v>765</v>
      </c>
      <c r="C27" t="s">
        <v>784</v>
      </c>
      <c r="F27" s="91"/>
      <c r="H27" s="87"/>
      <c r="S27" s="21">
        <v>0.6</v>
      </c>
      <c r="T27" t="s">
        <v>785</v>
      </c>
    </row>
    <row r="28" spans="2:20" hidden="1">
      <c r="B28" t="s">
        <v>786</v>
      </c>
      <c r="C28" t="s">
        <v>787</v>
      </c>
      <c r="F28" s="91"/>
      <c r="H28" s="87"/>
      <c r="S28" s="21">
        <v>150</v>
      </c>
      <c r="T28" t="s">
        <v>771</v>
      </c>
    </row>
    <row r="29" spans="2:20" hidden="1">
      <c r="B29" t="s">
        <v>788</v>
      </c>
      <c r="C29" t="s">
        <v>789</v>
      </c>
      <c r="E29" s="21">
        <v>755000</v>
      </c>
      <c r="F29" s="91"/>
      <c r="H29" s="87"/>
      <c r="S29" s="21"/>
    </row>
    <row r="30" spans="2:20" hidden="1">
      <c r="B30" t="s">
        <v>788</v>
      </c>
      <c r="C30" t="s">
        <v>790</v>
      </c>
      <c r="E30" s="21">
        <v>480000</v>
      </c>
      <c r="F30" s="91"/>
      <c r="H30" s="87"/>
      <c r="S30" s="21"/>
    </row>
    <row r="31" spans="2:20" hidden="1">
      <c r="B31" t="s">
        <v>788</v>
      </c>
      <c r="C31" t="s">
        <v>791</v>
      </c>
      <c r="E31" s="21">
        <v>255000</v>
      </c>
      <c r="F31" s="91"/>
      <c r="H31" s="87"/>
      <c r="S31" s="21"/>
    </row>
    <row r="32" spans="2:20">
      <c r="B32" t="s">
        <v>788</v>
      </c>
      <c r="C32" t="s">
        <v>792</v>
      </c>
      <c r="E32" s="21">
        <v>115000</v>
      </c>
      <c r="F32" s="91"/>
      <c r="H32" s="87"/>
      <c r="S32" s="21"/>
    </row>
    <row r="33" spans="2:19" hidden="1">
      <c r="B33" t="s">
        <v>793</v>
      </c>
      <c r="C33" t="s">
        <v>794</v>
      </c>
      <c r="E33" s="21">
        <v>150000</v>
      </c>
      <c r="H33" s="87"/>
      <c r="S33" s="21"/>
    </row>
    <row r="34" spans="2:19">
      <c r="B34" t="s">
        <v>793</v>
      </c>
      <c r="C34" t="s">
        <v>795</v>
      </c>
      <c r="F34" s="91"/>
      <c r="H34" s="87"/>
      <c r="S34" s="21"/>
    </row>
    <row r="35" spans="2:19" hidden="1">
      <c r="B35" t="s">
        <v>793</v>
      </c>
      <c r="C35" t="s">
        <v>796</v>
      </c>
      <c r="F35" s="91"/>
      <c r="H35" s="87"/>
      <c r="S35" s="21"/>
    </row>
    <row r="36" spans="2:19" hidden="1">
      <c r="B36" t="s">
        <v>793</v>
      </c>
      <c r="C36" t="s">
        <v>797</v>
      </c>
      <c r="D36" t="s">
        <v>398</v>
      </c>
      <c r="E36" s="21">
        <v>226487</v>
      </c>
      <c r="F36" s="91">
        <v>6</v>
      </c>
      <c r="H36" s="87">
        <v>0.4</v>
      </c>
      <c r="I36">
        <v>190</v>
      </c>
      <c r="J36">
        <v>2000</v>
      </c>
      <c r="K36">
        <v>3000</v>
      </c>
      <c r="L36">
        <v>36000</v>
      </c>
      <c r="M36">
        <v>0.6</v>
      </c>
      <c r="N36">
        <v>0.9</v>
      </c>
      <c r="O36">
        <v>7</v>
      </c>
      <c r="P36" s="21">
        <v>100</v>
      </c>
      <c r="Q36" s="21">
        <v>20</v>
      </c>
      <c r="R36" s="21">
        <v>5898.8</v>
      </c>
      <c r="S36" s="21"/>
    </row>
    <row r="37" spans="2:19">
      <c r="B37" t="s">
        <v>793</v>
      </c>
      <c r="C37" t="s">
        <v>732</v>
      </c>
      <c r="E37" s="21">
        <v>275000</v>
      </c>
      <c r="F37" s="91">
        <v>6</v>
      </c>
      <c r="H37" s="87">
        <v>0.3</v>
      </c>
      <c r="I37">
        <v>226</v>
      </c>
      <c r="J37">
        <v>2000</v>
      </c>
      <c r="K37">
        <v>3000</v>
      </c>
      <c r="L37">
        <v>36000</v>
      </c>
      <c r="M37">
        <v>0.6</v>
      </c>
      <c r="N37">
        <v>0.9</v>
      </c>
      <c r="O37">
        <v>10</v>
      </c>
      <c r="P37" s="21">
        <v>100</v>
      </c>
      <c r="Q37" s="21">
        <v>20</v>
      </c>
      <c r="R37" s="21">
        <v>8000</v>
      </c>
      <c r="S37" s="21"/>
    </row>
    <row r="38" spans="2:19" hidden="1">
      <c r="B38" t="s">
        <v>757</v>
      </c>
      <c r="C38" t="s">
        <v>668</v>
      </c>
      <c r="E38" s="21">
        <v>24000</v>
      </c>
      <c r="F38" s="91">
        <v>6</v>
      </c>
      <c r="H38" s="87">
        <v>0.3</v>
      </c>
      <c r="S38" s="21"/>
    </row>
    <row r="39" spans="2:19" hidden="1">
      <c r="B39" t="s">
        <v>793</v>
      </c>
      <c r="C39" t="s">
        <v>667</v>
      </c>
      <c r="E39" s="21">
        <v>226487</v>
      </c>
      <c r="F39" s="91">
        <v>6</v>
      </c>
      <c r="H39" s="87">
        <v>0.3</v>
      </c>
      <c r="I39">
        <v>190</v>
      </c>
      <c r="J39">
        <v>2000</v>
      </c>
      <c r="K39">
        <v>3000</v>
      </c>
      <c r="L39">
        <v>36000</v>
      </c>
      <c r="M39">
        <v>0.6</v>
      </c>
      <c r="N39">
        <v>0.9</v>
      </c>
      <c r="O39">
        <v>6</v>
      </c>
      <c r="P39" s="21">
        <v>100</v>
      </c>
      <c r="Q39" s="21">
        <v>20</v>
      </c>
      <c r="R39" s="21">
        <v>6000</v>
      </c>
      <c r="S39" s="21"/>
    </row>
    <row r="40" spans="2:19" hidden="1">
      <c r="B40" t="s">
        <v>757</v>
      </c>
      <c r="C40" t="s">
        <v>694</v>
      </c>
      <c r="E40" s="21">
        <v>176000</v>
      </c>
      <c r="F40" s="91">
        <v>7</v>
      </c>
      <c r="H40" s="87">
        <v>0.3</v>
      </c>
      <c r="I40">
        <v>190</v>
      </c>
      <c r="J40">
        <v>2000</v>
      </c>
      <c r="K40">
        <v>3000</v>
      </c>
      <c r="L40">
        <v>36000</v>
      </c>
      <c r="M40">
        <v>0.6</v>
      </c>
      <c r="N40">
        <v>0.9</v>
      </c>
      <c r="O40">
        <v>6</v>
      </c>
      <c r="P40" s="21">
        <v>100</v>
      </c>
      <c r="Q40" s="21">
        <v>20</v>
      </c>
      <c r="R40" s="21">
        <v>6000</v>
      </c>
      <c r="S40" s="21"/>
    </row>
    <row r="41" spans="2:19">
      <c r="B41" t="s">
        <v>757</v>
      </c>
      <c r="C41" t="s">
        <v>733</v>
      </c>
      <c r="E41" s="21">
        <v>24000</v>
      </c>
      <c r="F41" s="91">
        <v>6</v>
      </c>
      <c r="H41" s="87">
        <v>0.3</v>
      </c>
      <c r="S41" s="21"/>
    </row>
  </sheetData>
  <pageMargins left="0.78740157480314965" right="0.82677165354330717" top="0.78740157480314965" bottom="0.78740157480314965" header="0.31496062992125984" footer="0.31496062992125984"/>
  <pageSetup paperSize="9" scale="27" fitToHeight="0" orientation="portrait" r:id="rId1"/>
  <headerFooter>
    <oddHeader>&amp;L&amp;G&amp;C&amp;"-,Negrito"&amp;K153357
Produto 3.4 – Estudos e Projetos para a solução definida – Volume 6&amp;R&amp;G</oddHeader>
    <oddFooter xml:space="preserve">&amp;L&amp;G&amp;R&amp;P </oddFooter>
  </headerFooter>
  <legacyDrawing r:id="rId2"/>
  <legacyDrawingHF r:id="rId3"/>
  <tableParts count="1">
    <tablePart r:id="rId4"/>
  </tableParts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N95"/>
  <sheetViews>
    <sheetView zoomScaleNormal="100" workbookViewId="0">
      <selection activeCell="C21" sqref="C21"/>
    </sheetView>
  </sheetViews>
  <sheetFormatPr defaultRowHeight="15"/>
  <cols>
    <col min="2" max="2" width="27.42578125" bestFit="1" customWidth="1"/>
    <col min="3" max="3" width="73.85546875" customWidth="1"/>
    <col min="4" max="4" width="29.42578125" hidden="1" customWidth="1"/>
    <col min="5" max="6" width="14.7109375" hidden="1" customWidth="1"/>
    <col min="7" max="7" width="14.140625" hidden="1" customWidth="1"/>
    <col min="8" max="8" width="14.7109375" hidden="1" customWidth="1"/>
    <col min="9" max="12" width="13.7109375" hidden="1" customWidth="1"/>
    <col min="13" max="13" width="16" style="21" bestFit="1" customWidth="1"/>
  </cols>
  <sheetData>
    <row r="1" spans="2:13">
      <c r="B1" s="920" t="s">
        <v>898</v>
      </c>
      <c r="C1" s="921" t="s">
        <v>385</v>
      </c>
      <c r="D1" s="921" t="s">
        <v>386</v>
      </c>
      <c r="E1" s="921" t="s">
        <v>387</v>
      </c>
      <c r="F1" s="921" t="s">
        <v>388</v>
      </c>
      <c r="G1" s="921" t="s">
        <v>389</v>
      </c>
      <c r="H1" s="921" t="s">
        <v>390</v>
      </c>
      <c r="I1" s="921" t="s">
        <v>391</v>
      </c>
      <c r="J1" s="921" t="s">
        <v>392</v>
      </c>
      <c r="K1" s="921" t="s">
        <v>393</v>
      </c>
      <c r="L1" s="921" t="s">
        <v>394</v>
      </c>
      <c r="M1" s="922" t="s">
        <v>395</v>
      </c>
    </row>
    <row r="2" spans="2:13">
      <c r="B2" t="s">
        <v>894</v>
      </c>
      <c r="C2" s="22" t="s">
        <v>689</v>
      </c>
      <c r="E2" s="21">
        <v>49.9</v>
      </c>
      <c r="F2" s="21">
        <v>52.29</v>
      </c>
      <c r="G2" s="21">
        <v>69.72</v>
      </c>
      <c r="H2" s="21"/>
      <c r="M2" s="21">
        <f>IFERROR(MEDIAN(E2:L2),"")</f>
        <v>52.29</v>
      </c>
    </row>
    <row r="3" spans="2:13">
      <c r="B3" t="s">
        <v>895</v>
      </c>
      <c r="C3" s="22" t="s">
        <v>455</v>
      </c>
      <c r="E3" s="21">
        <v>19.8</v>
      </c>
      <c r="F3" s="21">
        <v>27</v>
      </c>
      <c r="G3" s="21">
        <v>25</v>
      </c>
      <c r="H3" s="21">
        <v>18.7</v>
      </c>
      <c r="I3" s="21">
        <v>25</v>
      </c>
      <c r="M3" s="21">
        <f>IFERROR(MEDIAN(E3:L3),"")</f>
        <v>25</v>
      </c>
    </row>
    <row r="4" spans="2:13">
      <c r="B4" t="s">
        <v>895</v>
      </c>
      <c r="C4" s="22" t="s">
        <v>448</v>
      </c>
      <c r="E4" s="21">
        <v>9</v>
      </c>
      <c r="F4" s="21">
        <v>12.9</v>
      </c>
      <c r="G4" s="21">
        <v>6.37</v>
      </c>
      <c r="H4" s="21">
        <v>8.8000000000000007</v>
      </c>
      <c r="I4" s="21">
        <v>6.27</v>
      </c>
      <c r="M4" s="21">
        <f>IFERROR(MEDIAN(E4:L4),"")</f>
        <v>8.8000000000000007</v>
      </c>
    </row>
    <row r="5" spans="2:13">
      <c r="B5" t="s">
        <v>894</v>
      </c>
      <c r="C5" s="22" t="s">
        <v>651</v>
      </c>
      <c r="E5" s="21">
        <v>31.9</v>
      </c>
      <c r="F5" s="21">
        <v>15.5</v>
      </c>
      <c r="G5" s="21">
        <v>12.11</v>
      </c>
      <c r="H5" s="21"/>
      <c r="M5" s="21">
        <f>IFERROR(MEDIAN(E5:L5),"")</f>
        <v>15.5</v>
      </c>
    </row>
    <row r="6" spans="2:13">
      <c r="B6" s="12" t="s">
        <v>1160</v>
      </c>
      <c r="C6" s="923" t="s">
        <v>1172</v>
      </c>
      <c r="D6" s="12"/>
      <c r="E6" s="924"/>
      <c r="F6" s="924"/>
      <c r="G6" s="924"/>
      <c r="H6" s="924"/>
      <c r="I6" s="924"/>
      <c r="J6" s="12"/>
      <c r="K6" s="12"/>
      <c r="L6" s="12"/>
      <c r="M6" s="927">
        <v>27.5</v>
      </c>
    </row>
    <row r="7" spans="2:13">
      <c r="B7" t="s">
        <v>896</v>
      </c>
      <c r="C7" s="22" t="s">
        <v>683</v>
      </c>
      <c r="E7" s="21">
        <v>95000</v>
      </c>
      <c r="F7" s="21">
        <v>85000</v>
      </c>
      <c r="G7" s="21">
        <v>109000</v>
      </c>
      <c r="H7" s="21"/>
      <c r="M7" s="21">
        <f>IFERROR(MEDIAN(E7:L7),"")</f>
        <v>95000</v>
      </c>
    </row>
    <row r="8" spans="2:13">
      <c r="B8" s="12" t="s">
        <v>1160</v>
      </c>
      <c r="C8" s="923" t="s">
        <v>604</v>
      </c>
      <c r="D8" s="12"/>
      <c r="E8" s="12"/>
      <c r="F8" s="12"/>
      <c r="G8" s="12"/>
      <c r="H8" s="924"/>
      <c r="I8" s="12"/>
      <c r="J8" s="12"/>
      <c r="K8" s="12"/>
      <c r="L8" s="12"/>
      <c r="M8" s="927">
        <v>29.86</v>
      </c>
    </row>
    <row r="9" spans="2:13">
      <c r="B9" t="s">
        <v>895</v>
      </c>
      <c r="C9" s="22" t="s">
        <v>441</v>
      </c>
      <c r="E9" s="21">
        <v>7.6</v>
      </c>
      <c r="F9" s="21">
        <v>13</v>
      </c>
      <c r="G9" s="21">
        <v>9.5</v>
      </c>
      <c r="H9" s="21">
        <v>10.7</v>
      </c>
      <c r="I9" s="21">
        <v>22</v>
      </c>
      <c r="M9" s="21">
        <f>IFERROR(MEDIAN(E9:L9),"")</f>
        <v>10.7</v>
      </c>
    </row>
    <row r="10" spans="2:13">
      <c r="B10" s="12" t="s">
        <v>1160</v>
      </c>
      <c r="C10" s="923" t="s">
        <v>457</v>
      </c>
      <c r="D10" s="12"/>
      <c r="E10" s="924"/>
      <c r="F10" s="924"/>
      <c r="G10" s="924"/>
      <c r="H10" s="924"/>
      <c r="I10" s="12"/>
      <c r="J10" s="12"/>
      <c r="K10" s="12"/>
      <c r="L10" s="12"/>
      <c r="M10" s="927">
        <v>10.5</v>
      </c>
    </row>
    <row r="11" spans="2:13">
      <c r="B11" s="12" t="s">
        <v>895</v>
      </c>
      <c r="C11" s="923" t="s">
        <v>438</v>
      </c>
      <c r="D11" s="12"/>
      <c r="E11" s="12"/>
      <c r="F11" s="12"/>
      <c r="G11" s="12"/>
      <c r="H11" s="12"/>
      <c r="I11" s="12"/>
      <c r="J11" s="12"/>
      <c r="K11" s="12"/>
      <c r="L11" s="12"/>
      <c r="M11" s="927">
        <v>17.59</v>
      </c>
    </row>
    <row r="12" spans="2:13">
      <c r="B12" s="12" t="s">
        <v>895</v>
      </c>
      <c r="C12" s="932" t="s">
        <v>453</v>
      </c>
      <c r="D12" s="12"/>
      <c r="E12" s="924"/>
      <c r="F12" s="924"/>
      <c r="G12" s="924"/>
      <c r="H12" s="924"/>
      <c r="I12" s="12"/>
      <c r="J12" s="12"/>
      <c r="K12" s="12"/>
      <c r="L12" s="12"/>
      <c r="M12" s="927">
        <v>47.02</v>
      </c>
    </row>
    <row r="13" spans="2:13">
      <c r="B13" t="s">
        <v>893</v>
      </c>
      <c r="C13" s="22" t="s">
        <v>666</v>
      </c>
      <c r="E13" s="21"/>
      <c r="G13" s="21"/>
      <c r="M13" s="21" t="str">
        <f>IFERROR(MEDIAN(E13:L13),"")</f>
        <v/>
      </c>
    </row>
    <row r="14" spans="2:13">
      <c r="B14" t="s">
        <v>893</v>
      </c>
      <c r="C14" s="22" t="s">
        <v>434</v>
      </c>
      <c r="E14" s="21">
        <v>2900</v>
      </c>
      <c r="F14" s="21">
        <v>2800</v>
      </c>
      <c r="G14" s="21">
        <v>2500</v>
      </c>
      <c r="M14" s="21">
        <f>IFERROR(MEDIAN(E14:L14),"")</f>
        <v>2800</v>
      </c>
    </row>
    <row r="15" spans="2:13">
      <c r="B15" t="s">
        <v>895</v>
      </c>
      <c r="C15" s="22" t="s">
        <v>603</v>
      </c>
      <c r="E15" s="21">
        <v>43.86</v>
      </c>
      <c r="F15" s="21">
        <v>35.51</v>
      </c>
      <c r="G15" s="21">
        <v>48</v>
      </c>
      <c r="H15" s="21"/>
      <c r="M15" s="21">
        <f>IFERROR(MEDIAN(E15:L15),"")</f>
        <v>43.86</v>
      </c>
    </row>
    <row r="16" spans="2:13">
      <c r="B16" s="12" t="s">
        <v>895</v>
      </c>
      <c r="C16" s="923" t="s">
        <v>445</v>
      </c>
      <c r="D16" s="12"/>
      <c r="E16" s="924"/>
      <c r="F16" s="924"/>
      <c r="G16" s="924"/>
      <c r="H16" s="924"/>
      <c r="I16" s="924"/>
      <c r="J16" s="12"/>
      <c r="K16" s="12"/>
      <c r="L16" s="12"/>
      <c r="M16" s="927">
        <v>57.7</v>
      </c>
    </row>
    <row r="17" spans="2:13">
      <c r="B17" t="s">
        <v>893</v>
      </c>
      <c r="C17" s="22" t="s">
        <v>680</v>
      </c>
      <c r="E17" s="21">
        <v>176000</v>
      </c>
      <c r="F17" s="21">
        <v>195000</v>
      </c>
      <c r="G17" s="21">
        <v>109000</v>
      </c>
      <c r="H17" s="21"/>
      <c r="M17" s="21">
        <f>IFERROR(MEDIAN(E17:L17),"")</f>
        <v>176000</v>
      </c>
    </row>
    <row r="18" spans="2:13">
      <c r="B18" t="s">
        <v>893</v>
      </c>
      <c r="C18" s="22" t="s">
        <v>667</v>
      </c>
      <c r="D18" t="s">
        <v>398</v>
      </c>
      <c r="E18" s="21">
        <v>231974</v>
      </c>
      <c r="F18" s="21">
        <v>221000</v>
      </c>
      <c r="G18" s="21">
        <v>198000</v>
      </c>
      <c r="H18" s="21">
        <v>240000</v>
      </c>
      <c r="I18" s="21"/>
      <c r="M18" s="21">
        <f>IFERROR(MEDIAN(E18:L18),"")</f>
        <v>226487</v>
      </c>
    </row>
    <row r="19" spans="2:13">
      <c r="B19" s="12" t="s">
        <v>895</v>
      </c>
      <c r="C19" s="923" t="s">
        <v>443</v>
      </c>
      <c r="D19" s="12"/>
      <c r="E19" s="924"/>
      <c r="F19" s="924"/>
      <c r="G19" s="924"/>
      <c r="H19" s="924"/>
      <c r="I19" s="12"/>
      <c r="J19" s="12"/>
      <c r="K19" s="12"/>
      <c r="L19" s="12"/>
      <c r="M19" s="925">
        <v>0</v>
      </c>
    </row>
    <row r="20" spans="2:13">
      <c r="B20" s="12" t="s">
        <v>895</v>
      </c>
      <c r="C20" s="923" t="s">
        <v>440</v>
      </c>
      <c r="D20" s="12"/>
      <c r="E20" s="924"/>
      <c r="F20" s="924"/>
      <c r="G20" s="924"/>
      <c r="H20" s="924"/>
      <c r="I20" s="12"/>
      <c r="J20" s="12"/>
      <c r="K20" s="12"/>
      <c r="L20" s="12"/>
      <c r="M20" s="927">
        <v>32.9</v>
      </c>
    </row>
    <row r="21" spans="2:13" s="307" customFormat="1">
      <c r="B21" s="338" t="s">
        <v>895</v>
      </c>
      <c r="C21" s="338" t="s">
        <v>493</v>
      </c>
      <c r="D21" s="12"/>
      <c r="E21" s="924"/>
      <c r="F21" s="924"/>
      <c r="G21" s="924"/>
      <c r="H21" s="924"/>
      <c r="I21" s="12"/>
      <c r="J21" s="12"/>
      <c r="K21" s="12"/>
      <c r="L21" s="12"/>
      <c r="M21" s="927">
        <v>43.02</v>
      </c>
    </row>
    <row r="22" spans="2:13">
      <c r="B22" t="s">
        <v>895</v>
      </c>
      <c r="C22" t="s">
        <v>496</v>
      </c>
      <c r="E22" s="21">
        <v>38</v>
      </c>
      <c r="F22" s="21">
        <v>22.5</v>
      </c>
      <c r="G22" s="21">
        <v>54.4</v>
      </c>
      <c r="H22" s="21">
        <v>23</v>
      </c>
      <c r="I22" s="21">
        <v>14.9</v>
      </c>
      <c r="M22" s="21">
        <f t="shared" ref="M22:M28" si="0">IFERROR(MEDIAN(E22:L22),"")</f>
        <v>23</v>
      </c>
    </row>
    <row r="23" spans="2:13">
      <c r="B23" t="s">
        <v>894</v>
      </c>
      <c r="C23" s="22" t="s">
        <v>425</v>
      </c>
      <c r="E23" s="21">
        <v>210</v>
      </c>
      <c r="F23" s="21">
        <v>214</v>
      </c>
      <c r="G23" s="21">
        <v>144</v>
      </c>
      <c r="H23" s="21">
        <v>105</v>
      </c>
      <c r="I23" s="21">
        <v>129</v>
      </c>
      <c r="J23" s="21">
        <v>125</v>
      </c>
      <c r="M23" s="21">
        <f t="shared" si="0"/>
        <v>136.5</v>
      </c>
    </row>
    <row r="24" spans="2:13">
      <c r="C24" s="22" t="s">
        <v>435</v>
      </c>
      <c r="E24" s="21">
        <v>1073</v>
      </c>
      <c r="F24" s="21">
        <v>440</v>
      </c>
      <c r="G24" s="21">
        <v>837</v>
      </c>
      <c r="H24" s="21">
        <v>718</v>
      </c>
      <c r="M24" s="21">
        <f t="shared" si="0"/>
        <v>777.5</v>
      </c>
    </row>
    <row r="25" spans="2:13">
      <c r="B25" t="s">
        <v>893</v>
      </c>
      <c r="C25" s="22" t="s">
        <v>420</v>
      </c>
      <c r="D25" t="s">
        <v>421</v>
      </c>
      <c r="E25" s="21">
        <v>11200</v>
      </c>
      <c r="F25" s="21"/>
      <c r="G25" s="21"/>
      <c r="M25" s="21">
        <f t="shared" si="0"/>
        <v>11200</v>
      </c>
    </row>
    <row r="26" spans="2:13">
      <c r="B26" t="s">
        <v>894</v>
      </c>
      <c r="C26" s="22" t="s">
        <v>686</v>
      </c>
      <c r="E26" s="21">
        <v>70</v>
      </c>
      <c r="F26" s="21">
        <v>73</v>
      </c>
      <c r="G26" s="21">
        <v>79.900000000000006</v>
      </c>
      <c r="H26" s="21"/>
      <c r="M26" s="21">
        <f t="shared" si="0"/>
        <v>73</v>
      </c>
    </row>
    <row r="27" spans="2:13">
      <c r="B27" t="s">
        <v>894</v>
      </c>
      <c r="C27" s="22" t="s">
        <v>1173</v>
      </c>
      <c r="E27" s="21">
        <v>178.25</v>
      </c>
      <c r="F27" s="21">
        <v>193</v>
      </c>
      <c r="G27" s="21">
        <v>55</v>
      </c>
      <c r="H27" s="21">
        <v>95</v>
      </c>
      <c r="M27" s="21">
        <f t="shared" si="0"/>
        <v>136.625</v>
      </c>
    </row>
    <row r="28" spans="2:13">
      <c r="B28" t="s">
        <v>895</v>
      </c>
      <c r="C28" s="189" t="s">
        <v>450</v>
      </c>
      <c r="E28" s="21">
        <v>99</v>
      </c>
      <c r="F28" s="21">
        <v>39</v>
      </c>
      <c r="G28" s="21">
        <v>50</v>
      </c>
      <c r="H28" s="21">
        <v>56</v>
      </c>
      <c r="I28" s="21">
        <v>34.5</v>
      </c>
      <c r="M28" s="21">
        <f t="shared" si="0"/>
        <v>50</v>
      </c>
    </row>
    <row r="29" spans="2:13">
      <c r="B29" s="12" t="s">
        <v>895</v>
      </c>
      <c r="C29" s="12" t="s">
        <v>497</v>
      </c>
      <c r="D29" s="12"/>
      <c r="E29" s="924"/>
      <c r="F29" s="924"/>
      <c r="G29" s="924"/>
      <c r="H29" s="924"/>
      <c r="I29" s="924"/>
      <c r="J29" s="12"/>
      <c r="K29" s="12"/>
      <c r="L29" s="12"/>
      <c r="M29" s="927">
        <v>19.989999999999998</v>
      </c>
    </row>
    <row r="30" spans="2:13">
      <c r="C30" s="22" t="s">
        <v>436</v>
      </c>
      <c r="E30" s="21">
        <v>190</v>
      </c>
      <c r="F30" s="21">
        <v>308</v>
      </c>
      <c r="G30" s="21">
        <v>269</v>
      </c>
      <c r="M30" s="21">
        <f>IFERROR(MEDIAN(E30:L30),"")</f>
        <v>269</v>
      </c>
    </row>
    <row r="31" spans="2:13">
      <c r="C31" s="22" t="s">
        <v>413</v>
      </c>
      <c r="D31" t="s">
        <v>414</v>
      </c>
      <c r="E31" s="21">
        <v>105000</v>
      </c>
      <c r="F31" s="21">
        <v>127000</v>
      </c>
      <c r="G31" s="21">
        <v>121000</v>
      </c>
      <c r="M31" s="21">
        <f>IFERROR(MEDIAN(E31:L31),"")</f>
        <v>121000</v>
      </c>
    </row>
    <row r="32" spans="2:13">
      <c r="C32" s="22" t="s">
        <v>413</v>
      </c>
      <c r="D32" t="s">
        <v>415</v>
      </c>
      <c r="E32" s="21">
        <v>109000</v>
      </c>
      <c r="F32" s="21">
        <v>137400</v>
      </c>
      <c r="G32" s="21"/>
      <c r="M32" s="21">
        <f>IFERROR(MEDIAN(E32:L32),"")</f>
        <v>123200</v>
      </c>
    </row>
    <row r="33" spans="2:13">
      <c r="C33" s="22" t="s">
        <v>460</v>
      </c>
      <c r="E33" s="21"/>
      <c r="F33" s="21"/>
      <c r="G33" s="21"/>
      <c r="H33" s="21"/>
      <c r="M33" s="21" t="str">
        <f>IFERROR(MEDIAN(E33:L33),"")</f>
        <v/>
      </c>
    </row>
    <row r="34" spans="2:13">
      <c r="B34" s="12" t="s">
        <v>895</v>
      </c>
      <c r="C34" s="923" t="s">
        <v>566</v>
      </c>
      <c r="D34" s="12"/>
      <c r="E34" s="924"/>
      <c r="F34" s="924"/>
      <c r="G34" s="924"/>
      <c r="H34" s="924"/>
      <c r="I34" s="12"/>
      <c r="J34" s="12"/>
      <c r="K34" s="12"/>
      <c r="L34" s="12"/>
      <c r="M34" s="927">
        <v>132.91</v>
      </c>
    </row>
    <row r="35" spans="2:13">
      <c r="C35" s="22" t="s">
        <v>430</v>
      </c>
      <c r="E35" s="21">
        <v>1650</v>
      </c>
      <c r="F35" s="21">
        <v>1462</v>
      </c>
      <c r="G35" s="21">
        <v>1490</v>
      </c>
      <c r="H35" s="21">
        <v>1400</v>
      </c>
      <c r="I35" s="21">
        <v>1165</v>
      </c>
      <c r="J35" s="21">
        <v>2800</v>
      </c>
      <c r="M35" s="21">
        <f>IFERROR(MEDIAN(E35:L35),"")</f>
        <v>1476</v>
      </c>
    </row>
    <row r="36" spans="2:13">
      <c r="C36" s="22" t="s">
        <v>431</v>
      </c>
      <c r="E36" s="21">
        <v>1230</v>
      </c>
      <c r="F36" s="21">
        <v>2360</v>
      </c>
      <c r="G36" s="21">
        <v>2900</v>
      </c>
      <c r="H36" s="21">
        <v>2100</v>
      </c>
      <c r="I36" s="23">
        <v>3450</v>
      </c>
      <c r="M36" s="21">
        <f>IFERROR(MEDIAN(E36:L36),"")</f>
        <v>2360</v>
      </c>
    </row>
    <row r="37" spans="2:13">
      <c r="C37" s="22" t="s">
        <v>432</v>
      </c>
      <c r="E37" s="21">
        <v>240</v>
      </c>
      <c r="F37" s="21">
        <v>410.38</v>
      </c>
      <c r="G37" s="21">
        <v>225</v>
      </c>
      <c r="H37" s="21">
        <v>304.5</v>
      </c>
      <c r="I37" s="21">
        <v>277.76</v>
      </c>
      <c r="M37" s="21">
        <f>IFERROR(MEDIAN(E37:L37),"")</f>
        <v>277.76</v>
      </c>
    </row>
    <row r="38" spans="2:13">
      <c r="B38" t="s">
        <v>895</v>
      </c>
      <c r="C38" s="22" t="s">
        <v>439</v>
      </c>
      <c r="E38" s="21">
        <v>5.32</v>
      </c>
      <c r="F38" s="21">
        <v>7.2</v>
      </c>
      <c r="G38" s="21">
        <v>3.7</v>
      </c>
      <c r="H38" s="21"/>
      <c r="M38" s="21">
        <f>IFERROR(MEDIAN(E38:L38),"")</f>
        <v>5.32</v>
      </c>
    </row>
    <row r="39" spans="2:13">
      <c r="B39" s="12" t="s">
        <v>895</v>
      </c>
      <c r="C39" s="923" t="s">
        <v>444</v>
      </c>
      <c r="D39" s="12"/>
      <c r="E39" s="924"/>
      <c r="F39" s="924"/>
      <c r="G39" s="924"/>
      <c r="H39" s="924"/>
      <c r="I39" s="924"/>
      <c r="J39" s="924"/>
      <c r="K39" s="12"/>
      <c r="L39" s="12"/>
      <c r="M39" s="927">
        <v>9.99</v>
      </c>
    </row>
    <row r="40" spans="2:13">
      <c r="B40" s="12" t="s">
        <v>895</v>
      </c>
      <c r="C40" s="932" t="s">
        <v>447</v>
      </c>
      <c r="D40" s="12"/>
      <c r="E40" s="924"/>
      <c r="F40" s="924"/>
      <c r="G40" s="924"/>
      <c r="H40" s="924"/>
      <c r="I40" s="924"/>
      <c r="J40" s="12"/>
      <c r="K40" s="12"/>
      <c r="L40" s="12"/>
      <c r="M40" s="927">
        <v>5.83</v>
      </c>
    </row>
    <row r="41" spans="2:13">
      <c r="B41" t="s">
        <v>893</v>
      </c>
      <c r="C41" s="22" t="s">
        <v>402</v>
      </c>
      <c r="D41" t="s">
        <v>403</v>
      </c>
      <c r="E41" s="21">
        <v>480000</v>
      </c>
      <c r="F41" s="21">
        <v>525000</v>
      </c>
      <c r="G41" s="21">
        <v>455000</v>
      </c>
      <c r="M41" s="21">
        <f>IFERROR(MEDIAN(E41:L41),"")</f>
        <v>480000</v>
      </c>
    </row>
    <row r="42" spans="2:13">
      <c r="C42" s="22" t="s">
        <v>459</v>
      </c>
      <c r="E42" s="21">
        <v>87.36</v>
      </c>
      <c r="F42" s="21">
        <v>113.1</v>
      </c>
      <c r="G42" s="21">
        <v>102.24</v>
      </c>
      <c r="H42" s="21">
        <v>101.39</v>
      </c>
      <c r="I42" s="21">
        <v>84.9</v>
      </c>
      <c r="M42" s="21">
        <f>IFERROR(MEDIAN(E42:L42),"")</f>
        <v>101.39</v>
      </c>
    </row>
    <row r="43" spans="2:13">
      <c r="B43" t="s">
        <v>894</v>
      </c>
      <c r="C43" s="22" t="s">
        <v>437</v>
      </c>
      <c r="E43" s="21">
        <v>13.82</v>
      </c>
      <c r="F43" s="21">
        <v>18</v>
      </c>
      <c r="G43" s="21">
        <v>23.63</v>
      </c>
      <c r="H43" s="21">
        <v>29.9</v>
      </c>
      <c r="I43" s="21">
        <v>39.9</v>
      </c>
      <c r="J43" s="21">
        <v>19</v>
      </c>
      <c r="M43" s="21">
        <f>IFERROR(MEDIAN(E43:L43),"")</f>
        <v>21.314999999999998</v>
      </c>
    </row>
    <row r="44" spans="2:13">
      <c r="B44" t="s">
        <v>894</v>
      </c>
      <c r="C44" s="22" t="s">
        <v>690</v>
      </c>
      <c r="E44" s="21">
        <v>18.899999999999999</v>
      </c>
      <c r="F44" s="21">
        <v>41.9</v>
      </c>
      <c r="G44" s="21">
        <v>17</v>
      </c>
      <c r="H44" s="21"/>
      <c r="M44" s="21">
        <f>IFERROR(MEDIAN(E44:L44),"")</f>
        <v>18.899999999999999</v>
      </c>
    </row>
    <row r="45" spans="2:13">
      <c r="B45" s="12" t="s">
        <v>895</v>
      </c>
      <c r="C45" s="932" t="s">
        <v>454</v>
      </c>
      <c r="D45" s="12"/>
      <c r="E45" s="924"/>
      <c r="F45" s="924"/>
      <c r="G45" s="924"/>
      <c r="H45" s="924"/>
      <c r="I45" s="924"/>
      <c r="J45" s="12"/>
      <c r="K45" s="12"/>
      <c r="L45" s="12"/>
      <c r="M45" s="927">
        <v>28.92</v>
      </c>
    </row>
    <row r="46" spans="2:13">
      <c r="B46" t="s">
        <v>893</v>
      </c>
      <c r="C46" s="22" t="s">
        <v>416</v>
      </c>
      <c r="D46" t="s">
        <v>417</v>
      </c>
      <c r="E46" s="21">
        <v>19500</v>
      </c>
      <c r="F46" s="21">
        <v>30759.51</v>
      </c>
      <c r="G46" s="21">
        <v>17000</v>
      </c>
      <c r="M46" s="21">
        <f>IFERROR(MEDIAN(E46:L46),"")</f>
        <v>19500</v>
      </c>
    </row>
    <row r="47" spans="2:13">
      <c r="B47" s="12" t="s">
        <v>895</v>
      </c>
      <c r="C47" s="923" t="s">
        <v>499</v>
      </c>
      <c r="D47" s="12"/>
      <c r="E47" s="924"/>
      <c r="F47" s="924"/>
      <c r="G47" s="924"/>
      <c r="H47" s="924"/>
      <c r="I47" s="12"/>
      <c r="J47" s="12"/>
      <c r="K47" s="12"/>
      <c r="L47" s="12"/>
      <c r="M47" s="927">
        <v>9.65</v>
      </c>
    </row>
    <row r="48" spans="2:13">
      <c r="B48" t="s">
        <v>893</v>
      </c>
      <c r="C48" s="189" t="s">
        <v>422</v>
      </c>
      <c r="E48" s="21">
        <v>60000</v>
      </c>
      <c r="F48" s="21">
        <v>65000</v>
      </c>
      <c r="G48" s="21"/>
      <c r="M48" s="21">
        <f>IFERROR(MEDIAN(E48:L48),"")</f>
        <v>62500</v>
      </c>
    </row>
    <row r="49" spans="2:14">
      <c r="B49" t="s">
        <v>895</v>
      </c>
      <c r="C49" s="189" t="s">
        <v>452</v>
      </c>
      <c r="E49" s="21">
        <v>31.1</v>
      </c>
      <c r="F49" s="21">
        <v>40</v>
      </c>
      <c r="G49" s="21">
        <v>27.9</v>
      </c>
      <c r="H49" s="21">
        <v>45</v>
      </c>
      <c r="M49" s="21">
        <f>IFERROR(MEDIAN(E49:L49),"")</f>
        <v>35.549999999999997</v>
      </c>
    </row>
    <row r="50" spans="2:14">
      <c r="B50" s="12" t="s">
        <v>896</v>
      </c>
      <c r="C50" s="923" t="s">
        <v>240</v>
      </c>
      <c r="D50" s="12"/>
      <c r="E50" s="924"/>
      <c r="F50" s="924"/>
      <c r="G50" s="924"/>
      <c r="H50" s="924"/>
      <c r="I50" s="924"/>
      <c r="J50" s="924"/>
      <c r="K50" s="12"/>
      <c r="L50" s="12"/>
      <c r="M50" s="927">
        <v>748</v>
      </c>
    </row>
    <row r="51" spans="2:14" s="22" customFormat="1">
      <c r="B51" t="s">
        <v>895</v>
      </c>
      <c r="C51" s="22" t="s">
        <v>449</v>
      </c>
      <c r="D51"/>
      <c r="E51" s="21">
        <v>9.4</v>
      </c>
      <c r="F51" s="21">
        <v>10.09</v>
      </c>
      <c r="G51" s="21">
        <v>10.72</v>
      </c>
      <c r="H51" s="21">
        <v>3.5</v>
      </c>
      <c r="I51" s="21">
        <v>6</v>
      </c>
      <c r="J51"/>
      <c r="K51"/>
      <c r="L51"/>
      <c r="M51" s="21">
        <f>IFERROR(MEDIAN(E51:L51),"")</f>
        <v>9.4</v>
      </c>
      <c r="N51"/>
    </row>
    <row r="52" spans="2:14">
      <c r="B52" s="12" t="s">
        <v>896</v>
      </c>
      <c r="C52" s="932" t="s">
        <v>643</v>
      </c>
      <c r="D52" s="12"/>
      <c r="E52" s="924"/>
      <c r="F52" s="924"/>
      <c r="G52" s="924"/>
      <c r="H52" s="924"/>
      <c r="I52" s="12"/>
      <c r="J52" s="12"/>
      <c r="K52" s="12"/>
      <c r="L52" s="12"/>
      <c r="M52" s="927">
        <v>17815.490000000002</v>
      </c>
    </row>
    <row r="53" spans="2:14">
      <c r="B53" t="s">
        <v>895</v>
      </c>
      <c r="C53" s="22" t="s">
        <v>451</v>
      </c>
      <c r="E53" s="21">
        <v>12.5</v>
      </c>
      <c r="F53" s="21">
        <v>10</v>
      </c>
      <c r="G53" s="21">
        <v>15</v>
      </c>
      <c r="M53" s="21">
        <f>IFERROR(MEDIAN(E53:L53),"")</f>
        <v>12.5</v>
      </c>
    </row>
    <row r="54" spans="2:14">
      <c r="B54" t="s">
        <v>895</v>
      </c>
      <c r="C54" s="22" t="s">
        <v>511</v>
      </c>
      <c r="E54" s="21">
        <v>2.39</v>
      </c>
      <c r="F54" s="21">
        <v>1.1299999999999999</v>
      </c>
      <c r="G54" s="21">
        <v>1.0900000000000001</v>
      </c>
      <c r="H54" s="21"/>
      <c r="M54" s="21">
        <f>IFERROR(MEDIAN(E54:L54),"")</f>
        <v>1.1299999999999999</v>
      </c>
    </row>
    <row r="55" spans="2:14">
      <c r="B55" s="12" t="s">
        <v>896</v>
      </c>
      <c r="C55" s="932" t="s">
        <v>642</v>
      </c>
      <c r="D55" s="12"/>
      <c r="E55" s="924"/>
      <c r="F55" s="924"/>
      <c r="G55" s="924"/>
      <c r="H55" s="924"/>
      <c r="I55" s="12"/>
      <c r="J55" s="12"/>
      <c r="K55" s="12"/>
      <c r="L55" s="12"/>
      <c r="M55" s="927">
        <v>785.75</v>
      </c>
    </row>
    <row r="56" spans="2:14">
      <c r="B56" t="s">
        <v>896</v>
      </c>
      <c r="C56" s="22" t="s">
        <v>682</v>
      </c>
      <c r="E56" s="21">
        <v>2828</v>
      </c>
      <c r="F56" s="21">
        <v>1137</v>
      </c>
      <c r="G56" s="21">
        <v>1980</v>
      </c>
      <c r="H56" s="21"/>
      <c r="M56" s="21">
        <f>IFERROR(MEDIAN(E56:L56),"")</f>
        <v>1980</v>
      </c>
    </row>
    <row r="57" spans="2:14">
      <c r="B57" t="s">
        <v>896</v>
      </c>
      <c r="C57" s="22" t="s">
        <v>684</v>
      </c>
      <c r="E57" s="21">
        <v>1359.54</v>
      </c>
      <c r="F57" s="21">
        <v>999.9</v>
      </c>
      <c r="G57" s="21">
        <v>1359</v>
      </c>
      <c r="H57" s="21"/>
      <c r="M57" s="21">
        <f>IFERROR(MEDIAN(E57:L57),"")</f>
        <v>1359</v>
      </c>
    </row>
    <row r="58" spans="2:14">
      <c r="B58" t="s">
        <v>895</v>
      </c>
      <c r="C58" s="22" t="s">
        <v>446</v>
      </c>
      <c r="E58" s="21">
        <v>6.2</v>
      </c>
      <c r="F58" s="21">
        <v>4.2</v>
      </c>
      <c r="G58">
        <v>6.68</v>
      </c>
      <c r="H58">
        <v>6.66</v>
      </c>
      <c r="I58" s="21">
        <v>16</v>
      </c>
      <c r="M58" s="21">
        <f>IFERROR(MEDIAN(E58:L58),"")</f>
        <v>6.66</v>
      </c>
    </row>
    <row r="59" spans="2:14">
      <c r="B59" s="12" t="s">
        <v>894</v>
      </c>
      <c r="C59" s="338" t="s">
        <v>429</v>
      </c>
      <c r="D59" s="12"/>
      <c r="E59" s="924"/>
      <c r="F59" s="924"/>
      <c r="G59" s="924"/>
      <c r="H59" s="924"/>
      <c r="I59" s="924"/>
      <c r="J59" s="924"/>
      <c r="K59" s="924"/>
      <c r="L59" s="924"/>
      <c r="M59" s="927">
        <v>40.53</v>
      </c>
    </row>
    <row r="60" spans="2:14">
      <c r="B60" t="s">
        <v>893</v>
      </c>
      <c r="C60" s="22" t="s">
        <v>724</v>
      </c>
      <c r="E60" s="21"/>
      <c r="F60" s="21"/>
      <c r="G60" s="21"/>
      <c r="H60" s="21"/>
      <c r="M60" s="21">
        <v>500000</v>
      </c>
    </row>
    <row r="61" spans="2:14">
      <c r="B61" s="12" t="s">
        <v>894</v>
      </c>
      <c r="C61" s="932" t="s">
        <v>596</v>
      </c>
      <c r="D61" s="12"/>
      <c r="E61" s="924"/>
      <c r="F61" s="924"/>
      <c r="G61" s="924"/>
      <c r="H61" s="924"/>
      <c r="I61" s="12"/>
      <c r="J61" s="12"/>
      <c r="K61" s="12"/>
      <c r="L61" s="12"/>
      <c r="M61" s="927">
        <v>38.869999999999997</v>
      </c>
    </row>
    <row r="62" spans="2:14">
      <c r="B62" t="s">
        <v>894</v>
      </c>
      <c r="C62" s="22" t="s">
        <v>424</v>
      </c>
      <c r="E62" s="21">
        <v>33.729999999999997</v>
      </c>
      <c r="F62" s="21">
        <v>34.9</v>
      </c>
      <c r="G62" s="21">
        <v>32.9</v>
      </c>
      <c r="H62" s="21">
        <v>39.9</v>
      </c>
      <c r="M62" s="21">
        <f t="shared" ref="M62:M70" si="1">IFERROR(MEDIAN(E62:L62),"")</f>
        <v>34.314999999999998</v>
      </c>
    </row>
    <row r="63" spans="2:14">
      <c r="C63" s="22" t="s">
        <v>433</v>
      </c>
      <c r="E63" s="21">
        <v>80</v>
      </c>
      <c r="F63" s="21">
        <v>82</v>
      </c>
      <c r="G63" s="21">
        <v>95</v>
      </c>
      <c r="H63" s="21">
        <v>125</v>
      </c>
      <c r="M63" s="21">
        <f t="shared" si="1"/>
        <v>88.5</v>
      </c>
    </row>
    <row r="64" spans="2:14">
      <c r="B64" t="s">
        <v>893</v>
      </c>
      <c r="C64" s="22" t="s">
        <v>396</v>
      </c>
      <c r="D64" t="s">
        <v>397</v>
      </c>
      <c r="E64" s="21">
        <v>150000</v>
      </c>
      <c r="F64" s="21">
        <v>160000</v>
      </c>
      <c r="G64" s="21">
        <v>179500</v>
      </c>
      <c r="H64" s="21"/>
      <c r="M64" s="21">
        <f t="shared" si="1"/>
        <v>160000</v>
      </c>
    </row>
    <row r="65" spans="2:13">
      <c r="B65" t="s">
        <v>895</v>
      </c>
      <c r="C65" s="22" t="s">
        <v>456</v>
      </c>
      <c r="E65" s="21">
        <v>16.399999999999999</v>
      </c>
      <c r="F65" s="21">
        <v>25.21</v>
      </c>
      <c r="G65" s="21">
        <v>25.2</v>
      </c>
      <c r="H65" s="21">
        <v>26</v>
      </c>
      <c r="I65" s="21"/>
      <c r="J65" s="21"/>
      <c r="M65" s="21">
        <f t="shared" si="1"/>
        <v>25.204999999999998</v>
      </c>
    </row>
    <row r="66" spans="2:13">
      <c r="B66" t="s">
        <v>894</v>
      </c>
      <c r="C66" s="22" t="s">
        <v>685</v>
      </c>
      <c r="E66" s="21">
        <v>80.66</v>
      </c>
      <c r="F66" s="21">
        <v>45.51</v>
      </c>
      <c r="G66" s="21">
        <v>61.4</v>
      </c>
      <c r="H66" s="21"/>
      <c r="M66" s="21">
        <f t="shared" si="1"/>
        <v>61.4</v>
      </c>
    </row>
    <row r="67" spans="2:13">
      <c r="B67" t="s">
        <v>893</v>
      </c>
      <c r="C67" s="22" t="s">
        <v>411</v>
      </c>
      <c r="D67" t="s">
        <v>412</v>
      </c>
      <c r="E67" s="21">
        <v>48500</v>
      </c>
      <c r="F67" s="21">
        <v>46000</v>
      </c>
      <c r="G67" s="21"/>
      <c r="M67" s="21">
        <f t="shared" si="1"/>
        <v>47250</v>
      </c>
    </row>
    <row r="68" spans="2:13">
      <c r="C68" s="22" t="s">
        <v>458</v>
      </c>
      <c r="E68" s="21">
        <v>18.899999999999999</v>
      </c>
      <c r="F68" s="21">
        <v>17.98</v>
      </c>
      <c r="G68" s="21">
        <v>20</v>
      </c>
      <c r="H68" s="21">
        <v>25</v>
      </c>
      <c r="M68" s="21">
        <f t="shared" si="1"/>
        <v>19.45</v>
      </c>
    </row>
    <row r="69" spans="2:13">
      <c r="B69" t="s">
        <v>893</v>
      </c>
      <c r="C69" s="22" t="s">
        <v>892</v>
      </c>
      <c r="E69" s="21">
        <v>1699</v>
      </c>
      <c r="F69" s="21">
        <v>1557</v>
      </c>
      <c r="G69" s="21">
        <v>1400.36</v>
      </c>
      <c r="H69" s="21"/>
      <c r="M69" s="21">
        <f t="shared" si="1"/>
        <v>1557</v>
      </c>
    </row>
    <row r="70" spans="2:13">
      <c r="B70" t="s">
        <v>893</v>
      </c>
      <c r="C70" s="22" t="s">
        <v>418</v>
      </c>
      <c r="D70" t="s">
        <v>419</v>
      </c>
      <c r="E70" s="21">
        <v>46000</v>
      </c>
      <c r="F70" s="21">
        <v>52000</v>
      </c>
      <c r="G70" s="21">
        <v>59500</v>
      </c>
      <c r="H70" s="23">
        <v>65000</v>
      </c>
      <c r="M70" s="21">
        <f t="shared" si="1"/>
        <v>55750</v>
      </c>
    </row>
    <row r="71" spans="2:13">
      <c r="B71" s="12" t="s">
        <v>894</v>
      </c>
      <c r="C71" s="932" t="s">
        <v>640</v>
      </c>
      <c r="D71" s="12"/>
      <c r="E71" s="924"/>
      <c r="F71" s="924"/>
      <c r="G71" s="924"/>
      <c r="H71" s="924"/>
      <c r="I71" s="12"/>
      <c r="J71" s="12"/>
      <c r="K71" s="12"/>
      <c r="L71" s="12"/>
      <c r="M71" s="927">
        <v>39.799999999999997</v>
      </c>
    </row>
    <row r="72" spans="2:13">
      <c r="B72" s="12" t="s">
        <v>894</v>
      </c>
      <c r="C72" s="923" t="s">
        <v>597</v>
      </c>
      <c r="D72" s="12"/>
      <c r="E72" s="924"/>
      <c r="F72" s="924"/>
      <c r="G72" s="12"/>
      <c r="H72" s="924"/>
      <c r="I72" s="12"/>
      <c r="J72" s="12"/>
      <c r="K72" s="12"/>
      <c r="L72" s="12"/>
      <c r="M72" s="927">
        <v>42.5</v>
      </c>
    </row>
    <row r="73" spans="2:13">
      <c r="B73" s="12" t="s">
        <v>894</v>
      </c>
      <c r="C73" s="932" t="s">
        <v>426</v>
      </c>
      <c r="D73" s="12"/>
      <c r="E73" s="924"/>
      <c r="F73" s="924"/>
      <c r="G73" s="924"/>
      <c r="H73" s="924"/>
      <c r="I73" s="12"/>
      <c r="J73" s="12"/>
      <c r="K73" s="12"/>
      <c r="L73" s="12"/>
      <c r="M73" s="927">
        <v>39.979999999999997</v>
      </c>
    </row>
    <row r="74" spans="2:13">
      <c r="B74" s="12" t="s">
        <v>894</v>
      </c>
      <c r="C74" s="932" t="s">
        <v>639</v>
      </c>
      <c r="D74" s="12"/>
      <c r="E74" s="924"/>
      <c r="F74" s="924"/>
      <c r="G74" s="924"/>
      <c r="H74" s="924"/>
      <c r="I74" s="12"/>
      <c r="J74" s="924"/>
      <c r="K74" s="12"/>
      <c r="L74" s="12"/>
      <c r="M74" s="927">
        <v>138.74</v>
      </c>
    </row>
    <row r="75" spans="2:13">
      <c r="B75" s="12" t="s">
        <v>894</v>
      </c>
      <c r="C75" s="923" t="s">
        <v>243</v>
      </c>
      <c r="D75" s="923" t="s">
        <v>546</v>
      </c>
      <c r="E75" s="924"/>
      <c r="F75" s="924"/>
      <c r="G75" s="924"/>
      <c r="H75" s="12"/>
      <c r="I75" s="924"/>
      <c r="J75" s="924"/>
      <c r="K75" s="12"/>
      <c r="L75" s="12"/>
      <c r="M75" s="927">
        <v>0.4</v>
      </c>
    </row>
    <row r="76" spans="2:13">
      <c r="B76" s="12" t="s">
        <v>894</v>
      </c>
      <c r="C76" s="932" t="s">
        <v>641</v>
      </c>
      <c r="D76" s="12"/>
      <c r="E76" s="924"/>
      <c r="F76" s="924"/>
      <c r="G76" s="924"/>
      <c r="H76" s="924"/>
      <c r="I76" s="12"/>
      <c r="J76" s="12"/>
      <c r="K76" s="12"/>
      <c r="L76" s="12"/>
      <c r="M76" s="927">
        <v>85.3</v>
      </c>
    </row>
    <row r="77" spans="2:13">
      <c r="B77" t="s">
        <v>893</v>
      </c>
      <c r="C77" s="22" t="s">
        <v>404</v>
      </c>
      <c r="D77" t="s">
        <v>405</v>
      </c>
      <c r="E77" s="21">
        <v>230000</v>
      </c>
      <c r="F77" s="21">
        <v>288000</v>
      </c>
      <c r="G77" s="21">
        <v>255000</v>
      </c>
      <c r="M77" s="21">
        <f>IFERROR(MEDIAN(E77:L77),"")</f>
        <v>255000</v>
      </c>
    </row>
    <row r="78" spans="2:13">
      <c r="B78" s="12" t="s">
        <v>894</v>
      </c>
      <c r="C78" s="932" t="s">
        <v>1202</v>
      </c>
      <c r="D78" s="12"/>
      <c r="E78" s="924"/>
      <c r="F78" s="924"/>
      <c r="G78" s="924"/>
      <c r="H78" s="924"/>
      <c r="I78" s="12"/>
      <c r="J78" s="12"/>
      <c r="K78" s="12"/>
      <c r="L78" s="12"/>
      <c r="M78" s="927">
        <v>10.33</v>
      </c>
    </row>
    <row r="79" spans="2:13">
      <c r="B79" s="12" t="s">
        <v>894</v>
      </c>
      <c r="C79" s="932" t="s">
        <v>650</v>
      </c>
      <c r="D79" s="12"/>
      <c r="E79" s="924"/>
      <c r="F79" s="924"/>
      <c r="G79" s="924"/>
      <c r="H79" s="924"/>
      <c r="I79" s="12"/>
      <c r="J79" s="12"/>
      <c r="K79" s="12"/>
      <c r="L79" s="12"/>
      <c r="M79" s="927">
        <v>3.52</v>
      </c>
    </row>
    <row r="80" spans="2:13">
      <c r="B80" t="s">
        <v>894</v>
      </c>
      <c r="C80" s="22" t="s">
        <v>691</v>
      </c>
      <c r="E80" s="21">
        <v>52.33</v>
      </c>
      <c r="F80" s="21">
        <v>18.38</v>
      </c>
      <c r="G80" s="21">
        <v>59.64</v>
      </c>
      <c r="H80" s="21"/>
      <c r="M80" s="21">
        <f>IFERROR(MEDIAN(E80:L80),"")</f>
        <v>52.33</v>
      </c>
    </row>
    <row r="81" spans="2:13">
      <c r="B81" t="s">
        <v>896</v>
      </c>
      <c r="C81" s="22" t="s">
        <v>708</v>
      </c>
      <c r="E81" s="21">
        <v>696</v>
      </c>
      <c r="F81" s="21">
        <v>706.94</v>
      </c>
      <c r="G81" s="21">
        <v>749</v>
      </c>
      <c r="H81" s="21"/>
      <c r="M81" s="21">
        <f>IFERROR(MEDIAN(E81:L81),"")</f>
        <v>706.94</v>
      </c>
    </row>
    <row r="82" spans="2:13">
      <c r="B82" s="12" t="s">
        <v>894</v>
      </c>
      <c r="C82" s="923" t="s">
        <v>648</v>
      </c>
      <c r="D82" s="12"/>
      <c r="E82" s="924"/>
      <c r="F82" s="924"/>
      <c r="G82" s="924"/>
      <c r="H82" s="924"/>
      <c r="I82" s="12"/>
      <c r="J82" s="12"/>
      <c r="K82" s="12"/>
      <c r="L82" s="12"/>
      <c r="M82" s="927">
        <v>25.97</v>
      </c>
    </row>
    <row r="83" spans="2:13">
      <c r="B83" s="12" t="s">
        <v>894</v>
      </c>
      <c r="C83" s="932" t="s">
        <v>427</v>
      </c>
      <c r="D83" s="12"/>
      <c r="E83" s="924"/>
      <c r="F83" s="924"/>
      <c r="G83" s="924"/>
      <c r="H83" s="924"/>
      <c r="I83" s="924"/>
      <c r="J83" s="12"/>
      <c r="K83" s="12"/>
      <c r="L83" s="12"/>
      <c r="M83" s="927">
        <v>28.44</v>
      </c>
    </row>
    <row r="84" spans="2:13">
      <c r="B84" s="12" t="s">
        <v>894</v>
      </c>
      <c r="C84" s="932" t="s">
        <v>423</v>
      </c>
      <c r="D84" s="12"/>
      <c r="E84" s="924"/>
      <c r="F84" s="924"/>
      <c r="G84" s="924"/>
      <c r="H84" s="924"/>
      <c r="I84" s="924"/>
      <c r="J84" s="924"/>
      <c r="K84" s="12"/>
      <c r="L84" s="12"/>
      <c r="M84" s="927">
        <v>28.49</v>
      </c>
    </row>
    <row r="85" spans="2:13">
      <c r="B85" t="s">
        <v>893</v>
      </c>
      <c r="C85" s="22" t="s">
        <v>652</v>
      </c>
      <c r="D85" t="s">
        <v>406</v>
      </c>
      <c r="E85" s="21">
        <v>106000</v>
      </c>
      <c r="F85" s="21">
        <v>115000</v>
      </c>
      <c r="G85" s="21">
        <v>122000</v>
      </c>
      <c r="M85" s="21">
        <f>IFERROR(MEDIAN(E85:L85),"")</f>
        <v>115000</v>
      </c>
    </row>
    <row r="86" spans="2:13">
      <c r="B86" t="s">
        <v>893</v>
      </c>
      <c r="C86" s="22" t="s">
        <v>400</v>
      </c>
      <c r="D86" t="s">
        <v>401</v>
      </c>
      <c r="E86" s="21">
        <v>755000</v>
      </c>
      <c r="F86" s="21">
        <v>615192</v>
      </c>
      <c r="M86" s="21">
        <f>IFERROR(MEDIAN(E86:L86),"")</f>
        <v>685096</v>
      </c>
    </row>
    <row r="87" spans="2:13">
      <c r="B87" s="12" t="s">
        <v>897</v>
      </c>
      <c r="C87" s="923" t="s">
        <v>612</v>
      </c>
      <c r="D87" s="12"/>
      <c r="E87" s="924"/>
      <c r="F87" s="924"/>
      <c r="G87" s="924"/>
      <c r="H87" s="924"/>
      <c r="I87" s="12"/>
      <c r="J87" s="12"/>
      <c r="K87" s="12"/>
      <c r="L87" s="12"/>
      <c r="M87" s="926">
        <v>0.02</v>
      </c>
    </row>
    <row r="88" spans="2:13">
      <c r="B88" t="s">
        <v>893</v>
      </c>
      <c r="C88" s="22" t="s">
        <v>407</v>
      </c>
      <c r="D88" t="s">
        <v>408</v>
      </c>
      <c r="E88" s="21">
        <v>83026</v>
      </c>
      <c r="F88" s="21">
        <v>74247</v>
      </c>
      <c r="G88" s="21">
        <v>66009</v>
      </c>
      <c r="H88" s="21"/>
      <c r="M88" s="21">
        <f>IFERROR(MEDIAN(E88:L88),"")</f>
        <v>74247</v>
      </c>
    </row>
    <row r="89" spans="2:13">
      <c r="B89" t="s">
        <v>893</v>
      </c>
      <c r="C89" s="22" t="s">
        <v>407</v>
      </c>
      <c r="D89" t="s">
        <v>409</v>
      </c>
      <c r="E89" s="21">
        <v>36813</v>
      </c>
      <c r="F89" s="21">
        <v>59400</v>
      </c>
      <c r="G89" s="21">
        <v>60073</v>
      </c>
      <c r="H89" s="21">
        <v>58988</v>
      </c>
      <c r="I89" s="21">
        <v>47690</v>
      </c>
      <c r="M89" s="21">
        <f>IFERROR(MEDIAN(E89:L89),"")</f>
        <v>58988</v>
      </c>
    </row>
    <row r="90" spans="2:13">
      <c r="B90" t="s">
        <v>893</v>
      </c>
      <c r="C90" s="22" t="s">
        <v>407</v>
      </c>
      <c r="D90" t="s">
        <v>410</v>
      </c>
      <c r="E90" s="21">
        <v>11364</v>
      </c>
      <c r="F90" s="21">
        <v>9090</v>
      </c>
      <c r="G90" s="21"/>
      <c r="H90" s="21"/>
      <c r="M90" s="21">
        <f>IFERROR(MEDIAN(E90:L90),"")</f>
        <v>10227</v>
      </c>
    </row>
    <row r="91" spans="2:13">
      <c r="B91" s="12" t="s">
        <v>893</v>
      </c>
      <c r="C91" s="928" t="s">
        <v>734</v>
      </c>
      <c r="D91" s="12"/>
      <c r="E91" s="924"/>
      <c r="F91" s="924"/>
      <c r="G91" s="924"/>
      <c r="H91" s="924"/>
      <c r="I91" s="12"/>
      <c r="J91" s="12"/>
      <c r="K91" s="12"/>
      <c r="L91" s="12"/>
      <c r="M91" s="925">
        <v>0</v>
      </c>
    </row>
    <row r="92" spans="2:13">
      <c r="B92" s="12" t="s">
        <v>893</v>
      </c>
      <c r="C92" s="928" t="s">
        <v>732</v>
      </c>
      <c r="D92" s="12" t="s">
        <v>399</v>
      </c>
      <c r="E92" s="924"/>
      <c r="F92" s="12"/>
      <c r="G92" s="924"/>
      <c r="H92" s="924"/>
      <c r="I92" s="924"/>
      <c r="J92" s="12"/>
      <c r="K92" s="12"/>
      <c r="L92" s="12"/>
      <c r="M92" s="925">
        <v>0</v>
      </c>
    </row>
    <row r="93" spans="2:13">
      <c r="B93" s="12" t="s">
        <v>893</v>
      </c>
      <c r="C93" s="928" t="s">
        <v>649</v>
      </c>
      <c r="D93" s="12"/>
      <c r="E93" s="924"/>
      <c r="F93" s="924"/>
      <c r="G93" s="924"/>
      <c r="H93" s="924"/>
      <c r="I93" s="12"/>
      <c r="J93" s="12"/>
      <c r="K93" s="12"/>
      <c r="L93" s="12"/>
      <c r="M93" s="925">
        <v>0</v>
      </c>
    </row>
    <row r="94" spans="2:13">
      <c r="C94" s="22"/>
      <c r="E94" s="21"/>
      <c r="F94" s="21"/>
      <c r="G94" s="21"/>
      <c r="H94" s="21"/>
      <c r="M94" s="21" t="str">
        <f>IFERROR(MEDIAN(E94:L94),"")</f>
        <v/>
      </c>
    </row>
    <row r="95" spans="2:13">
      <c r="B95" t="s">
        <v>893</v>
      </c>
      <c r="C95" s="22" t="s">
        <v>899</v>
      </c>
      <c r="E95" s="21">
        <v>297.58</v>
      </c>
      <c r="F95" s="21">
        <v>81.59</v>
      </c>
      <c r="G95" s="21">
        <v>101.64</v>
      </c>
      <c r="H95" s="21"/>
      <c r="M95" s="21">
        <f>IFERROR(MEDIAN(E95:L95),"")</f>
        <v>101.64</v>
      </c>
    </row>
  </sheetData>
  <pageMargins left="0.511811024" right="0.511811024" top="0.78740157499999996" bottom="0.78740157499999996" header="0.31496062000000002" footer="0.31496062000000002"/>
  <pageSetup orientation="portrait" r:id="rId1"/>
  <legacyDrawing r:id="rId2"/>
  <tableParts count="1">
    <tablePart r:id="rId3"/>
  </tablePart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2:K59"/>
  <sheetViews>
    <sheetView zoomScale="55" zoomScaleNormal="55" workbookViewId="0">
      <selection activeCell="F24" sqref="F24"/>
    </sheetView>
  </sheetViews>
  <sheetFormatPr defaultRowHeight="15"/>
  <cols>
    <col min="2" max="2" width="10.28515625" customWidth="1"/>
    <col min="3" max="3" width="60.85546875" bestFit="1" customWidth="1"/>
    <col min="4" max="4" width="59.5703125" bestFit="1" customWidth="1"/>
    <col min="5" max="5" width="15.85546875" style="21" bestFit="1" customWidth="1"/>
    <col min="6" max="6" width="11.140625" customWidth="1"/>
    <col min="7" max="7" width="14" bestFit="1" customWidth="1"/>
    <col min="8" max="8" width="9.5703125" bestFit="1" customWidth="1"/>
    <col min="9" max="9" width="16.42578125" bestFit="1" customWidth="1"/>
  </cols>
  <sheetData>
    <row r="2" spans="2:7">
      <c r="B2" t="s">
        <v>850</v>
      </c>
      <c r="C2" t="s">
        <v>851</v>
      </c>
      <c r="D2" t="s">
        <v>386</v>
      </c>
      <c r="E2" s="21" t="s">
        <v>883</v>
      </c>
      <c r="F2" t="s">
        <v>852</v>
      </c>
      <c r="G2" t="s">
        <v>853</v>
      </c>
    </row>
    <row r="3" spans="2:7">
      <c r="B3" t="s">
        <v>848</v>
      </c>
      <c r="C3" t="s">
        <v>485</v>
      </c>
      <c r="F3">
        <v>3.95</v>
      </c>
      <c r="G3" t="s">
        <v>619</v>
      </c>
    </row>
    <row r="4" spans="2:7">
      <c r="B4" t="s">
        <v>848</v>
      </c>
      <c r="C4" t="s">
        <v>489</v>
      </c>
      <c r="F4">
        <v>12</v>
      </c>
      <c r="G4" t="s">
        <v>620</v>
      </c>
    </row>
    <row r="5" spans="2:7">
      <c r="B5" t="s">
        <v>848</v>
      </c>
      <c r="C5" t="s">
        <v>491</v>
      </c>
      <c r="F5">
        <v>220</v>
      </c>
      <c r="G5" t="s">
        <v>617</v>
      </c>
    </row>
    <row r="6" spans="2:7">
      <c r="B6" s="913" t="s">
        <v>849</v>
      </c>
      <c r="C6" s="913" t="s">
        <v>467</v>
      </c>
      <c r="D6" s="913" t="s">
        <v>618</v>
      </c>
      <c r="E6" s="917">
        <v>40</v>
      </c>
      <c r="F6" s="913">
        <v>1115.69</v>
      </c>
      <c r="G6" s="913" t="s">
        <v>1336</v>
      </c>
    </row>
    <row r="7" spans="2:7">
      <c r="B7" s="913" t="s">
        <v>849</v>
      </c>
      <c r="C7" s="913" t="s">
        <v>500</v>
      </c>
      <c r="D7" s="913" t="s">
        <v>621</v>
      </c>
      <c r="E7" s="917">
        <v>20</v>
      </c>
      <c r="F7" s="913">
        <v>1742.04</v>
      </c>
      <c r="G7" s="913" t="s">
        <v>1336</v>
      </c>
    </row>
    <row r="8" spans="2:7">
      <c r="B8" t="s">
        <v>849</v>
      </c>
      <c r="C8" t="s">
        <v>867</v>
      </c>
      <c r="D8" t="s">
        <v>622</v>
      </c>
      <c r="E8" s="918">
        <v>20</v>
      </c>
      <c r="F8">
        <v>1427.24</v>
      </c>
      <c r="G8" t="s">
        <v>617</v>
      </c>
    </row>
    <row r="9" spans="2:7">
      <c r="B9" t="s">
        <v>849</v>
      </c>
      <c r="C9" t="s">
        <v>868</v>
      </c>
      <c r="D9" t="s">
        <v>623</v>
      </c>
      <c r="E9" s="21">
        <v>20</v>
      </c>
      <c r="F9">
        <v>2033.06</v>
      </c>
      <c r="G9" t="s">
        <v>1336</v>
      </c>
    </row>
    <row r="10" spans="2:7">
      <c r="B10" t="s">
        <v>849</v>
      </c>
      <c r="C10" t="s">
        <v>501</v>
      </c>
      <c r="D10" t="s">
        <v>618</v>
      </c>
      <c r="E10" s="21">
        <v>20</v>
      </c>
      <c r="F10">
        <v>1084.6400000000001</v>
      </c>
      <c r="G10" t="s">
        <v>617</v>
      </c>
    </row>
    <row r="11" spans="2:7">
      <c r="B11" t="s">
        <v>849</v>
      </c>
      <c r="C11" t="s">
        <v>505</v>
      </c>
      <c r="D11" t="s">
        <v>624</v>
      </c>
      <c r="F11">
        <v>1190.1199999999999</v>
      </c>
      <c r="G11" t="s">
        <v>617</v>
      </c>
    </row>
    <row r="12" spans="2:7">
      <c r="B12" t="s">
        <v>849</v>
      </c>
      <c r="C12" t="s">
        <v>510</v>
      </c>
      <c r="D12" t="s">
        <v>509</v>
      </c>
      <c r="F12">
        <v>1559.03</v>
      </c>
      <c r="G12" t="s">
        <v>617</v>
      </c>
    </row>
    <row r="13" spans="2:7">
      <c r="B13" t="s">
        <v>849</v>
      </c>
      <c r="C13" t="s">
        <v>512</v>
      </c>
      <c r="D13" t="s">
        <v>625</v>
      </c>
      <c r="F13">
        <v>1190.1199999999999</v>
      </c>
      <c r="G13" t="s">
        <v>617</v>
      </c>
    </row>
    <row r="14" spans="2:7">
      <c r="B14" t="s">
        <v>849</v>
      </c>
      <c r="C14" t="s">
        <v>513</v>
      </c>
      <c r="D14" t="s">
        <v>626</v>
      </c>
      <c r="F14">
        <v>1239.51</v>
      </c>
      <c r="G14" t="s">
        <v>617</v>
      </c>
    </row>
    <row r="15" spans="2:7">
      <c r="B15" t="s">
        <v>849</v>
      </c>
      <c r="C15" t="s">
        <v>514</v>
      </c>
      <c r="D15" t="s">
        <v>622</v>
      </c>
      <c r="F15">
        <v>1427.24</v>
      </c>
      <c r="G15" t="s">
        <v>617</v>
      </c>
    </row>
    <row r="16" spans="2:7">
      <c r="B16" t="s">
        <v>849</v>
      </c>
      <c r="C16" t="s">
        <v>515</v>
      </c>
      <c r="D16" t="s">
        <v>627</v>
      </c>
      <c r="F16">
        <v>1581.25</v>
      </c>
      <c r="G16" t="s">
        <v>617</v>
      </c>
    </row>
    <row r="17" spans="2:9">
      <c r="B17" t="s">
        <v>849</v>
      </c>
      <c r="C17" t="s">
        <v>517</v>
      </c>
      <c r="D17" t="s">
        <v>627</v>
      </c>
      <c r="E17" s="21">
        <v>20</v>
      </c>
      <c r="F17">
        <v>1581.25</v>
      </c>
      <c r="G17" t="s">
        <v>617</v>
      </c>
    </row>
    <row r="18" spans="2:9">
      <c r="B18" t="s">
        <v>849</v>
      </c>
      <c r="C18" t="s">
        <v>518</v>
      </c>
      <c r="D18" t="s">
        <v>627</v>
      </c>
      <c r="F18">
        <v>1581.25</v>
      </c>
      <c r="G18" t="s">
        <v>617</v>
      </c>
    </row>
    <row r="19" spans="2:9">
      <c r="B19" t="s">
        <v>849</v>
      </c>
      <c r="C19" t="s">
        <v>519</v>
      </c>
      <c r="D19" t="s">
        <v>629</v>
      </c>
      <c r="F19">
        <v>1993.02</v>
      </c>
      <c r="G19" t="s">
        <v>628</v>
      </c>
    </row>
    <row r="20" spans="2:9">
      <c r="B20" t="s">
        <v>849</v>
      </c>
      <c r="C20" t="s">
        <v>521</v>
      </c>
      <c r="D20" t="s">
        <v>520</v>
      </c>
      <c r="F20">
        <v>1084.6400000000001</v>
      </c>
      <c r="G20" t="s">
        <v>617</v>
      </c>
    </row>
    <row r="21" spans="2:9">
      <c r="B21" t="s">
        <v>849</v>
      </c>
      <c r="C21" t="s">
        <v>522</v>
      </c>
      <c r="D21" t="s">
        <v>630</v>
      </c>
      <c r="F21">
        <v>1239.51</v>
      </c>
      <c r="G21" t="s">
        <v>617</v>
      </c>
    </row>
    <row r="22" spans="2:9">
      <c r="B22" t="s">
        <v>849</v>
      </c>
      <c r="C22" t="s">
        <v>524</v>
      </c>
      <c r="D22" t="s">
        <v>1121</v>
      </c>
      <c r="F22">
        <f>TRUNC(14683.23/1.7133,2)</f>
        <v>8570.14</v>
      </c>
      <c r="G22" t="s">
        <v>1119</v>
      </c>
      <c r="I22">
        <f>Tabela3[[#This Row],[valor]]*1.7133</f>
        <v>14683.220862</v>
      </c>
    </row>
    <row r="23" spans="2:9">
      <c r="B23" s="913" t="s">
        <v>849</v>
      </c>
      <c r="C23" s="913" t="s">
        <v>1322</v>
      </c>
      <c r="D23" s="913" t="s">
        <v>631</v>
      </c>
      <c r="E23" s="929">
        <v>0</v>
      </c>
      <c r="F23" s="913">
        <v>1223.28</v>
      </c>
      <c r="G23" s="913" t="s">
        <v>617</v>
      </c>
    </row>
    <row r="24" spans="2:9">
      <c r="B24" t="s">
        <v>849</v>
      </c>
      <c r="C24" t="s">
        <v>526</v>
      </c>
      <c r="D24" t="s">
        <v>525</v>
      </c>
      <c r="E24" s="21">
        <v>20</v>
      </c>
      <c r="F24">
        <v>1611.3</v>
      </c>
      <c r="G24" t="s">
        <v>617</v>
      </c>
    </row>
    <row r="25" spans="2:9">
      <c r="B25" t="s">
        <v>849</v>
      </c>
      <c r="C25" t="s">
        <v>527</v>
      </c>
      <c r="D25" t="s">
        <v>632</v>
      </c>
      <c r="F25">
        <v>1408.31</v>
      </c>
      <c r="G25" t="s">
        <v>617</v>
      </c>
    </row>
    <row r="26" spans="2:9">
      <c r="B26" t="s">
        <v>849</v>
      </c>
      <c r="C26" t="s">
        <v>528</v>
      </c>
      <c r="D26" t="s">
        <v>618</v>
      </c>
      <c r="F26">
        <v>1084.6400000000001</v>
      </c>
      <c r="G26" t="s">
        <v>617</v>
      </c>
    </row>
    <row r="27" spans="2:9">
      <c r="B27" t="s">
        <v>849</v>
      </c>
      <c r="C27" t="s">
        <v>529</v>
      </c>
      <c r="D27" t="s">
        <v>633</v>
      </c>
      <c r="F27">
        <v>1084.6400000000001</v>
      </c>
      <c r="G27" t="s">
        <v>617</v>
      </c>
    </row>
    <row r="28" spans="2:9">
      <c r="B28" t="s">
        <v>849</v>
      </c>
      <c r="C28" t="s">
        <v>530</v>
      </c>
      <c r="D28" t="s">
        <v>634</v>
      </c>
      <c r="F28">
        <v>2318.67</v>
      </c>
      <c r="G28" t="s">
        <v>617</v>
      </c>
    </row>
    <row r="29" spans="2:9">
      <c r="B29" t="s">
        <v>849</v>
      </c>
      <c r="C29" t="s">
        <v>531</v>
      </c>
      <c r="D29" t="s">
        <v>1120</v>
      </c>
      <c r="E29" s="21">
        <v>20</v>
      </c>
      <c r="F29">
        <v>1084.6400000000001</v>
      </c>
      <c r="G29" t="s">
        <v>617</v>
      </c>
    </row>
    <row r="30" spans="2:9">
      <c r="B30" t="s">
        <v>849</v>
      </c>
      <c r="C30" t="s">
        <v>532</v>
      </c>
      <c r="D30" t="s">
        <v>635</v>
      </c>
      <c r="E30" s="21">
        <v>20</v>
      </c>
      <c r="F30">
        <v>1427.25</v>
      </c>
      <c r="G30" t="s">
        <v>617</v>
      </c>
    </row>
    <row r="31" spans="2:9">
      <c r="B31" t="s">
        <v>849</v>
      </c>
      <c r="C31" t="s">
        <v>533</v>
      </c>
      <c r="D31" t="s">
        <v>1120</v>
      </c>
      <c r="F31">
        <v>1084.6400000000001</v>
      </c>
      <c r="G31" t="s">
        <v>617</v>
      </c>
    </row>
    <row r="32" spans="2:9">
      <c r="B32" t="s">
        <v>849</v>
      </c>
      <c r="C32" t="s">
        <v>534</v>
      </c>
      <c r="D32" t="s">
        <v>1120</v>
      </c>
      <c r="E32" s="21">
        <v>20</v>
      </c>
      <c r="F32">
        <v>1084.6400000000001</v>
      </c>
      <c r="G32" t="s">
        <v>617</v>
      </c>
    </row>
    <row r="33" spans="2:7">
      <c r="B33" t="s">
        <v>849</v>
      </c>
      <c r="C33" t="s">
        <v>535</v>
      </c>
      <c r="D33" t="s">
        <v>1120</v>
      </c>
      <c r="E33" s="21">
        <v>20</v>
      </c>
      <c r="F33">
        <v>1084.6400000000001</v>
      </c>
      <c r="G33" t="s">
        <v>617</v>
      </c>
    </row>
    <row r="34" spans="2:7">
      <c r="B34" t="s">
        <v>849</v>
      </c>
      <c r="C34" t="s">
        <v>536</v>
      </c>
      <c r="D34" t="s">
        <v>1120</v>
      </c>
      <c r="E34" s="21">
        <v>20</v>
      </c>
      <c r="F34">
        <v>1084.6400000000001</v>
      </c>
      <c r="G34" t="s">
        <v>617</v>
      </c>
    </row>
    <row r="35" spans="2:7">
      <c r="B35" t="s">
        <v>849</v>
      </c>
      <c r="C35" t="s">
        <v>537</v>
      </c>
      <c r="D35" t="s">
        <v>1120</v>
      </c>
      <c r="F35">
        <v>1084.6400000000001</v>
      </c>
      <c r="G35" t="s">
        <v>617</v>
      </c>
    </row>
    <row r="36" spans="2:7">
      <c r="B36" t="s">
        <v>849</v>
      </c>
      <c r="C36" t="s">
        <v>538</v>
      </c>
      <c r="D36" t="s">
        <v>1120</v>
      </c>
      <c r="F36">
        <v>1084.6400000000001</v>
      </c>
      <c r="G36" t="s">
        <v>617</v>
      </c>
    </row>
    <row r="37" spans="2:7">
      <c r="B37" t="s">
        <v>849</v>
      </c>
      <c r="C37" t="s">
        <v>539</v>
      </c>
      <c r="D37" t="s">
        <v>1120</v>
      </c>
      <c r="F37">
        <v>1084.6400000000001</v>
      </c>
      <c r="G37" t="s">
        <v>617</v>
      </c>
    </row>
    <row r="38" spans="2:7">
      <c r="B38" t="s">
        <v>849</v>
      </c>
      <c r="C38" t="s">
        <v>540</v>
      </c>
      <c r="D38" t="s">
        <v>1120</v>
      </c>
      <c r="F38">
        <v>1084.6400000000001</v>
      </c>
      <c r="G38" t="s">
        <v>617</v>
      </c>
    </row>
    <row r="39" spans="2:7">
      <c r="B39" t="s">
        <v>849</v>
      </c>
      <c r="C39" t="s">
        <v>541</v>
      </c>
      <c r="D39" t="s">
        <v>1120</v>
      </c>
      <c r="F39">
        <v>1084.6400000000001</v>
      </c>
      <c r="G39" t="s">
        <v>617</v>
      </c>
    </row>
    <row r="40" spans="2:7">
      <c r="B40" t="s">
        <v>849</v>
      </c>
      <c r="C40" t="s">
        <v>542</v>
      </c>
      <c r="D40" t="s">
        <v>1120</v>
      </c>
      <c r="F40">
        <v>1084.6400000000001</v>
      </c>
      <c r="G40" t="s">
        <v>617</v>
      </c>
    </row>
    <row r="41" spans="2:7">
      <c r="B41" t="s">
        <v>849</v>
      </c>
      <c r="C41" t="s">
        <v>543</v>
      </c>
      <c r="D41" t="s">
        <v>1120</v>
      </c>
      <c r="F41">
        <v>1084.6400000000001</v>
      </c>
      <c r="G41" t="s">
        <v>617</v>
      </c>
    </row>
    <row r="42" spans="2:7">
      <c r="B42" t="s">
        <v>849</v>
      </c>
      <c r="C42" t="s">
        <v>544</v>
      </c>
      <c r="D42" t="s">
        <v>1120</v>
      </c>
      <c r="F42">
        <v>1084.6400000000001</v>
      </c>
      <c r="G42" t="s">
        <v>617</v>
      </c>
    </row>
    <row r="43" spans="2:7">
      <c r="B43" t="s">
        <v>849</v>
      </c>
      <c r="C43" t="s">
        <v>545</v>
      </c>
      <c r="D43" t="s">
        <v>1120</v>
      </c>
      <c r="F43">
        <v>1084.6400000000001</v>
      </c>
      <c r="G43" t="s">
        <v>617</v>
      </c>
    </row>
    <row r="44" spans="2:7">
      <c r="B44" t="s">
        <v>849</v>
      </c>
      <c r="C44" t="s">
        <v>871</v>
      </c>
      <c r="D44" t="s">
        <v>1120</v>
      </c>
      <c r="E44" s="21">
        <v>20</v>
      </c>
      <c r="F44">
        <v>1084.6400000000001</v>
      </c>
      <c r="G44" t="s">
        <v>617</v>
      </c>
    </row>
    <row r="45" spans="2:7">
      <c r="B45" t="s">
        <v>849</v>
      </c>
      <c r="C45" t="s">
        <v>855</v>
      </c>
      <c r="F45" s="522">
        <v>1045</v>
      </c>
    </row>
    <row r="46" spans="2:7">
      <c r="B46" t="s">
        <v>869</v>
      </c>
      <c r="C46" t="s">
        <v>482</v>
      </c>
      <c r="F46" s="19">
        <v>70.489999999999995</v>
      </c>
    </row>
    <row r="47" spans="2:7">
      <c r="B47" t="s">
        <v>849</v>
      </c>
      <c r="C47" t="s">
        <v>856</v>
      </c>
      <c r="D47" t="s">
        <v>1120</v>
      </c>
      <c r="E47" s="21">
        <v>20</v>
      </c>
      <c r="F47">
        <v>1084.6400000000001</v>
      </c>
      <c r="G47" t="s">
        <v>617</v>
      </c>
    </row>
    <row r="48" spans="2:7">
      <c r="B48" t="s">
        <v>849</v>
      </c>
      <c r="C48" t="s">
        <v>857</v>
      </c>
      <c r="D48" t="s">
        <v>1120</v>
      </c>
      <c r="E48" s="21">
        <v>20</v>
      </c>
      <c r="F48">
        <v>1084.6400000000001</v>
      </c>
      <c r="G48" t="s">
        <v>617</v>
      </c>
    </row>
    <row r="49" spans="2:11">
      <c r="B49" t="s">
        <v>849</v>
      </c>
      <c r="C49" t="s">
        <v>858</v>
      </c>
      <c r="D49" t="s">
        <v>1120</v>
      </c>
      <c r="E49" s="21">
        <v>20</v>
      </c>
      <c r="F49">
        <v>1084.6400000000001</v>
      </c>
      <c r="G49" t="s">
        <v>617</v>
      </c>
    </row>
    <row r="50" spans="2:11">
      <c r="B50" t="s">
        <v>849</v>
      </c>
      <c r="C50" t="s">
        <v>885</v>
      </c>
      <c r="D50" t="s">
        <v>1120</v>
      </c>
      <c r="E50" s="21">
        <v>20</v>
      </c>
      <c r="F50">
        <v>1084.6400000000001</v>
      </c>
      <c r="G50" t="s">
        <v>617</v>
      </c>
      <c r="I50" t="s">
        <v>1135</v>
      </c>
      <c r="J50">
        <f>F29</f>
        <v>1084.6400000000001</v>
      </c>
    </row>
    <row r="51" spans="2:11">
      <c r="B51" s="913" t="s">
        <v>849</v>
      </c>
      <c r="C51" s="913" t="s">
        <v>1118</v>
      </c>
      <c r="D51" s="913" t="s">
        <v>1122</v>
      </c>
      <c r="E51" s="915">
        <v>20</v>
      </c>
      <c r="F51" s="913">
        <v>4191.67</v>
      </c>
      <c r="G51" s="913" t="s">
        <v>1335</v>
      </c>
      <c r="I51" t="s">
        <v>1136</v>
      </c>
      <c r="J51">
        <f>F44</f>
        <v>1084.6400000000001</v>
      </c>
    </row>
    <row r="52" spans="2:11">
      <c r="B52" t="s">
        <v>849</v>
      </c>
      <c r="C52" t="s">
        <v>1124</v>
      </c>
      <c r="E52" s="916"/>
      <c r="F52">
        <v>1984.02</v>
      </c>
      <c r="I52" t="s">
        <v>1137</v>
      </c>
      <c r="J52">
        <f>F10</f>
        <v>1084.6400000000001</v>
      </c>
    </row>
    <row r="53" spans="2:11">
      <c r="B53" t="s">
        <v>849</v>
      </c>
      <c r="C53" t="s">
        <v>1126</v>
      </c>
      <c r="E53" s="916"/>
      <c r="I53" t="s">
        <v>1138</v>
      </c>
      <c r="J53">
        <f>F32</f>
        <v>1084.6400000000001</v>
      </c>
    </row>
    <row r="54" spans="2:11">
      <c r="B54" s="913" t="s">
        <v>849</v>
      </c>
      <c r="C54" s="913" t="s">
        <v>1125</v>
      </c>
      <c r="D54" s="913"/>
      <c r="E54" s="915"/>
      <c r="F54" s="913">
        <v>1273.6600000000001</v>
      </c>
      <c r="G54" s="913" t="s">
        <v>1336</v>
      </c>
      <c r="I54" s="20" t="s">
        <v>558</v>
      </c>
      <c r="J54" s="20">
        <f>AVERAGE(J50:J53)</f>
        <v>1084.6400000000001</v>
      </c>
      <c r="K54" s="509" t="s">
        <v>1139</v>
      </c>
    </row>
    <row r="55" spans="2:11">
      <c r="B55" s="913" t="s">
        <v>849</v>
      </c>
      <c r="C55" s="913" t="s">
        <v>1129</v>
      </c>
      <c r="D55" s="913"/>
      <c r="E55" s="915">
        <v>40</v>
      </c>
      <c r="F55" s="913">
        <v>1115.69</v>
      </c>
      <c r="G55" s="913" t="s">
        <v>1336</v>
      </c>
      <c r="H55" s="21">
        <f>(G59/(1+0.7133))</f>
        <v>2397.9396486312967</v>
      </c>
    </row>
    <row r="56" spans="2:11">
      <c r="B56" s="913" t="s">
        <v>849</v>
      </c>
      <c r="C56" s="913" t="s">
        <v>1130</v>
      </c>
      <c r="D56" s="913"/>
      <c r="E56" s="915">
        <v>20</v>
      </c>
      <c r="F56" s="913">
        <v>1465.14</v>
      </c>
      <c r="G56" s="913" t="s">
        <v>1336</v>
      </c>
      <c r="H56">
        <f>H55*(1+0.7133)</f>
        <v>4108.3900000000003</v>
      </c>
    </row>
    <row r="57" spans="2:11">
      <c r="B57" s="919" t="s">
        <v>849</v>
      </c>
      <c r="C57" s="919" t="s">
        <v>1246</v>
      </c>
      <c r="D57" s="919" t="s">
        <v>1247</v>
      </c>
      <c r="E57" s="917"/>
      <c r="F57" s="919">
        <f>F9</f>
        <v>2033.06</v>
      </c>
      <c r="G57" s="919" t="s">
        <v>1336</v>
      </c>
    </row>
    <row r="58" spans="2:11">
      <c r="B58" s="913" t="s">
        <v>849</v>
      </c>
      <c r="C58" s="913" t="s">
        <v>1248</v>
      </c>
      <c r="D58" s="913" t="s">
        <v>523</v>
      </c>
      <c r="E58" s="914"/>
      <c r="F58" s="913">
        <f>F22</f>
        <v>8570.14</v>
      </c>
      <c r="G58" s="913"/>
    </row>
    <row r="59" spans="2:11">
      <c r="G59">
        <v>4108.3900000000003</v>
      </c>
    </row>
  </sheetData>
  <pageMargins left="0.511811024" right="0.511811024" top="0.78740157499999996" bottom="0.78740157499999996" header="0.31496062000000002" footer="0.31496062000000002"/>
  <pageSetup orientation="portrait" r:id="rId1"/>
  <tableParts count="1">
    <tablePart r:id="rId2"/>
  </tablePart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I48"/>
  <sheetViews>
    <sheetView workbookViewId="0"/>
  </sheetViews>
  <sheetFormatPr defaultRowHeight="15"/>
  <cols>
    <col min="1" max="9" width="13.42578125" customWidth="1"/>
  </cols>
  <sheetData>
    <row r="1" spans="1:9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</row>
    <row r="2" spans="1:9">
      <c r="A2">
        <v>0</v>
      </c>
      <c r="B2" t="s">
        <v>10</v>
      </c>
      <c r="C2">
        <v>489.91080415180431</v>
      </c>
      <c r="D2" t="s">
        <v>11</v>
      </c>
      <c r="E2" t="s">
        <v>12</v>
      </c>
      <c r="F2" t="s">
        <v>13</v>
      </c>
      <c r="G2" t="s">
        <v>14</v>
      </c>
      <c r="I2" t="s">
        <v>15</v>
      </c>
    </row>
    <row r="3" spans="1:9">
      <c r="A3">
        <v>0</v>
      </c>
      <c r="B3" t="s">
        <v>16</v>
      </c>
      <c r="C3">
        <v>4220.9248927647259</v>
      </c>
      <c r="D3" t="s">
        <v>11</v>
      </c>
      <c r="E3" t="s">
        <v>12</v>
      </c>
      <c r="F3" t="s">
        <v>17</v>
      </c>
      <c r="G3" t="s">
        <v>14</v>
      </c>
      <c r="I3" t="s">
        <v>15</v>
      </c>
    </row>
    <row r="4" spans="1:9">
      <c r="A4">
        <v>0</v>
      </c>
      <c r="B4" t="s">
        <v>16</v>
      </c>
      <c r="C4">
        <v>1249.6696322860782</v>
      </c>
      <c r="D4" t="s">
        <v>11</v>
      </c>
      <c r="E4" t="s">
        <v>18</v>
      </c>
      <c r="F4" t="s">
        <v>19</v>
      </c>
      <c r="G4" t="s">
        <v>14</v>
      </c>
      <c r="I4" t="s">
        <v>15</v>
      </c>
    </row>
    <row r="5" spans="1:9">
      <c r="A5">
        <v>0</v>
      </c>
      <c r="B5" t="s">
        <v>20</v>
      </c>
      <c r="C5">
        <v>1192.9503368408402</v>
      </c>
      <c r="E5" t="s">
        <v>12</v>
      </c>
      <c r="F5" t="s">
        <v>21</v>
      </c>
      <c r="G5" t="s">
        <v>22</v>
      </c>
      <c r="I5" t="s">
        <v>15</v>
      </c>
    </row>
    <row r="6" spans="1:9">
      <c r="A6">
        <v>0</v>
      </c>
      <c r="B6" t="s">
        <v>23</v>
      </c>
      <c r="C6">
        <v>403.58419288093683</v>
      </c>
      <c r="E6" t="s">
        <v>12</v>
      </c>
      <c r="F6" t="s">
        <v>24</v>
      </c>
      <c r="G6" t="s">
        <v>22</v>
      </c>
      <c r="I6" t="s">
        <v>15</v>
      </c>
    </row>
    <row r="7" spans="1:9">
      <c r="A7">
        <v>0</v>
      </c>
      <c r="B7" t="s">
        <v>25</v>
      </c>
      <c r="C7">
        <v>5.1336876106884661</v>
      </c>
      <c r="E7" t="s">
        <v>18</v>
      </c>
      <c r="F7" t="s">
        <v>26</v>
      </c>
      <c r="G7" t="s">
        <v>22</v>
      </c>
      <c r="I7" t="s">
        <v>15</v>
      </c>
    </row>
    <row r="8" spans="1:9">
      <c r="A8">
        <v>0</v>
      </c>
      <c r="B8" t="s">
        <v>27</v>
      </c>
      <c r="C8">
        <v>260.63622536921156</v>
      </c>
      <c r="D8" t="s">
        <v>11</v>
      </c>
      <c r="E8" t="s">
        <v>18</v>
      </c>
      <c r="F8" t="s">
        <v>28</v>
      </c>
      <c r="G8" t="s">
        <v>14</v>
      </c>
      <c r="I8" t="s">
        <v>15</v>
      </c>
    </row>
    <row r="9" spans="1:9">
      <c r="A9">
        <v>0</v>
      </c>
      <c r="B9" t="s">
        <v>29</v>
      </c>
      <c r="C9">
        <v>1019.9481877599584</v>
      </c>
      <c r="D9" t="s">
        <v>11</v>
      </c>
      <c r="E9" t="s">
        <v>12</v>
      </c>
      <c r="F9" t="s">
        <v>30</v>
      </c>
      <c r="G9" t="s">
        <v>14</v>
      </c>
      <c r="I9" t="s">
        <v>15</v>
      </c>
    </row>
    <row r="10" spans="1:9">
      <c r="A10">
        <v>0</v>
      </c>
      <c r="B10" t="s">
        <v>31</v>
      </c>
      <c r="C10">
        <v>3780.9198312642588</v>
      </c>
      <c r="D10" t="s">
        <v>11</v>
      </c>
      <c r="E10" t="s">
        <v>12</v>
      </c>
      <c r="F10" t="s">
        <v>32</v>
      </c>
      <c r="G10" t="s">
        <v>14</v>
      </c>
      <c r="I10" t="s">
        <v>15</v>
      </c>
    </row>
    <row r="11" spans="1:9">
      <c r="A11">
        <v>0</v>
      </c>
      <c r="B11" t="s">
        <v>23</v>
      </c>
      <c r="C11">
        <v>27.771281698900172</v>
      </c>
      <c r="E11" t="s">
        <v>18</v>
      </c>
      <c r="F11" t="s">
        <v>33</v>
      </c>
      <c r="G11" t="s">
        <v>22</v>
      </c>
      <c r="I11" t="s">
        <v>15</v>
      </c>
    </row>
    <row r="12" spans="1:9">
      <c r="A12">
        <v>0</v>
      </c>
      <c r="B12" t="s">
        <v>34</v>
      </c>
      <c r="C12">
        <v>362.98286973311093</v>
      </c>
      <c r="D12" t="s">
        <v>11</v>
      </c>
      <c r="E12" t="s">
        <v>18</v>
      </c>
      <c r="F12" t="s">
        <v>35</v>
      </c>
      <c r="G12" t="s">
        <v>14</v>
      </c>
      <c r="I12" t="s">
        <v>15</v>
      </c>
    </row>
    <row r="13" spans="1:9">
      <c r="A13">
        <v>0</v>
      </c>
      <c r="B13" t="s">
        <v>36</v>
      </c>
      <c r="C13">
        <v>1002.4219199669831</v>
      </c>
      <c r="E13" t="s">
        <v>12</v>
      </c>
      <c r="F13" t="s">
        <v>37</v>
      </c>
      <c r="G13" t="s">
        <v>22</v>
      </c>
      <c r="I13" t="s">
        <v>15</v>
      </c>
    </row>
    <row r="14" spans="1:9">
      <c r="A14">
        <v>0</v>
      </c>
      <c r="B14" t="s">
        <v>38</v>
      </c>
      <c r="C14">
        <v>1057.3772130139232</v>
      </c>
      <c r="D14" t="s">
        <v>11</v>
      </c>
      <c r="E14" t="s">
        <v>12</v>
      </c>
      <c r="F14" t="s">
        <v>39</v>
      </c>
      <c r="G14" t="s">
        <v>14</v>
      </c>
      <c r="I14" t="s">
        <v>15</v>
      </c>
    </row>
    <row r="15" spans="1:9">
      <c r="A15">
        <v>0</v>
      </c>
      <c r="B15" t="s">
        <v>40</v>
      </c>
      <c r="C15">
        <v>3573.9679546747129</v>
      </c>
      <c r="D15" t="s">
        <v>11</v>
      </c>
      <c r="E15" t="s">
        <v>12</v>
      </c>
      <c r="F15" t="s">
        <v>41</v>
      </c>
      <c r="G15" t="s">
        <v>14</v>
      </c>
      <c r="I15" t="s">
        <v>15</v>
      </c>
    </row>
    <row r="16" spans="1:9">
      <c r="A16">
        <v>0</v>
      </c>
      <c r="B16" t="s">
        <v>42</v>
      </c>
      <c r="C16">
        <v>20.73772782318628</v>
      </c>
      <c r="D16" t="s">
        <v>11</v>
      </c>
      <c r="E16" t="s">
        <v>18</v>
      </c>
      <c r="F16" t="s">
        <v>43</v>
      </c>
      <c r="G16" t="s">
        <v>14</v>
      </c>
      <c r="I16" t="s">
        <v>15</v>
      </c>
    </row>
    <row r="17" spans="1:9">
      <c r="A17">
        <v>0</v>
      </c>
      <c r="B17" t="s">
        <v>44</v>
      </c>
      <c r="C17">
        <v>493.5826882499187</v>
      </c>
      <c r="D17" t="s">
        <v>11</v>
      </c>
      <c r="E17" t="s">
        <v>18</v>
      </c>
      <c r="F17" t="s">
        <v>45</v>
      </c>
      <c r="G17" t="s">
        <v>14</v>
      </c>
      <c r="I17" t="s">
        <v>15</v>
      </c>
    </row>
    <row r="18" spans="1:9">
      <c r="A18">
        <v>0</v>
      </c>
      <c r="B18" t="s">
        <v>31</v>
      </c>
      <c r="C18">
        <v>733.94624548753177</v>
      </c>
      <c r="D18" t="s">
        <v>11</v>
      </c>
      <c r="E18" t="s">
        <v>18</v>
      </c>
      <c r="F18" t="s">
        <v>46</v>
      </c>
      <c r="G18" t="s">
        <v>14</v>
      </c>
      <c r="I18" t="s">
        <v>15</v>
      </c>
    </row>
    <row r="19" spans="1:9">
      <c r="A19">
        <v>0</v>
      </c>
      <c r="B19" t="s">
        <v>47</v>
      </c>
      <c r="C19">
        <v>419.75366223225774</v>
      </c>
      <c r="D19" t="s">
        <v>11</v>
      </c>
      <c r="E19" t="s">
        <v>18</v>
      </c>
      <c r="F19" t="s">
        <v>48</v>
      </c>
      <c r="G19" t="s">
        <v>14</v>
      </c>
      <c r="I19" t="s">
        <v>15</v>
      </c>
    </row>
    <row r="20" spans="1:9">
      <c r="A20">
        <v>0</v>
      </c>
      <c r="B20" t="s">
        <v>49</v>
      </c>
      <c r="C20">
        <v>796.77955985960648</v>
      </c>
      <c r="D20" t="s">
        <v>11</v>
      </c>
      <c r="E20" t="s">
        <v>18</v>
      </c>
      <c r="F20" t="s">
        <v>50</v>
      </c>
      <c r="G20" t="s">
        <v>14</v>
      </c>
      <c r="I20" t="s">
        <v>15</v>
      </c>
    </row>
    <row r="21" spans="1:9">
      <c r="A21">
        <v>0</v>
      </c>
      <c r="B21" t="s">
        <v>51</v>
      </c>
      <c r="C21">
        <v>605.45223435159778</v>
      </c>
      <c r="D21" t="s">
        <v>11</v>
      </c>
      <c r="E21" t="s">
        <v>18</v>
      </c>
      <c r="F21" t="s">
        <v>52</v>
      </c>
      <c r="G21" t="s">
        <v>14</v>
      </c>
      <c r="I21" t="s">
        <v>15</v>
      </c>
    </row>
    <row r="22" spans="1:9">
      <c r="A22">
        <v>0</v>
      </c>
      <c r="B22" t="s">
        <v>42</v>
      </c>
      <c r="C22">
        <v>1518.6746732711047</v>
      </c>
      <c r="D22" t="s">
        <v>11</v>
      </c>
      <c r="E22" t="s">
        <v>12</v>
      </c>
      <c r="F22" t="s">
        <v>53</v>
      </c>
      <c r="G22" t="s">
        <v>14</v>
      </c>
      <c r="I22" t="s">
        <v>15</v>
      </c>
    </row>
    <row r="23" spans="1:9">
      <c r="A23">
        <v>0</v>
      </c>
      <c r="B23" t="s">
        <v>40</v>
      </c>
      <c r="C23">
        <v>789.03850034771619</v>
      </c>
      <c r="D23" t="s">
        <v>11</v>
      </c>
      <c r="E23" t="s">
        <v>18</v>
      </c>
      <c r="F23" t="s">
        <v>54</v>
      </c>
      <c r="G23" t="s">
        <v>14</v>
      </c>
      <c r="I23" t="s">
        <v>15</v>
      </c>
    </row>
    <row r="24" spans="1:9">
      <c r="A24">
        <v>0</v>
      </c>
      <c r="B24" t="s">
        <v>55</v>
      </c>
      <c r="C24">
        <v>1109.2329417268775</v>
      </c>
      <c r="D24" t="s">
        <v>11</v>
      </c>
      <c r="E24" t="s">
        <v>18</v>
      </c>
      <c r="F24" t="s">
        <v>56</v>
      </c>
      <c r="G24" t="s">
        <v>14</v>
      </c>
      <c r="I24" t="s">
        <v>15</v>
      </c>
    </row>
    <row r="25" spans="1:9">
      <c r="A25">
        <v>0</v>
      </c>
      <c r="B25" t="s">
        <v>57</v>
      </c>
      <c r="C25">
        <v>3089.381693307917</v>
      </c>
      <c r="D25" t="s">
        <v>58</v>
      </c>
      <c r="E25" t="s">
        <v>12</v>
      </c>
      <c r="F25" t="s">
        <v>59</v>
      </c>
      <c r="G25" t="s">
        <v>14</v>
      </c>
      <c r="H25" t="s">
        <v>60</v>
      </c>
      <c r="I25" t="s">
        <v>15</v>
      </c>
    </row>
    <row r="26" spans="1:9">
      <c r="A26">
        <v>0</v>
      </c>
      <c r="B26" t="s">
        <v>42</v>
      </c>
      <c r="C26">
        <v>1.3073180622268059</v>
      </c>
      <c r="D26" t="s">
        <v>11</v>
      </c>
      <c r="E26" t="s">
        <v>61</v>
      </c>
      <c r="F26" t="s">
        <v>62</v>
      </c>
      <c r="G26" t="s">
        <v>14</v>
      </c>
      <c r="I26" t="s">
        <v>15</v>
      </c>
    </row>
    <row r="27" spans="1:9">
      <c r="A27">
        <v>0</v>
      </c>
      <c r="B27" t="s">
        <v>63</v>
      </c>
      <c r="C27">
        <v>196.04889265006346</v>
      </c>
      <c r="E27" t="s">
        <v>12</v>
      </c>
      <c r="F27" t="s">
        <v>64</v>
      </c>
      <c r="G27" t="s">
        <v>22</v>
      </c>
      <c r="I27" t="s">
        <v>15</v>
      </c>
    </row>
    <row r="28" spans="1:9">
      <c r="A28">
        <v>0</v>
      </c>
      <c r="B28" t="s">
        <v>65</v>
      </c>
      <c r="C28">
        <v>235.62175821907454</v>
      </c>
      <c r="E28" t="s">
        <v>12</v>
      </c>
      <c r="F28" t="s">
        <v>66</v>
      </c>
      <c r="G28" t="s">
        <v>22</v>
      </c>
      <c r="I28" t="s">
        <v>15</v>
      </c>
    </row>
    <row r="29" spans="1:9">
      <c r="A29">
        <v>0</v>
      </c>
      <c r="B29" t="s">
        <v>67</v>
      </c>
      <c r="C29">
        <v>2.4415104854751002</v>
      </c>
      <c r="D29" t="s">
        <v>11</v>
      </c>
      <c r="E29" t="s">
        <v>18</v>
      </c>
      <c r="F29" t="s">
        <v>68</v>
      </c>
      <c r="G29" t="s">
        <v>14</v>
      </c>
      <c r="I29" t="s">
        <v>15</v>
      </c>
    </row>
    <row r="30" spans="1:9">
      <c r="A30">
        <v>0</v>
      </c>
      <c r="B30" t="s">
        <v>69</v>
      </c>
      <c r="C30">
        <v>428.70981305279656</v>
      </c>
      <c r="D30" t="s">
        <v>11</v>
      </c>
      <c r="E30" t="s">
        <v>18</v>
      </c>
      <c r="F30" t="s">
        <v>70</v>
      </c>
      <c r="G30" t="s">
        <v>14</v>
      </c>
      <c r="I30" t="s">
        <v>15</v>
      </c>
    </row>
    <row r="31" spans="1:9">
      <c r="A31">
        <v>0</v>
      </c>
      <c r="B31" t="s">
        <v>71</v>
      </c>
      <c r="C31">
        <v>3690.7899950249839</v>
      </c>
      <c r="D31" t="s">
        <v>11</v>
      </c>
      <c r="E31" t="s">
        <v>12</v>
      </c>
      <c r="F31" t="s">
        <v>72</v>
      </c>
      <c r="G31" t="s">
        <v>14</v>
      </c>
      <c r="I31" t="s">
        <v>15</v>
      </c>
    </row>
    <row r="32" spans="1:9">
      <c r="A32">
        <v>0</v>
      </c>
      <c r="B32" t="s">
        <v>73</v>
      </c>
      <c r="C32">
        <v>834.19357209247164</v>
      </c>
      <c r="D32" t="s">
        <v>11</v>
      </c>
      <c r="E32" t="s">
        <v>18</v>
      </c>
      <c r="F32" t="s">
        <v>74</v>
      </c>
      <c r="G32" t="s">
        <v>14</v>
      </c>
      <c r="I32" t="s">
        <v>15</v>
      </c>
    </row>
    <row r="33" spans="1:9">
      <c r="A33">
        <v>0</v>
      </c>
      <c r="B33" t="s">
        <v>75</v>
      </c>
      <c r="C33">
        <v>3912.984556519787</v>
      </c>
      <c r="D33" t="s">
        <v>11</v>
      </c>
      <c r="E33" t="s">
        <v>12</v>
      </c>
      <c r="F33" t="s">
        <v>76</v>
      </c>
      <c r="G33" t="s">
        <v>14</v>
      </c>
      <c r="I33" t="s">
        <v>15</v>
      </c>
    </row>
    <row r="34" spans="1:9">
      <c r="A34">
        <v>0</v>
      </c>
      <c r="B34" t="s">
        <v>77</v>
      </c>
      <c r="C34">
        <v>649.17256999130768</v>
      </c>
      <c r="D34" t="s">
        <v>11</v>
      </c>
      <c r="E34" t="s">
        <v>12</v>
      </c>
      <c r="F34" t="s">
        <v>78</v>
      </c>
      <c r="G34" t="s">
        <v>14</v>
      </c>
      <c r="I34" t="s">
        <v>15</v>
      </c>
    </row>
    <row r="35" spans="1:9">
      <c r="A35">
        <v>0</v>
      </c>
      <c r="B35" t="s">
        <v>79</v>
      </c>
      <c r="C35">
        <v>1361.5683715542168</v>
      </c>
      <c r="D35" t="s">
        <v>11</v>
      </c>
      <c r="E35" t="s">
        <v>18</v>
      </c>
      <c r="F35" t="s">
        <v>80</v>
      </c>
      <c r="G35" t="s">
        <v>14</v>
      </c>
      <c r="I35" t="s">
        <v>15</v>
      </c>
    </row>
    <row r="36" spans="1:9">
      <c r="A36">
        <v>0</v>
      </c>
      <c r="B36" t="s">
        <v>81</v>
      </c>
      <c r="C36">
        <v>0.69246472947015603</v>
      </c>
      <c r="D36" t="s">
        <v>11</v>
      </c>
      <c r="E36" t="s">
        <v>61</v>
      </c>
      <c r="F36" t="s">
        <v>82</v>
      </c>
      <c r="G36" t="s">
        <v>14</v>
      </c>
      <c r="I36" t="s">
        <v>15</v>
      </c>
    </row>
    <row r="37" spans="1:9">
      <c r="A37">
        <v>0</v>
      </c>
      <c r="B37" t="s">
        <v>71</v>
      </c>
      <c r="C37">
        <v>1758.3898268554435</v>
      </c>
      <c r="D37" t="s">
        <v>11</v>
      </c>
      <c r="E37" t="s">
        <v>18</v>
      </c>
      <c r="F37" t="s">
        <v>83</v>
      </c>
      <c r="G37" t="s">
        <v>14</v>
      </c>
      <c r="I37" t="s">
        <v>15</v>
      </c>
    </row>
    <row r="38" spans="1:9">
      <c r="A38">
        <v>0</v>
      </c>
      <c r="B38" t="s">
        <v>84</v>
      </c>
      <c r="C38">
        <v>393.41542784511353</v>
      </c>
      <c r="D38" t="s">
        <v>11</v>
      </c>
      <c r="E38" t="s">
        <v>18</v>
      </c>
      <c r="F38" t="s">
        <v>85</v>
      </c>
      <c r="G38" t="s">
        <v>14</v>
      </c>
      <c r="I38" t="s">
        <v>15</v>
      </c>
    </row>
    <row r="39" spans="1:9">
      <c r="A39">
        <v>0</v>
      </c>
      <c r="B39" t="s">
        <v>75</v>
      </c>
      <c r="C39">
        <v>2175.3116667598338</v>
      </c>
      <c r="D39" t="s">
        <v>11</v>
      </c>
      <c r="E39" t="s">
        <v>18</v>
      </c>
      <c r="F39" t="s">
        <v>86</v>
      </c>
      <c r="G39" t="s">
        <v>14</v>
      </c>
      <c r="I39" t="s">
        <v>15</v>
      </c>
    </row>
    <row r="40" spans="1:9">
      <c r="A40">
        <v>0</v>
      </c>
      <c r="B40" t="s">
        <v>31</v>
      </c>
      <c r="C40">
        <v>42.417437954123159</v>
      </c>
      <c r="E40" t="s">
        <v>12</v>
      </c>
      <c r="F40" t="s">
        <v>33</v>
      </c>
      <c r="G40" t="s">
        <v>22</v>
      </c>
      <c r="I40" t="s">
        <v>15</v>
      </c>
    </row>
    <row r="41" spans="1:9">
      <c r="A41">
        <v>0</v>
      </c>
      <c r="B41" t="s">
        <v>23</v>
      </c>
      <c r="C41">
        <v>993.57995549259749</v>
      </c>
      <c r="D41" t="s">
        <v>11</v>
      </c>
      <c r="E41" t="s">
        <v>12</v>
      </c>
      <c r="F41" t="s">
        <v>87</v>
      </c>
      <c r="G41" t="s">
        <v>14</v>
      </c>
      <c r="I41" t="s">
        <v>15</v>
      </c>
    </row>
    <row r="42" spans="1:9">
      <c r="A42">
        <v>0</v>
      </c>
      <c r="B42" t="s">
        <v>88</v>
      </c>
      <c r="C42">
        <v>199.16273370792447</v>
      </c>
      <c r="E42" t="s">
        <v>12</v>
      </c>
      <c r="F42" t="s">
        <v>89</v>
      </c>
      <c r="G42" t="s">
        <v>22</v>
      </c>
      <c r="I42" t="s">
        <v>15</v>
      </c>
    </row>
    <row r="43" spans="1:9">
      <c r="A43">
        <v>0</v>
      </c>
      <c r="B43" t="s">
        <v>90</v>
      </c>
      <c r="C43">
        <v>67.229329678899106</v>
      </c>
      <c r="D43" t="s">
        <v>11</v>
      </c>
      <c r="E43" t="s">
        <v>12</v>
      </c>
      <c r="F43" t="s">
        <v>91</v>
      </c>
      <c r="G43" t="s">
        <v>14</v>
      </c>
      <c r="I43" t="s">
        <v>15</v>
      </c>
    </row>
    <row r="44" spans="1:9">
      <c r="A44">
        <v>0</v>
      </c>
      <c r="B44" t="s">
        <v>81</v>
      </c>
      <c r="C44">
        <v>3008.9531053586088</v>
      </c>
      <c r="D44" t="s">
        <v>11</v>
      </c>
      <c r="E44" t="s">
        <v>12</v>
      </c>
      <c r="F44" t="s">
        <v>92</v>
      </c>
      <c r="G44" t="s">
        <v>14</v>
      </c>
      <c r="I44" t="s">
        <v>15</v>
      </c>
    </row>
    <row r="45" spans="1:9">
      <c r="A45">
        <v>0</v>
      </c>
      <c r="B45" t="s">
        <v>93</v>
      </c>
      <c r="C45">
        <v>301.83282090295063</v>
      </c>
      <c r="D45" t="s">
        <v>11</v>
      </c>
      <c r="E45" t="s">
        <v>18</v>
      </c>
      <c r="F45" t="s">
        <v>94</v>
      </c>
      <c r="G45" t="s">
        <v>14</v>
      </c>
      <c r="I45" t="s">
        <v>15</v>
      </c>
    </row>
    <row r="46" spans="1:9">
      <c r="A46">
        <v>0</v>
      </c>
      <c r="B46" t="s">
        <v>95</v>
      </c>
      <c r="C46">
        <v>217.64093068132055</v>
      </c>
      <c r="E46" t="s">
        <v>12</v>
      </c>
      <c r="F46" t="s">
        <v>96</v>
      </c>
      <c r="G46" t="s">
        <v>22</v>
      </c>
      <c r="I46" t="s">
        <v>15</v>
      </c>
    </row>
    <row r="47" spans="1:9">
      <c r="A47">
        <v>0</v>
      </c>
      <c r="B47" t="s">
        <v>97</v>
      </c>
      <c r="C47">
        <v>2982.7546091161134</v>
      </c>
      <c r="D47" t="s">
        <v>11</v>
      </c>
      <c r="E47" t="s">
        <v>12</v>
      </c>
      <c r="F47" t="s">
        <v>98</v>
      </c>
      <c r="G47" t="s">
        <v>14</v>
      </c>
      <c r="I47" t="s">
        <v>15</v>
      </c>
    </row>
    <row r="48" spans="1:9">
      <c r="C48" s="19"/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27</vt:i4>
      </vt:variant>
      <vt:variant>
        <vt:lpstr>Intervalos Nomeados</vt:lpstr>
      </vt:variant>
      <vt:variant>
        <vt:i4>19</vt:i4>
      </vt:variant>
    </vt:vector>
  </HeadingPairs>
  <TitlesOfParts>
    <vt:vector size="46" baseType="lpstr">
      <vt:lpstr>SÍNTESE</vt:lpstr>
      <vt:lpstr>TR</vt:lpstr>
      <vt:lpstr>1.VARRICAO_MAN</vt:lpstr>
      <vt:lpstr>2.ROC_MEC_CAP_RASP</vt:lpstr>
      <vt:lpstr>3.PINTURA_MEIO-FIO</vt:lpstr>
      <vt:lpstr>6.DISP. DRENAGEM</vt:lpstr>
      <vt:lpstr>7.PODA</vt:lpstr>
      <vt:lpstr>8.LIMP. RCC E RVOL</vt:lpstr>
      <vt:lpstr>4.LIMP_EVENTOS</vt:lpstr>
      <vt:lpstr>ANEXO_I_SINTESE_COMPOSICAO_CUST</vt:lpstr>
      <vt:lpstr>ANEXO_II_CRONOGRAMA_FF</vt:lpstr>
      <vt:lpstr>ANEXO_IIIa_COLETA_TRANSP_SEDE</vt:lpstr>
      <vt:lpstr>ANEXO_IIIb_CONTEINERES</vt:lpstr>
      <vt:lpstr>ANEXO_IIIc_COLETA_DISTRITOS</vt:lpstr>
      <vt:lpstr>ANEXO_IIId_BDI</vt:lpstr>
      <vt:lpstr>ANEXO_IIIe_ENCARGOS_SOCIAIS</vt:lpstr>
      <vt:lpstr>6.ADM</vt:lpstr>
      <vt:lpstr>QuadroII-NR4</vt:lpstr>
      <vt:lpstr>VARRICAO</vt:lpstr>
      <vt:lpstr>TRATOR</vt:lpstr>
      <vt:lpstr>COSTAL</vt:lpstr>
      <vt:lpstr>RH</vt:lpstr>
      <vt:lpstr>RM</vt:lpstr>
      <vt:lpstr>VEÍCULOS</vt:lpstr>
      <vt:lpstr>COTAÇÕES</vt:lpstr>
      <vt:lpstr>FUNCIONÁRIOS</vt:lpstr>
      <vt:lpstr>SEGUNDA</vt:lpstr>
      <vt:lpstr>'1.VARRICAO_MAN'!Area_de_impressao</vt:lpstr>
      <vt:lpstr>'2.ROC_MEC_CAP_RASP'!Area_de_impressao</vt:lpstr>
      <vt:lpstr>'3.PINTURA_MEIO-FIO'!Area_de_impressao</vt:lpstr>
      <vt:lpstr>'4.LIMP_EVENTOS'!Area_de_impressao</vt:lpstr>
      <vt:lpstr>'6.ADM'!Area_de_impressao</vt:lpstr>
      <vt:lpstr>'6.DISP. DRENAGEM'!Area_de_impressao</vt:lpstr>
      <vt:lpstr>'7.PODA'!Area_de_impressao</vt:lpstr>
      <vt:lpstr>'8.LIMP. RCC E RVOL'!Area_de_impressao</vt:lpstr>
      <vt:lpstr>ANEXO_I_SINTESE_COMPOSICAO_CUST!Area_de_impressao</vt:lpstr>
      <vt:lpstr>ANEXO_II_CRONOGRAMA_FF!Area_de_impressao</vt:lpstr>
      <vt:lpstr>ANEXO_IIIa_COLETA_TRANSP_SEDE!Area_de_impressao</vt:lpstr>
      <vt:lpstr>ANEXO_IIIb_CONTEINERES!Area_de_impressao</vt:lpstr>
      <vt:lpstr>ANEXO_IIIc_COLETA_DISTRITOS!Area_de_impressao</vt:lpstr>
      <vt:lpstr>ANEXO_IIId_BDI!Area_de_impressao</vt:lpstr>
      <vt:lpstr>ANEXO_IIIe_ENCARGOS_SOCIAIS!Area_de_impressao</vt:lpstr>
      <vt:lpstr>RH!Area_de_impressao</vt:lpstr>
      <vt:lpstr>SÍNTESE!Area_de_impressao</vt:lpstr>
      <vt:lpstr>'1.VARRICAO_MAN'!Titulos_de_impressao</vt:lpstr>
      <vt:lpstr>RH!Titulos_de_impressao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matheus</dc:creator>
  <cp:lastModifiedBy>Usuario</cp:lastModifiedBy>
  <cp:lastPrinted>2021-09-23T19:55:35Z</cp:lastPrinted>
  <dcterms:created xsi:type="dcterms:W3CDTF">2019-11-12T19:44:34Z</dcterms:created>
  <dcterms:modified xsi:type="dcterms:W3CDTF">2025-07-07T13:07:03Z</dcterms:modified>
</cp:coreProperties>
</file>