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EstaPasta_de_trabalho" defaultThemeVersion="124226"/>
  <mc:AlternateContent xmlns:mc="http://schemas.openxmlformats.org/markup-compatibility/2006">
    <mc:Choice Requires="x15">
      <x15ac:absPath xmlns:x15ac="http://schemas.microsoft.com/office/spreadsheetml/2010/11/ac" url="Z:\MENSAL\PM APARECIDA DO TABOADO\INFRAESTRUTURA\BAIRRO PRIMAVERA\1ª ETAPA\Projetos\Enviados\Envio 01\"/>
    </mc:Choice>
  </mc:AlternateContent>
  <xr:revisionPtr revIDLastSave="0" documentId="13_ncr:1_{DD763C88-332E-4333-8203-37DD4971CBEE}" xr6:coauthVersionLast="47" xr6:coauthVersionMax="47" xr10:uidLastSave="{00000000-0000-0000-0000-000000000000}"/>
  <bookViews>
    <workbookView xWindow="-120" yWindow="-120" windowWidth="29040" windowHeight="15720" tabRatio="947" firstSheet="2" activeTab="2" xr2:uid="{00000000-000D-0000-FFFF-FFFF00000000}"/>
  </bookViews>
  <sheets>
    <sheet name="DADOS" sheetId="102" r:id="rId1"/>
    <sheet name="Resumo DMT's" sheetId="151" r:id="rId2"/>
    <sheet name="Orçamento" sheetId="1" r:id="rId3"/>
    <sheet name="BDI SERVIÇO" sheetId="153" state="hidden" r:id="rId4"/>
    <sheet name="Tabela Resumo" sheetId="51" r:id="rId5"/>
    <sheet name="Cronograma" sheetId="53" r:id="rId6"/>
    <sheet name="Serv. Preliminares" sheetId="62" r:id="rId7"/>
    <sheet name="Dre-Dim" sheetId="182" r:id="rId8"/>
    <sheet name="Dre-Terraplenagem" sheetId="183" r:id="rId9"/>
    <sheet name="Dre-Disp. Estruturais" sheetId="184" r:id="rId10"/>
    <sheet name="Cubação - TopoGRAPH" sheetId="52" r:id="rId11"/>
    <sheet name="Pav-Terrapl" sheetId="67" r:id="rId12"/>
    <sheet name="Pav-Pavimento" sheetId="66" r:id="rId13"/>
    <sheet name="Serv. Complementares" sheetId="65" r:id="rId14"/>
    <sheet name="Passeio com Acessibilidade" sheetId="64" r:id="rId15"/>
    <sheet name="Sinalização" sheetId="54" r:id="rId16"/>
    <sheet name="DR-05 - Comp. PV-1" sheetId="141" r:id="rId17"/>
    <sheet name="DR-17 - Comp. BLSC" sheetId="133" r:id="rId18"/>
    <sheet name="IM-01 - Comp. Imprimação" sheetId="147" r:id="rId19"/>
    <sheet name="AP-01 - Comp. Aplic. CBUQ" sheetId="160" r:id="rId20"/>
    <sheet name="SC-01 - Comp. MF com Sarj" sheetId="123" r:id="rId21"/>
    <sheet name="SC-04 - Comp. Tento" sheetId="120" r:id="rId22"/>
    <sheet name="AC-01 - Comp. Prep. Manual" sheetId="118" r:id="rId23"/>
    <sheet name="AC-04 - Comp. Rampa 03" sheetId="178" r:id="rId24"/>
    <sheet name="PR-01 - Comp. Recorte" sheetId="115" r:id="rId25"/>
    <sheet name="SV-01 - Comp. Placa 0,36m²" sheetId="113" r:id="rId26"/>
    <sheet name="SV-02 - Comp. Pl. Lograd" sheetId="112" r:id="rId27"/>
    <sheet name="SV-03 - Comp. Suporte" sheetId="111" r:id="rId28"/>
  </sheets>
  <externalReferences>
    <externalReference r:id="rId29"/>
  </externalReferences>
  <definedNames>
    <definedName name="ACOMPANHAMENTO" hidden="1">IF(VALUE([1]MENU!$O$4)=2,"BM","PLE")</definedName>
    <definedName name="_xlnm.Print_Area" localSheetId="22">'AC-01 - Comp. Prep. Manual'!$B$2:$I$40</definedName>
    <definedName name="_xlnm.Print_Area" localSheetId="23">'AC-04 - Comp. Rampa 03'!$B$2:$I$42</definedName>
    <definedName name="_xlnm.Print_Area" localSheetId="19">'AP-01 - Comp. Aplic. CBUQ'!$B$2:$I$45</definedName>
    <definedName name="_xlnm.Print_Area" localSheetId="3">'BDI SERVIÇO'!$B$2:$H$67</definedName>
    <definedName name="_xlnm.Print_Area" localSheetId="5">Cronograma!$B$2:$O$57</definedName>
    <definedName name="_xlnm.Print_Area" localSheetId="10">'Cubação - TopoGRAPH'!$B$2:$G$22</definedName>
    <definedName name="_xlnm.Print_Area" localSheetId="0">DADOS!$B$2:$C$15</definedName>
    <definedName name="_xlnm.Print_Area" localSheetId="16">'DR-05 - Comp. PV-1'!$B$2:$I$52</definedName>
    <definedName name="_xlnm.Print_Area" localSheetId="17">'DR-17 - Comp. BLSC'!$B$2:$I$49</definedName>
    <definedName name="_xlnm.Print_Area" localSheetId="7">'Dre-Dim'!$B$1:$AD$105</definedName>
    <definedName name="_xlnm.Print_Area" localSheetId="9">'Dre-Disp. Estruturais'!$B$2:$O$60</definedName>
    <definedName name="_xlnm.Print_Area" localSheetId="8">'Dre-Terraplenagem'!$B$2:$Q$81</definedName>
    <definedName name="_xlnm.Print_Area" localSheetId="18">'IM-01 - Comp. Imprimação'!$B$2:$I$43</definedName>
    <definedName name="_xlnm.Print_Area" localSheetId="2">Orçamento!$B$2:$L$178</definedName>
    <definedName name="_xlnm.Print_Area" localSheetId="14">'Passeio com Acessibilidade'!$B$2:$P$38</definedName>
    <definedName name="_xlnm.Print_Area" localSheetId="12">'Pav-Pavimento'!$B$2:$Q$40</definedName>
    <definedName name="_xlnm.Print_Area" localSheetId="11">'Pav-Terrapl'!$B$2:$P$23</definedName>
    <definedName name="_xlnm.Print_Area" localSheetId="24">'PR-01 - Comp. Recorte'!$B$2:$I$41</definedName>
    <definedName name="_xlnm.Print_Area" localSheetId="1">'Resumo DMT''s'!$B$2:$E$20</definedName>
    <definedName name="_xlnm.Print_Area" localSheetId="20">'SC-01 - Comp. MF com Sarj'!$B$2:$I$46</definedName>
    <definedName name="_xlnm.Print_Area" localSheetId="21">'SC-04 - Comp. Tento'!$B$2:$I$45</definedName>
    <definedName name="_xlnm.Print_Area" localSheetId="13">'Serv. Complementares'!$B$2:$P$17</definedName>
    <definedName name="_xlnm.Print_Area" localSheetId="6">'Serv. Preliminares'!$B$2:$J$14</definedName>
    <definedName name="_xlnm.Print_Area" localSheetId="15">Sinalização!$B$2:$Q$32</definedName>
    <definedName name="_xlnm.Print_Area" localSheetId="25">'SV-01 - Comp. Placa 0,36m²'!$B$2:$I$47</definedName>
    <definedName name="_xlnm.Print_Area" localSheetId="26">'SV-02 - Comp. Pl. Lograd'!$B$2:$I$42</definedName>
    <definedName name="_xlnm.Print_Area" localSheetId="27">'SV-03 - Comp. Suporte'!$B$2:$I$45</definedName>
    <definedName name="_xlnm.Print_Area" localSheetId="4">'Tabela Resumo'!$B$2:$F$21</definedName>
    <definedName name="AUTOEVENTO" hidden="1">[1]CÁLCULO!$A$12</definedName>
    <definedName name="LINHA7" localSheetId="22">#REF!</definedName>
    <definedName name="LINHA7" localSheetId="23">#REF!</definedName>
    <definedName name="LINHA7" localSheetId="19">#REF!</definedName>
    <definedName name="LINHA7" localSheetId="3">#REF!</definedName>
    <definedName name="LINHA7" localSheetId="16">#REF!</definedName>
    <definedName name="LINHA7" localSheetId="17">#REF!</definedName>
    <definedName name="LINHA7" localSheetId="18">#REF!</definedName>
    <definedName name="LINHA7" localSheetId="24">#REF!</definedName>
    <definedName name="LINHA7" localSheetId="20">#REF!</definedName>
    <definedName name="LINHA7" localSheetId="21">#REF!</definedName>
    <definedName name="LINHA7" localSheetId="25">#REF!</definedName>
    <definedName name="LINHA7" localSheetId="26">#REF!</definedName>
    <definedName name="LINHA7" localSheetId="27">#REF!</definedName>
    <definedName name="LINHA7">#REF!</definedName>
    <definedName name="Print_Area_MI">#REF!</definedName>
    <definedName name="_xlnm.Print_Titles" localSheetId="5">Cronograma!$B:$F,Cronograma!$2:$6</definedName>
    <definedName name="_xlnm.Print_Titles" localSheetId="10">'Cubação - TopoGRAPH'!$B:$B,'Cubação - TopoGRAPH'!$2:$6</definedName>
    <definedName name="_xlnm.Print_Titles" localSheetId="9">'Dre-Disp. Estruturais'!$B:$F,'Dre-Disp. Estruturais'!$2:$6</definedName>
    <definedName name="_xlnm.Print_Titles" localSheetId="8">'Dre-Terraplenagem'!$B:$F,'Dre-Terraplenagem'!$2:$6</definedName>
    <definedName name="_xlnm.Print_Titles" localSheetId="2">Orçamento!$2:$12</definedName>
    <definedName name="_xlnm.Print_Titles" localSheetId="14">'Passeio com Acessibilidade'!$B:$F,'Passeio com Acessibilidade'!$2:$6</definedName>
    <definedName name="_xlnm.Print_Titles" localSheetId="12">'Pav-Pavimento'!$B:$G,'Pav-Pavimento'!$2:$6</definedName>
    <definedName name="_xlnm.Print_Titles" localSheetId="11">'Pav-Terrapl'!$B:$F,'Pav-Terrapl'!$2:$6</definedName>
    <definedName name="_xlnm.Print_Titles" localSheetId="13">'Serv. Complementares'!$B:$F,'Serv. Complementares'!$2:$6</definedName>
    <definedName name="_xlnm.Print_Titles" localSheetId="6">'Serv. Preliminares'!$B:$F,'Serv. Preliminares'!$2:$6</definedName>
    <definedName name="_xlnm.Print_Titles" localSheetId="15">Sinalização!$B:$G,Sinalização!$2:$6</definedName>
    <definedName name="Z_0B914F5C_7316_4563_8D6F_D6875F91F0FA_.wvu.Cols" localSheetId="3" hidden="1">'BDI SERVIÇO'!$J:$K,'BDI SERVIÇO'!$O:$AT</definedName>
    <definedName name="Z_0B914F5C_7316_4563_8D6F_D6875F91F0FA_.wvu.PrintArea" localSheetId="3" hidden="1">'BDI SERVIÇO'!$B$2:$H$61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70" i="1" l="1"/>
  <c r="K165" i="1" l="1"/>
  <c r="K150" i="1"/>
  <c r="K164" i="1"/>
  <c r="K163" i="1"/>
  <c r="K160" i="1"/>
  <c r="K159" i="1"/>
  <c r="K76" i="1"/>
  <c r="K75" i="1"/>
  <c r="K74" i="1"/>
  <c r="K70" i="1"/>
  <c r="K69" i="1"/>
  <c r="K73" i="1"/>
  <c r="M36" i="184"/>
  <c r="L36" i="184"/>
  <c r="K36" i="184"/>
  <c r="J36" i="184"/>
  <c r="I36" i="184"/>
  <c r="H36" i="184"/>
  <c r="M35" i="184"/>
  <c r="L35" i="184"/>
  <c r="K35" i="184"/>
  <c r="J35" i="184"/>
  <c r="I35" i="184"/>
  <c r="H35" i="184"/>
  <c r="M34" i="184"/>
  <c r="L34" i="184"/>
  <c r="K34" i="184"/>
  <c r="J34" i="184"/>
  <c r="I34" i="184"/>
  <c r="H34" i="184"/>
  <c r="M33" i="184"/>
  <c r="L33" i="184"/>
  <c r="K33" i="184"/>
  <c r="J33" i="184"/>
  <c r="I33" i="184"/>
  <c r="H33" i="184"/>
  <c r="G36" i="184"/>
  <c r="G35" i="184"/>
  <c r="G34" i="184"/>
  <c r="Q33" i="184"/>
  <c r="R12" i="65"/>
  <c r="K116" i="1" l="1"/>
  <c r="R17" i="53" l="1"/>
  <c r="R18" i="53"/>
  <c r="R19" i="53"/>
  <c r="R20" i="53"/>
  <c r="R11" i="53"/>
  <c r="R12" i="53"/>
  <c r="R13" i="53"/>
  <c r="R14" i="53"/>
  <c r="R15" i="53"/>
  <c r="R16" i="53"/>
  <c r="K99" i="1"/>
  <c r="I175" i="1"/>
  <c r="I174" i="1"/>
  <c r="I173" i="1"/>
  <c r="I172" i="1"/>
  <c r="I171" i="1"/>
  <c r="I170" i="1"/>
  <c r="I165" i="1"/>
  <c r="I164" i="1"/>
  <c r="I163" i="1"/>
  <c r="I160" i="1"/>
  <c r="I159" i="1"/>
  <c r="I152" i="1"/>
  <c r="I151" i="1"/>
  <c r="I150" i="1"/>
  <c r="I147" i="1"/>
  <c r="I146" i="1"/>
  <c r="I145" i="1"/>
  <c r="I144" i="1"/>
  <c r="I141" i="1"/>
  <c r="I140" i="1"/>
  <c r="I139" i="1"/>
  <c r="I138" i="1"/>
  <c r="I135" i="1"/>
  <c r="P171" i="1" l="1"/>
  <c r="P172" i="1" s="1"/>
  <c r="P173" i="1" s="1"/>
  <c r="P174" i="1" s="1"/>
  <c r="P175" i="1" s="1"/>
  <c r="H10" i="184" l="1"/>
  <c r="G23" i="184"/>
  <c r="I23" i="184"/>
  <c r="I12" i="64"/>
  <c r="M12" i="64"/>
  <c r="L12" i="64"/>
  <c r="N12" i="64"/>
  <c r="K12" i="64"/>
  <c r="J12" i="64"/>
  <c r="K23" i="184"/>
  <c r="L23" i="184"/>
  <c r="M23" i="184"/>
  <c r="R29" i="53"/>
  <c r="R46" i="53" s="1"/>
  <c r="R30" i="53"/>
  <c r="R47" i="53" s="1"/>
  <c r="R31" i="53"/>
  <c r="R48" i="53" s="1"/>
  <c r="R32" i="53"/>
  <c r="R49" i="53" s="1"/>
  <c r="R33" i="53"/>
  <c r="R50" i="53" s="1"/>
  <c r="R34" i="53"/>
  <c r="R51" i="53" s="1"/>
  <c r="R35" i="53"/>
  <c r="R52" i="53" s="1"/>
  <c r="R36" i="53"/>
  <c r="R53" i="53" s="1"/>
  <c r="R28" i="53"/>
  <c r="R45" i="53" s="1"/>
  <c r="G160" i="1"/>
  <c r="G12" i="64"/>
  <c r="O32" i="54"/>
  <c r="O31" i="54"/>
  <c r="O24" i="54"/>
  <c r="O21" i="54"/>
  <c r="O18" i="54"/>
  <c r="O14" i="54"/>
  <c r="N32" i="54"/>
  <c r="N31" i="54"/>
  <c r="N24" i="54"/>
  <c r="N21" i="54"/>
  <c r="N18" i="54"/>
  <c r="N14" i="54"/>
  <c r="M32" i="54"/>
  <c r="M31" i="54"/>
  <c r="M24" i="54"/>
  <c r="M21" i="54"/>
  <c r="M18" i="54"/>
  <c r="M14" i="54"/>
  <c r="H15" i="65" l="1"/>
  <c r="I15" i="65"/>
  <c r="J15" i="65"/>
  <c r="K15" i="65"/>
  <c r="L15" i="65"/>
  <c r="M15" i="65"/>
  <c r="N15" i="65"/>
  <c r="G15" i="65"/>
  <c r="M58" i="184" l="1"/>
  <c r="L58" i="184"/>
  <c r="K58" i="184"/>
  <c r="J58" i="184"/>
  <c r="I58" i="184"/>
  <c r="H58" i="184"/>
  <c r="G58" i="184"/>
  <c r="I15" i="115"/>
  <c r="G14" i="62" l="1"/>
  <c r="J14" i="62" s="1"/>
  <c r="H33" i="64" l="1"/>
  <c r="I33" i="64"/>
  <c r="J33" i="64"/>
  <c r="K33" i="64"/>
  <c r="L33" i="64"/>
  <c r="L35" i="64" s="1"/>
  <c r="M33" i="64"/>
  <c r="M35" i="64" s="1"/>
  <c r="N33" i="64"/>
  <c r="N35" i="64" s="1"/>
  <c r="G33" i="64"/>
  <c r="G35" i="64" s="1"/>
  <c r="H35" i="64"/>
  <c r="I35" i="64"/>
  <c r="J35" i="64"/>
  <c r="K35" i="64"/>
  <c r="H12" i="64"/>
  <c r="H11" i="66"/>
  <c r="I11" i="66"/>
  <c r="O31" i="66" l="1"/>
  <c r="N31" i="66"/>
  <c r="M31" i="66"/>
  <c r="L31" i="66"/>
  <c r="K31" i="66"/>
  <c r="J31" i="66"/>
  <c r="I31" i="66"/>
  <c r="H31" i="66"/>
  <c r="H8" i="184" l="1"/>
  <c r="G45" i="184"/>
  <c r="D185" i="1" l="1"/>
  <c r="D13" i="51" s="1"/>
  <c r="D184" i="1"/>
  <c r="D12" i="51" s="1"/>
  <c r="C185" i="1"/>
  <c r="C13" i="51" s="1"/>
  <c r="C184" i="1"/>
  <c r="C12" i="51" s="1"/>
  <c r="C47" i="53" l="1"/>
  <c r="C30" i="53"/>
  <c r="C14" i="53"/>
  <c r="C31" i="53"/>
  <c r="C48" i="53"/>
  <c r="D14" i="53"/>
  <c r="D31" i="53"/>
  <c r="D48" i="53"/>
  <c r="D30" i="53"/>
  <c r="D47" i="53"/>
  <c r="E78" i="1"/>
  <c r="E64" i="1"/>
  <c r="C6" i="184" l="1"/>
  <c r="B6" i="184"/>
  <c r="C5" i="184"/>
  <c r="B5" i="184"/>
  <c r="C3" i="184"/>
  <c r="B3" i="184"/>
  <c r="C2" i="184"/>
  <c r="B2" i="184"/>
  <c r="C6" i="183"/>
  <c r="B6" i="183"/>
  <c r="C5" i="183"/>
  <c r="B5" i="183"/>
  <c r="C3" i="183"/>
  <c r="B3" i="183"/>
  <c r="C2" i="183"/>
  <c r="B2" i="183"/>
  <c r="E60" i="184"/>
  <c r="E76" i="1" s="1"/>
  <c r="E59" i="184"/>
  <c r="E75" i="1" s="1"/>
  <c r="E51" i="184"/>
  <c r="E62" i="1" s="1"/>
  <c r="E50" i="184"/>
  <c r="E61" i="1" s="1"/>
  <c r="E39" i="184"/>
  <c r="E56" i="1" s="1"/>
  <c r="E38" i="184"/>
  <c r="E55" i="1" s="1"/>
  <c r="E80" i="183" l="1"/>
  <c r="E35" i="1" s="1"/>
  <c r="E57" i="183"/>
  <c r="E56" i="183"/>
  <c r="G21" i="184" l="1"/>
  <c r="H21" i="184"/>
  <c r="I21" i="184"/>
  <c r="J21" i="184"/>
  <c r="K21" i="184"/>
  <c r="L21" i="184"/>
  <c r="M21" i="184"/>
  <c r="O23" i="184"/>
  <c r="G43" i="1" s="1"/>
  <c r="G28" i="184"/>
  <c r="H28" i="184"/>
  <c r="I28" i="184"/>
  <c r="J28" i="184"/>
  <c r="K28" i="184"/>
  <c r="L28" i="184"/>
  <c r="M28" i="184"/>
  <c r="G33" i="184"/>
  <c r="H45" i="184"/>
  <c r="I45" i="184"/>
  <c r="J45" i="184"/>
  <c r="K45" i="184"/>
  <c r="L45" i="184"/>
  <c r="M45" i="184"/>
  <c r="O56" i="184"/>
  <c r="G73" i="1" s="1"/>
  <c r="J60" i="184"/>
  <c r="K60" i="184"/>
  <c r="L60" i="184"/>
  <c r="G11" i="183"/>
  <c r="H11" i="183"/>
  <c r="H11" i="184" s="1"/>
  <c r="I11" i="183"/>
  <c r="I11" i="184" s="1"/>
  <c r="J11" i="183"/>
  <c r="J11" i="184" s="1"/>
  <c r="K11" i="183"/>
  <c r="K11" i="184" s="1"/>
  <c r="L11" i="183"/>
  <c r="L11" i="184" s="1"/>
  <c r="M11" i="183"/>
  <c r="M11" i="184" s="1"/>
  <c r="G12" i="183"/>
  <c r="G12" i="184" s="1"/>
  <c r="H12" i="183"/>
  <c r="H12" i="184" s="1"/>
  <c r="I12" i="183"/>
  <c r="I12" i="184" s="1"/>
  <c r="J12" i="183"/>
  <c r="J12" i="184" s="1"/>
  <c r="K12" i="183"/>
  <c r="K12" i="184" s="1"/>
  <c r="L12" i="183"/>
  <c r="L12" i="184" s="1"/>
  <c r="M12" i="183"/>
  <c r="M12" i="184" s="1"/>
  <c r="G13" i="183"/>
  <c r="G13" i="184" s="1"/>
  <c r="H13" i="183"/>
  <c r="H13" i="184" s="1"/>
  <c r="I13" i="183"/>
  <c r="I13" i="184" s="1"/>
  <c r="J13" i="183"/>
  <c r="J13" i="184" s="1"/>
  <c r="K13" i="183"/>
  <c r="K13" i="184" s="1"/>
  <c r="L13" i="183"/>
  <c r="L13" i="184" s="1"/>
  <c r="M13" i="183"/>
  <c r="M13" i="184" s="1"/>
  <c r="K14" i="183"/>
  <c r="K14" i="184" s="1"/>
  <c r="O14" i="183"/>
  <c r="O18" i="183" s="1"/>
  <c r="O17" i="183"/>
  <c r="G19" i="183"/>
  <c r="G19" i="184" s="1"/>
  <c r="H19" i="183"/>
  <c r="H19" i="184" s="1"/>
  <c r="I19" i="183"/>
  <c r="I19" i="184" s="1"/>
  <c r="J19" i="183"/>
  <c r="J19" i="184" s="1"/>
  <c r="K19" i="183"/>
  <c r="K19" i="184" s="1"/>
  <c r="L19" i="183"/>
  <c r="L19" i="184" s="1"/>
  <c r="M19" i="183"/>
  <c r="M19" i="184" s="1"/>
  <c r="O19" i="183"/>
  <c r="O27" i="183"/>
  <c r="M14" i="183" l="1"/>
  <c r="M14" i="184" s="1"/>
  <c r="G27" i="183"/>
  <c r="J14" i="183"/>
  <c r="J14" i="184" s="1"/>
  <c r="O23" i="183"/>
  <c r="O24" i="183" s="1"/>
  <c r="O20" i="183"/>
  <c r="O70" i="183" s="1"/>
  <c r="I52" i="184"/>
  <c r="I53" i="184" s="1"/>
  <c r="I49" i="184"/>
  <c r="H49" i="184"/>
  <c r="H51" i="184" s="1"/>
  <c r="H52" i="184"/>
  <c r="H53" i="184" s="1"/>
  <c r="M52" i="184"/>
  <c r="M53" i="184" s="1"/>
  <c r="M49" i="184"/>
  <c r="L52" i="184"/>
  <c r="L53" i="184" s="1"/>
  <c r="L49" i="184"/>
  <c r="L50" i="184" s="1"/>
  <c r="G52" i="184"/>
  <c r="G53" i="184" s="1"/>
  <c r="G49" i="184"/>
  <c r="G51" i="184" s="1"/>
  <c r="K49" i="184"/>
  <c r="K50" i="184" s="1"/>
  <c r="K52" i="184"/>
  <c r="K53" i="184" s="1"/>
  <c r="J49" i="184"/>
  <c r="J50" i="184" s="1"/>
  <c r="J52" i="184"/>
  <c r="J53" i="184" s="1"/>
  <c r="L14" i="183"/>
  <c r="L14" i="184" s="1"/>
  <c r="M27" i="183"/>
  <c r="L27" i="183"/>
  <c r="K27" i="183"/>
  <c r="J27" i="183"/>
  <c r="M18" i="183"/>
  <c r="M18" i="184" s="1"/>
  <c r="O10" i="183"/>
  <c r="O60" i="183" s="1"/>
  <c r="H14" i="183"/>
  <c r="H14" i="184" s="1"/>
  <c r="H27" i="183"/>
  <c r="K18" i="183"/>
  <c r="K18" i="184" s="1"/>
  <c r="O33" i="183"/>
  <c r="O34" i="183" s="1"/>
  <c r="O29" i="183"/>
  <c r="O25" i="183" s="1"/>
  <c r="I14" i="183"/>
  <c r="I14" i="184" s="1"/>
  <c r="I27" i="183"/>
  <c r="O72" i="183"/>
  <c r="O71" i="183"/>
  <c r="O26" i="183"/>
  <c r="O61" i="183"/>
  <c r="I60" i="184"/>
  <c r="H60" i="184"/>
  <c r="G60" i="184"/>
  <c r="M59" i="184"/>
  <c r="M60" i="184"/>
  <c r="O32" i="183"/>
  <c r="G11" i="184"/>
  <c r="G14" i="183"/>
  <c r="G14" i="184" s="1"/>
  <c r="J18" i="183"/>
  <c r="J18" i="184" s="1"/>
  <c r="L59" i="184"/>
  <c r="G59" i="184"/>
  <c r="H59" i="184"/>
  <c r="I59" i="184"/>
  <c r="J59" i="184"/>
  <c r="K59" i="184"/>
  <c r="O58" i="184"/>
  <c r="G74" i="1" s="1"/>
  <c r="I24" i="184"/>
  <c r="I25" i="184"/>
  <c r="I30" i="184" s="1"/>
  <c r="H24" i="184"/>
  <c r="H26" i="184"/>
  <c r="H31" i="184" s="1"/>
  <c r="O28" i="184"/>
  <c r="G49" i="1" s="1"/>
  <c r="O45" i="184"/>
  <c r="G59" i="1" s="1"/>
  <c r="M26" i="184"/>
  <c r="M31" i="184" s="1"/>
  <c r="L24" i="184"/>
  <c r="L26" i="184"/>
  <c r="L31" i="184" s="1"/>
  <c r="K26" i="184"/>
  <c r="K31" i="184" s="1"/>
  <c r="K25" i="184"/>
  <c r="K30" i="184" s="1"/>
  <c r="J25" i="184"/>
  <c r="J30" i="184" s="1"/>
  <c r="J26" i="184"/>
  <c r="J31" i="184" s="1"/>
  <c r="K10" i="183"/>
  <c r="L51" i="184" l="1"/>
  <c r="L18" i="183"/>
  <c r="L18" i="184" s="1"/>
  <c r="H50" i="184"/>
  <c r="K51" i="184"/>
  <c r="O73" i="183"/>
  <c r="O74" i="183" s="1"/>
  <c r="H18" i="183"/>
  <c r="H18" i="184" s="1"/>
  <c r="G50" i="184"/>
  <c r="O53" i="183"/>
  <c r="O55" i="183"/>
  <c r="J51" i="184"/>
  <c r="M50" i="184"/>
  <c r="M51" i="184"/>
  <c r="O48" i="183"/>
  <c r="O49" i="183"/>
  <c r="I18" i="183"/>
  <c r="I18" i="184" s="1"/>
  <c r="O31" i="183"/>
  <c r="O30" i="183" s="1"/>
  <c r="O53" i="184"/>
  <c r="G70" i="1" s="1"/>
  <c r="O52" i="184"/>
  <c r="G69" i="1" s="1"/>
  <c r="L10" i="183"/>
  <c r="I29" i="184"/>
  <c r="M10" i="184"/>
  <c r="L29" i="184"/>
  <c r="O49" i="184"/>
  <c r="G60" i="1" s="1"/>
  <c r="K10" i="184"/>
  <c r="G10" i="184"/>
  <c r="G25" i="184" s="1"/>
  <c r="G30" i="184" s="1"/>
  <c r="G18" i="183"/>
  <c r="G18" i="184" s="1"/>
  <c r="I51" i="184"/>
  <c r="I50" i="184"/>
  <c r="G24" i="184"/>
  <c r="G26" i="184"/>
  <c r="G31" i="184" s="1"/>
  <c r="I10" i="184"/>
  <c r="I26" i="184" s="1"/>
  <c r="I31" i="184" s="1"/>
  <c r="J10" i="184"/>
  <c r="H29" i="184"/>
  <c r="O60" i="184"/>
  <c r="G76" i="1" s="1"/>
  <c r="O35" i="183"/>
  <c r="O46" i="183"/>
  <c r="O47" i="183"/>
  <c r="O59" i="184"/>
  <c r="G75" i="1" s="1"/>
  <c r="O43" i="183" l="1"/>
  <c r="C69" i="1"/>
  <c r="O36" i="183"/>
  <c r="O45" i="183" s="1"/>
  <c r="O44" i="183" s="1"/>
  <c r="G37" i="184"/>
  <c r="I37" i="184"/>
  <c r="K24" i="184"/>
  <c r="K37" i="184" s="1"/>
  <c r="J24" i="184"/>
  <c r="J37" i="184" s="1"/>
  <c r="M24" i="184"/>
  <c r="M25" i="184"/>
  <c r="M30" i="184" s="1"/>
  <c r="O58" i="183"/>
  <c r="O56" i="183"/>
  <c r="O79" i="183"/>
  <c r="O57" i="183"/>
  <c r="O37" i="183"/>
  <c r="O50" i="183" s="1"/>
  <c r="O42" i="183"/>
  <c r="O41" i="183"/>
  <c r="O40" i="183"/>
  <c r="O50" i="184"/>
  <c r="G61" i="1" s="1"/>
  <c r="O31" i="184"/>
  <c r="G52" i="1" s="1"/>
  <c r="Q10" i="183"/>
  <c r="G10" i="62" s="1"/>
  <c r="O26" i="184"/>
  <c r="G46" i="1" s="1"/>
  <c r="O51" i="184"/>
  <c r="G62" i="1" s="1"/>
  <c r="G8" i="184"/>
  <c r="G29" i="184"/>
  <c r="H25" i="184"/>
  <c r="H37" i="184" s="1"/>
  <c r="L10" i="184"/>
  <c r="P23" i="64"/>
  <c r="G24" i="64"/>
  <c r="G25" i="64" s="1"/>
  <c r="H24" i="64"/>
  <c r="H25" i="64" s="1"/>
  <c r="I24" i="64"/>
  <c r="I25" i="64" s="1"/>
  <c r="J24" i="64"/>
  <c r="J25" i="64" s="1"/>
  <c r="K24" i="64"/>
  <c r="K25" i="64" s="1"/>
  <c r="L24" i="64"/>
  <c r="L25" i="64" s="1"/>
  <c r="M24" i="64"/>
  <c r="M25" i="64" s="1"/>
  <c r="N24" i="64"/>
  <c r="N25" i="64" s="1"/>
  <c r="M29" i="184" l="1"/>
  <c r="M37" i="184"/>
  <c r="M38" i="184" s="1"/>
  <c r="K29" i="184"/>
  <c r="K38" i="184"/>
  <c r="J29" i="184"/>
  <c r="L25" i="184"/>
  <c r="L37" i="184" s="1"/>
  <c r="O39" i="183"/>
  <c r="O69" i="183" s="1"/>
  <c r="O75" i="183" s="1"/>
  <c r="O76" i="183" s="1"/>
  <c r="O77" i="183" s="1"/>
  <c r="O81" i="183"/>
  <c r="O80" i="183"/>
  <c r="I38" i="184"/>
  <c r="I39" i="184"/>
  <c r="J38" i="184"/>
  <c r="J39" i="184"/>
  <c r="H15" i="183"/>
  <c r="O24" i="184"/>
  <c r="G44" i="1" s="1"/>
  <c r="H30" i="184"/>
  <c r="O10" i="184"/>
  <c r="K15" i="183"/>
  <c r="G38" i="184"/>
  <c r="G39" i="184"/>
  <c r="O25" i="184"/>
  <c r="G45" i="1" s="1"/>
  <c r="K39" i="184" l="1"/>
  <c r="L30" i="184"/>
  <c r="O30" i="184" s="1"/>
  <c r="G51" i="1" s="1"/>
  <c r="M39" i="184"/>
  <c r="H39" i="184"/>
  <c r="H38" i="184"/>
  <c r="H15" i="184"/>
  <c r="L38" i="184"/>
  <c r="L39" i="184"/>
  <c r="H16" i="183"/>
  <c r="H17" i="183" s="1"/>
  <c r="O29" i="184"/>
  <c r="G50" i="1" s="1"/>
  <c r="O37" i="184"/>
  <c r="K16" i="183"/>
  <c r="K17" i="183" s="1"/>
  <c r="K15" i="184"/>
  <c r="H17" i="184" l="1"/>
  <c r="H20" i="183"/>
  <c r="K17" i="184"/>
  <c r="K20" i="183"/>
  <c r="K16" i="184"/>
  <c r="K23" i="183"/>
  <c r="O39" i="184"/>
  <c r="G56" i="1" s="1"/>
  <c r="O38" i="184"/>
  <c r="G55" i="1" s="1"/>
  <c r="I8" i="184"/>
  <c r="J15" i="183"/>
  <c r="H16" i="184"/>
  <c r="H23" i="183"/>
  <c r="K20" i="184" l="1"/>
  <c r="K33" i="183"/>
  <c r="K29" i="183"/>
  <c r="K71" i="183"/>
  <c r="K72" i="183"/>
  <c r="K70" i="183"/>
  <c r="K67" i="183"/>
  <c r="H20" i="184"/>
  <c r="H33" i="183"/>
  <c r="H29" i="183"/>
  <c r="H70" i="183"/>
  <c r="H71" i="183"/>
  <c r="H67" i="183"/>
  <c r="H72" i="183"/>
  <c r="H24" i="183"/>
  <c r="H26" i="183" s="1"/>
  <c r="H55" i="183"/>
  <c r="H53" i="183"/>
  <c r="J15" i="184"/>
  <c r="K24" i="183"/>
  <c r="K26" i="183" s="1"/>
  <c r="K53" i="183"/>
  <c r="K55" i="183"/>
  <c r="J16" i="183"/>
  <c r="J17" i="183" s="1"/>
  <c r="K60" i="183" l="1"/>
  <c r="K25" i="183"/>
  <c r="H61" i="183"/>
  <c r="H60" i="183"/>
  <c r="H63" i="183"/>
  <c r="H64" i="183"/>
  <c r="H65" i="183"/>
  <c r="H66" i="183"/>
  <c r="K63" i="183"/>
  <c r="K64" i="183"/>
  <c r="K65" i="183"/>
  <c r="K66" i="183"/>
  <c r="J17" i="184"/>
  <c r="J20" i="183"/>
  <c r="H56" i="183"/>
  <c r="H57" i="183"/>
  <c r="H58" i="183"/>
  <c r="H79" i="183"/>
  <c r="K73" i="183"/>
  <c r="K74" i="183" s="1"/>
  <c r="H25" i="183"/>
  <c r="K58" i="183"/>
  <c r="K56" i="183"/>
  <c r="K57" i="183"/>
  <c r="K79" i="183"/>
  <c r="H73" i="183"/>
  <c r="H74" i="183" s="1"/>
  <c r="K61" i="183"/>
  <c r="K32" i="183"/>
  <c r="K48" i="183"/>
  <c r="K49" i="183"/>
  <c r="K34" i="183"/>
  <c r="J16" i="184"/>
  <c r="J23" i="183"/>
  <c r="H32" i="183"/>
  <c r="H34" i="183"/>
  <c r="H49" i="183"/>
  <c r="H48" i="183"/>
  <c r="L15" i="183"/>
  <c r="F165" i="1"/>
  <c r="F164" i="1"/>
  <c r="D165" i="1"/>
  <c r="D164" i="1"/>
  <c r="F163" i="1"/>
  <c r="D163" i="1"/>
  <c r="B165" i="1"/>
  <c r="B164" i="1"/>
  <c r="B163" i="1"/>
  <c r="F144" i="1"/>
  <c r="D144" i="1"/>
  <c r="B144" i="1"/>
  <c r="B135" i="1"/>
  <c r="D59" i="1"/>
  <c r="B59" i="1"/>
  <c r="L15" i="184" l="1"/>
  <c r="J20" i="184"/>
  <c r="J29" i="183"/>
  <c r="J33" i="183"/>
  <c r="J67" i="183"/>
  <c r="H35" i="183"/>
  <c r="H46" i="183"/>
  <c r="H47" i="183"/>
  <c r="H31" i="183"/>
  <c r="K47" i="183"/>
  <c r="K35" i="183"/>
  <c r="K46" i="183"/>
  <c r="L16" i="183"/>
  <c r="K31" i="183"/>
  <c r="H80" i="183"/>
  <c r="H81" i="183"/>
  <c r="J24" i="183"/>
  <c r="J61" i="183" s="1"/>
  <c r="J53" i="183"/>
  <c r="J55" i="183"/>
  <c r="K80" i="183"/>
  <c r="K81" i="183"/>
  <c r="D73" i="1"/>
  <c r="B73" i="1"/>
  <c r="J60" i="183" l="1"/>
  <c r="J25" i="183"/>
  <c r="H36" i="183"/>
  <c r="H45" i="183" s="1"/>
  <c r="H43" i="183"/>
  <c r="H30" i="183"/>
  <c r="K43" i="183"/>
  <c r="K36" i="183"/>
  <c r="K45" i="183" s="1"/>
  <c r="L16" i="184"/>
  <c r="L23" i="183"/>
  <c r="J32" i="183"/>
  <c r="J31" i="183" s="1"/>
  <c r="J30" i="183" s="1"/>
  <c r="J34" i="183"/>
  <c r="J48" i="183"/>
  <c r="J49" i="183"/>
  <c r="J26" i="183"/>
  <c r="K30" i="183"/>
  <c r="M15" i="183"/>
  <c r="J56" i="183"/>
  <c r="J57" i="183"/>
  <c r="J58" i="183"/>
  <c r="J79" i="183"/>
  <c r="L17" i="183"/>
  <c r="J70" i="183" l="1"/>
  <c r="J71" i="183"/>
  <c r="K44" i="183"/>
  <c r="H44" i="183"/>
  <c r="J37" i="183"/>
  <c r="J42" i="183" s="1"/>
  <c r="J41" i="183" s="1"/>
  <c r="J40" i="183"/>
  <c r="H37" i="183"/>
  <c r="H50" i="183" s="1"/>
  <c r="H40" i="183"/>
  <c r="H42" i="183"/>
  <c r="H41" i="183"/>
  <c r="J35" i="183"/>
  <c r="J46" i="183"/>
  <c r="J47" i="183"/>
  <c r="M15" i="184"/>
  <c r="J43" i="183"/>
  <c r="J36" i="183"/>
  <c r="J45" i="183" s="1"/>
  <c r="M16" i="183"/>
  <c r="G15" i="183"/>
  <c r="J63" i="183"/>
  <c r="J66" i="183"/>
  <c r="J64" i="183"/>
  <c r="J65" i="183"/>
  <c r="L24" i="183"/>
  <c r="L53" i="183"/>
  <c r="L55" i="183"/>
  <c r="J81" i="183"/>
  <c r="J80" i="183"/>
  <c r="K40" i="183"/>
  <c r="K42" i="183"/>
  <c r="K41" i="183"/>
  <c r="K37" i="183"/>
  <c r="K50" i="183" s="1"/>
  <c r="L17" i="184"/>
  <c r="L20" i="183"/>
  <c r="G144" i="1"/>
  <c r="K144" i="1" s="1"/>
  <c r="D38" i="133"/>
  <c r="C38" i="133"/>
  <c r="B38" i="133"/>
  <c r="C36" i="123"/>
  <c r="B36" i="123"/>
  <c r="D36" i="123"/>
  <c r="I40" i="178"/>
  <c r="G31" i="178"/>
  <c r="G32" i="178" s="1"/>
  <c r="I32" i="178" s="1"/>
  <c r="I23" i="178"/>
  <c r="I17" i="178"/>
  <c r="G2" i="178"/>
  <c r="F135" i="1"/>
  <c r="F125" i="1"/>
  <c r="F124" i="1"/>
  <c r="D124" i="1"/>
  <c r="D125" i="1"/>
  <c r="B125" i="1"/>
  <c r="B124" i="1"/>
  <c r="F108" i="1"/>
  <c r="D108" i="1"/>
  <c r="B108" i="1"/>
  <c r="F73" i="1"/>
  <c r="F59" i="1"/>
  <c r="J44" i="183" l="1"/>
  <c r="J50" i="183"/>
  <c r="M16" i="184"/>
  <c r="M23" i="183"/>
  <c r="L57" i="183"/>
  <c r="L58" i="183"/>
  <c r="L56" i="183"/>
  <c r="L79" i="183"/>
  <c r="L60" i="183"/>
  <c r="L61" i="183"/>
  <c r="K39" i="183"/>
  <c r="K69" i="183" s="1"/>
  <c r="K75" i="183" s="1"/>
  <c r="H39" i="183"/>
  <c r="H69" i="183" s="1"/>
  <c r="H75" i="183" s="1"/>
  <c r="G15" i="184"/>
  <c r="M17" i="183"/>
  <c r="G16" i="183"/>
  <c r="G17" i="183" s="1"/>
  <c r="L20" i="184"/>
  <c r="L26" i="183"/>
  <c r="L64" i="183" s="1"/>
  <c r="L29" i="183"/>
  <c r="L25" i="183" s="1"/>
  <c r="L70" i="183"/>
  <c r="L33" i="183"/>
  <c r="L72" i="183"/>
  <c r="L67" i="183"/>
  <c r="L71" i="183"/>
  <c r="I29" i="64"/>
  <c r="J29" i="64"/>
  <c r="K29" i="64"/>
  <c r="M29" i="64"/>
  <c r="N29" i="64"/>
  <c r="G29" i="64"/>
  <c r="H29" i="64"/>
  <c r="I25" i="178"/>
  <c r="I27" i="178" s="1"/>
  <c r="L29" i="64"/>
  <c r="I31" i="178"/>
  <c r="I34" i="178" s="1"/>
  <c r="J39" i="183" l="1"/>
  <c r="J69" i="183" s="1"/>
  <c r="L66" i="183"/>
  <c r="L65" i="183"/>
  <c r="L63" i="183"/>
  <c r="K76" i="183"/>
  <c r="K77" i="183" s="1"/>
  <c r="L34" i="183"/>
  <c r="L32" i="183"/>
  <c r="L31" i="183" s="1"/>
  <c r="L48" i="183"/>
  <c r="L49" i="183"/>
  <c r="L73" i="183"/>
  <c r="L74" i="183" s="1"/>
  <c r="I15" i="183"/>
  <c r="H76" i="183"/>
  <c r="H77" i="183" s="1"/>
  <c r="G17" i="184"/>
  <c r="G20" i="183"/>
  <c r="G16" i="184"/>
  <c r="G23" i="183"/>
  <c r="L81" i="183"/>
  <c r="L80" i="183"/>
  <c r="M24" i="183"/>
  <c r="M60" i="183" s="1"/>
  <c r="M53" i="183"/>
  <c r="M55" i="183"/>
  <c r="M17" i="184"/>
  <c r="M20" i="183"/>
  <c r="I42" i="178"/>
  <c r="H144" i="1" s="1"/>
  <c r="I15" i="113"/>
  <c r="I15" i="111"/>
  <c r="I19" i="160"/>
  <c r="I18" i="160"/>
  <c r="I17" i="160"/>
  <c r="I16" i="160"/>
  <c r="I15" i="160"/>
  <c r="I17" i="147"/>
  <c r="I16" i="147"/>
  <c r="I15" i="147"/>
  <c r="I15" i="133"/>
  <c r="I15" i="141"/>
  <c r="N36" i="64"/>
  <c r="M36" i="64"/>
  <c r="L36" i="64"/>
  <c r="K36" i="64"/>
  <c r="J36" i="64"/>
  <c r="I36" i="64"/>
  <c r="H36" i="64"/>
  <c r="G36" i="64"/>
  <c r="N14" i="64"/>
  <c r="N19" i="64" s="1"/>
  <c r="M14" i="64"/>
  <c r="M19" i="64" s="1"/>
  <c r="L14" i="64"/>
  <c r="L19" i="64" s="1"/>
  <c r="K14" i="64"/>
  <c r="K16" i="64" s="1"/>
  <c r="J14" i="64"/>
  <c r="J16" i="64" s="1"/>
  <c r="I14" i="64"/>
  <c r="I16" i="64" s="1"/>
  <c r="H14" i="64"/>
  <c r="H16" i="64" s="1"/>
  <c r="G14" i="64"/>
  <c r="G16" i="64" s="1"/>
  <c r="L24" i="54"/>
  <c r="K24" i="54"/>
  <c r="J24" i="54"/>
  <c r="I24" i="54"/>
  <c r="H24" i="54"/>
  <c r="L21" i="54"/>
  <c r="K21" i="54"/>
  <c r="J21" i="54"/>
  <c r="I21" i="54"/>
  <c r="H21" i="54"/>
  <c r="L18" i="54"/>
  <c r="K18" i="54"/>
  <c r="J18" i="54"/>
  <c r="I18" i="54"/>
  <c r="H18" i="54"/>
  <c r="L14" i="54"/>
  <c r="K14" i="54"/>
  <c r="J14" i="54"/>
  <c r="I14" i="54"/>
  <c r="H14" i="54"/>
  <c r="L32" i="54"/>
  <c r="K32" i="54"/>
  <c r="J32" i="54"/>
  <c r="I32" i="54"/>
  <c r="H32" i="54"/>
  <c r="G13" i="52"/>
  <c r="G20" i="67" s="1"/>
  <c r="G21" i="67" s="1"/>
  <c r="G14" i="52"/>
  <c r="H20" i="67" s="1"/>
  <c r="H21" i="67" s="1"/>
  <c r="G15" i="52"/>
  <c r="I20" i="67" s="1"/>
  <c r="I21" i="67" s="1"/>
  <c r="G16" i="52"/>
  <c r="J20" i="67" s="1"/>
  <c r="J21" i="67" s="1"/>
  <c r="G17" i="52"/>
  <c r="K20" i="67" s="1"/>
  <c r="K21" i="67" s="1"/>
  <c r="G18" i="52"/>
  <c r="L20" i="67" s="1"/>
  <c r="L21" i="67" s="1"/>
  <c r="G19" i="52"/>
  <c r="M20" i="67" s="1"/>
  <c r="M21" i="67" s="1"/>
  <c r="G20" i="52"/>
  <c r="N20" i="67" s="1"/>
  <c r="N21" i="67" s="1"/>
  <c r="J72" i="183" l="1"/>
  <c r="L35" i="183"/>
  <c r="L47" i="183" s="1"/>
  <c r="L46" i="183" s="1"/>
  <c r="L36" i="183"/>
  <c r="L45" i="183" s="1"/>
  <c r="L43" i="183"/>
  <c r="L30" i="183"/>
  <c r="M57" i="183"/>
  <c r="M58" i="183"/>
  <c r="M56" i="183"/>
  <c r="M79" i="183"/>
  <c r="G24" i="183"/>
  <c r="G26" i="183" s="1"/>
  <c r="G53" i="183"/>
  <c r="G55" i="183"/>
  <c r="M61" i="183"/>
  <c r="G20" i="184"/>
  <c r="G33" i="183"/>
  <c r="G29" i="183"/>
  <c r="G67" i="183"/>
  <c r="G70" i="183"/>
  <c r="G71" i="183"/>
  <c r="G72" i="183"/>
  <c r="I16" i="183"/>
  <c r="M20" i="184"/>
  <c r="M29" i="183"/>
  <c r="M25" i="183" s="1"/>
  <c r="M26" i="183"/>
  <c r="M63" i="183" s="1"/>
  <c r="M33" i="183"/>
  <c r="M67" i="183"/>
  <c r="M70" i="183"/>
  <c r="M72" i="183"/>
  <c r="M71" i="183"/>
  <c r="I15" i="184"/>
  <c r="G22" i="52"/>
  <c r="L16" i="64"/>
  <c r="M16" i="64"/>
  <c r="N16" i="64"/>
  <c r="G19" i="64"/>
  <c r="H19" i="64"/>
  <c r="I19" i="64"/>
  <c r="J19" i="64"/>
  <c r="K19" i="64"/>
  <c r="L44" i="183" l="1"/>
  <c r="J73" i="183"/>
  <c r="J74" i="183" s="1"/>
  <c r="J75" i="183" s="1"/>
  <c r="J76" i="183" s="1"/>
  <c r="J77" i="183" s="1"/>
  <c r="M65" i="183"/>
  <c r="M66" i="183"/>
  <c r="G64" i="183"/>
  <c r="G63" i="183"/>
  <c r="M64" i="183"/>
  <c r="G25" i="183"/>
  <c r="G56" i="183"/>
  <c r="G57" i="183"/>
  <c r="G58" i="183"/>
  <c r="G79" i="183"/>
  <c r="G61" i="183"/>
  <c r="I16" i="184"/>
  <c r="I23" i="183"/>
  <c r="G60" i="183"/>
  <c r="M73" i="183"/>
  <c r="M74" i="183" s="1"/>
  <c r="M80" i="183"/>
  <c r="M81" i="183"/>
  <c r="G32" i="183"/>
  <c r="G31" i="183" s="1"/>
  <c r="G34" i="183"/>
  <c r="G48" i="183"/>
  <c r="G49" i="183"/>
  <c r="G73" i="183"/>
  <c r="G74" i="183" s="1"/>
  <c r="M34" i="183"/>
  <c r="M32" i="183"/>
  <c r="M31" i="183" s="1"/>
  <c r="M48" i="183"/>
  <c r="M49" i="183"/>
  <c r="G66" i="183"/>
  <c r="G65" i="183"/>
  <c r="L37" i="183"/>
  <c r="L50" i="183" s="1"/>
  <c r="L42" i="183"/>
  <c r="L41" i="183"/>
  <c r="L40" i="183"/>
  <c r="I17" i="183"/>
  <c r="G30" i="183" l="1"/>
  <c r="G42" i="183" s="1"/>
  <c r="I17" i="184"/>
  <c r="I20" i="183"/>
  <c r="M35" i="183"/>
  <c r="M47" i="183" s="1"/>
  <c r="M46" i="183" s="1"/>
  <c r="M36" i="183"/>
  <c r="M45" i="183" s="1"/>
  <c r="M43" i="183"/>
  <c r="M30" i="183"/>
  <c r="G46" i="183"/>
  <c r="G35" i="183"/>
  <c r="G47" i="183"/>
  <c r="I24" i="183"/>
  <c r="I53" i="183"/>
  <c r="I55" i="183"/>
  <c r="G81" i="183"/>
  <c r="G80" i="183"/>
  <c r="G43" i="183"/>
  <c r="G36" i="183"/>
  <c r="G45" i="183" s="1"/>
  <c r="L39" i="183"/>
  <c r="L69" i="183" s="1"/>
  <c r="M44" i="183" l="1"/>
  <c r="L75" i="183"/>
  <c r="L76" i="183" s="1"/>
  <c r="G41" i="183"/>
  <c r="G40" i="183"/>
  <c r="G44" i="183"/>
  <c r="G37" i="183"/>
  <c r="G50" i="183" s="1"/>
  <c r="I20" i="184"/>
  <c r="I26" i="183"/>
  <c r="I63" i="183" s="1"/>
  <c r="I29" i="183"/>
  <c r="I25" i="183" s="1"/>
  <c r="I33" i="183"/>
  <c r="I72" i="183"/>
  <c r="I70" i="183"/>
  <c r="I71" i="183"/>
  <c r="I67" i="183"/>
  <c r="I56" i="183"/>
  <c r="I57" i="183"/>
  <c r="I58" i="183"/>
  <c r="I79" i="183"/>
  <c r="I61" i="183"/>
  <c r="I60" i="183"/>
  <c r="M37" i="183"/>
  <c r="M50" i="183" s="1"/>
  <c r="M40" i="183"/>
  <c r="M42" i="183"/>
  <c r="M41" i="183"/>
  <c r="G2" i="111"/>
  <c r="G2" i="112"/>
  <c r="G2" i="113"/>
  <c r="G2" i="115"/>
  <c r="G2" i="118"/>
  <c r="G2" i="120"/>
  <c r="G2" i="123"/>
  <c r="G2" i="160"/>
  <c r="G2" i="147"/>
  <c r="G2" i="133"/>
  <c r="G2" i="141"/>
  <c r="L77" i="183" l="1"/>
  <c r="G39" i="183"/>
  <c r="G69" i="183" s="1"/>
  <c r="G75" i="183" s="1"/>
  <c r="G76" i="183" s="1"/>
  <c r="G77" i="183" s="1"/>
  <c r="I66" i="183"/>
  <c r="I65" i="183"/>
  <c r="I64" i="183"/>
  <c r="I73" i="183"/>
  <c r="I74" i="183" s="1"/>
  <c r="I34" i="183"/>
  <c r="I48" i="183"/>
  <c r="I49" i="183"/>
  <c r="I32" i="183"/>
  <c r="M39" i="183"/>
  <c r="M69" i="183" s="1"/>
  <c r="I80" i="183"/>
  <c r="I81" i="183"/>
  <c r="M75" i="183" l="1"/>
  <c r="M76" i="183" s="1"/>
  <c r="I35" i="183"/>
  <c r="I46" i="183"/>
  <c r="I47" i="183"/>
  <c r="I31" i="183"/>
  <c r="M77" i="183" l="1"/>
  <c r="I36" i="183"/>
  <c r="I45" i="183" s="1"/>
  <c r="I43" i="183"/>
  <c r="I30" i="183"/>
  <c r="I44" i="183" l="1"/>
  <c r="I37" i="183"/>
  <c r="I50" i="183" s="1"/>
  <c r="I42" i="183"/>
  <c r="I41" i="183"/>
  <c r="I40" i="183"/>
  <c r="G175" i="1"/>
  <c r="G174" i="1"/>
  <c r="E167" i="1"/>
  <c r="E176" i="1"/>
  <c r="E154" i="1"/>
  <c r="E130" i="1"/>
  <c r="E119" i="1"/>
  <c r="E88" i="1"/>
  <c r="E38" i="1"/>
  <c r="E16" i="1"/>
  <c r="I39" i="183" l="1"/>
  <c r="I69" i="183" s="1"/>
  <c r="I75" i="183" l="1"/>
  <c r="I76" i="183" l="1"/>
  <c r="I77" i="183" s="1"/>
  <c r="G11" i="62" l="1"/>
  <c r="J11" i="62" s="1"/>
  <c r="P12" i="64"/>
  <c r="J8" i="184" l="1"/>
  <c r="K8" i="183" l="1"/>
  <c r="K8" i="184" s="1"/>
  <c r="C6" i="151"/>
  <c r="B6" i="151"/>
  <c r="C5" i="151"/>
  <c r="B5" i="151"/>
  <c r="C3" i="151"/>
  <c r="B3" i="151"/>
  <c r="C2" i="151"/>
  <c r="B2" i="151"/>
  <c r="L8" i="183" l="1"/>
  <c r="L8" i="184" s="1"/>
  <c r="M8" i="184" l="1"/>
  <c r="I39" i="133"/>
  <c r="I35" i="133"/>
  <c r="I34" i="133"/>
  <c r="I42" i="141"/>
  <c r="I41" i="141"/>
  <c r="I40" i="141"/>
  <c r="I39" i="141"/>
  <c r="I38" i="141"/>
  <c r="I37" i="141"/>
  <c r="I36" i="141"/>
  <c r="I35" i="141"/>
  <c r="I34" i="141"/>
  <c r="I33" i="141"/>
  <c r="I32" i="141"/>
  <c r="I31" i="141"/>
  <c r="I32" i="133"/>
  <c r="I31" i="133"/>
  <c r="I23" i="147"/>
  <c r="I35" i="123"/>
  <c r="I34" i="123"/>
  <c r="I33" i="123"/>
  <c r="I32" i="123"/>
  <c r="I31" i="123"/>
  <c r="I35" i="120"/>
  <c r="I34" i="120"/>
  <c r="I33" i="120"/>
  <c r="I32" i="120"/>
  <c r="I31" i="120"/>
  <c r="I20" i="118"/>
  <c r="I31" i="115"/>
  <c r="I21" i="115"/>
  <c r="I37" i="113"/>
  <c r="I36" i="113"/>
  <c r="I35" i="113"/>
  <c r="I34" i="113"/>
  <c r="I33" i="113"/>
  <c r="I32" i="113"/>
  <c r="I22" i="113"/>
  <c r="I21" i="113"/>
  <c r="I32" i="112"/>
  <c r="I31" i="112"/>
  <c r="I21" i="112"/>
  <c r="I34" i="111"/>
  <c r="I35" i="111"/>
  <c r="I33" i="111"/>
  <c r="I23" i="111"/>
  <c r="I22" i="111"/>
  <c r="I21" i="111"/>
  <c r="I25" i="160"/>
  <c r="P35" i="64" l="1"/>
  <c r="G150" i="1" s="1"/>
  <c r="I43" i="160" l="1"/>
  <c r="I37" i="160"/>
  <c r="I27" i="160"/>
  <c r="I21" i="160" l="1"/>
  <c r="I29" i="160" s="1"/>
  <c r="I31" i="160" s="1"/>
  <c r="I45" i="160" s="1"/>
  <c r="B6" i="52"/>
  <c r="B5" i="52"/>
  <c r="B3" i="52"/>
  <c r="B2" i="52"/>
  <c r="K6" i="1" l="1"/>
  <c r="BV311" i="153"/>
  <c r="BV310" i="153"/>
  <c r="BV309" i="153"/>
  <c r="BU308" i="153"/>
  <c r="BV308" i="153" s="1"/>
  <c r="CF307" i="153"/>
  <c r="CE307" i="153"/>
  <c r="CE308" i="153" s="1"/>
  <c r="CE309" i="153" s="1"/>
  <c r="CE310" i="153" s="1"/>
  <c r="CE311" i="153" s="1"/>
  <c r="CE312" i="153" s="1"/>
  <c r="BV307" i="153"/>
  <c r="BU306" i="153"/>
  <c r="BV306" i="153" s="1"/>
  <c r="CF300" i="153"/>
  <c r="CE300" i="153"/>
  <c r="CE301" i="153" s="1"/>
  <c r="CE302" i="153" s="1"/>
  <c r="CE303" i="153" s="1"/>
  <c r="CE304" i="153" s="1"/>
  <c r="CE305" i="153" s="1"/>
  <c r="CF294" i="153"/>
  <c r="CE294" i="153"/>
  <c r="CE295" i="153" s="1"/>
  <c r="CE296" i="153" s="1"/>
  <c r="CE297" i="153" s="1"/>
  <c r="CE298" i="153" s="1"/>
  <c r="CE299" i="153" s="1"/>
  <c r="CF287" i="153"/>
  <c r="CE287" i="153"/>
  <c r="CE288" i="153" s="1"/>
  <c r="CE289" i="153" s="1"/>
  <c r="CE290" i="153" s="1"/>
  <c r="CE291" i="153" s="1"/>
  <c r="CE292" i="153" s="1"/>
  <c r="CF279" i="153"/>
  <c r="CE279" i="153"/>
  <c r="CE280" i="153" s="1"/>
  <c r="CE281" i="153" s="1"/>
  <c r="CE282" i="153" s="1"/>
  <c r="CE283" i="153" s="1"/>
  <c r="CE284" i="153" s="1"/>
  <c r="CF271" i="153"/>
  <c r="CE271" i="153"/>
  <c r="CE272" i="153" s="1"/>
  <c r="CE273" i="153" s="1"/>
  <c r="CE274" i="153" s="1"/>
  <c r="CE275" i="153" s="1"/>
  <c r="CE276" i="153" s="1"/>
  <c r="BW262" i="153"/>
  <c r="BW261" i="153"/>
  <c r="BW260" i="153"/>
  <c r="BW259" i="153"/>
  <c r="BW258" i="153"/>
  <c r="BV295" i="153" s="1"/>
  <c r="BW257" i="153"/>
  <c r="J41" i="153"/>
  <c r="J40" i="153"/>
  <c r="J39" i="153"/>
  <c r="J38" i="153"/>
  <c r="J37" i="153"/>
  <c r="D26" i="153"/>
  <c r="D21" i="153"/>
  <c r="E20" i="153"/>
  <c r="D20" i="153"/>
  <c r="CJ267" i="153" s="1"/>
  <c r="L17" i="153"/>
  <c r="L9" i="153"/>
  <c r="BX295" i="153" l="1"/>
  <c r="E54" i="153" s="1"/>
  <c r="BV296" i="153"/>
  <c r="BW295" i="153"/>
  <c r="D54" i="153" s="1"/>
  <c r="C13" i="153"/>
  <c r="BY295" i="153"/>
  <c r="F54" i="153" s="1"/>
  <c r="CJ266" i="153"/>
  <c r="G28" i="153" s="1"/>
  <c r="G60" i="153" l="1"/>
  <c r="J60" i="153" s="1"/>
  <c r="F58" i="153" s="1"/>
  <c r="G43" i="153"/>
  <c r="J43" i="153" s="1"/>
  <c r="F50" i="153" s="1"/>
  <c r="BV297" i="153"/>
  <c r="BW296" i="153"/>
  <c r="D37" i="153" s="1"/>
  <c r="BY296" i="153"/>
  <c r="F37" i="153" s="1"/>
  <c r="BX296" i="153"/>
  <c r="E37" i="153" s="1"/>
  <c r="C52" i="153" l="1"/>
  <c r="C15" i="102"/>
  <c r="L6" i="1" s="1"/>
  <c r="BY297" i="153"/>
  <c r="F38" i="153" s="1"/>
  <c r="BX297" i="153"/>
  <c r="E38" i="153" s="1"/>
  <c r="BV298" i="153"/>
  <c r="BW297" i="153"/>
  <c r="D38" i="153" s="1"/>
  <c r="I116" i="1" l="1"/>
  <c r="I51" i="1"/>
  <c r="I27" i="1"/>
  <c r="I111" i="1"/>
  <c r="I74" i="1"/>
  <c r="I115" i="1"/>
  <c r="I76" i="1"/>
  <c r="I50" i="1"/>
  <c r="I26" i="1"/>
  <c r="I46" i="1"/>
  <c r="I31" i="1"/>
  <c r="I28" i="1"/>
  <c r="I114" i="1"/>
  <c r="I75" i="1"/>
  <c r="I49" i="1"/>
  <c r="I25" i="1"/>
  <c r="J25" i="1" s="1"/>
  <c r="I86" i="1"/>
  <c r="I22" i="1"/>
  <c r="I110" i="1"/>
  <c r="I85" i="1"/>
  <c r="I45" i="1"/>
  <c r="I21" i="1"/>
  <c r="I56" i="1"/>
  <c r="I117" i="1"/>
  <c r="I128" i="1"/>
  <c r="I109" i="1"/>
  <c r="I84" i="1"/>
  <c r="I70" i="1"/>
  <c r="I44" i="1"/>
  <c r="I127" i="1"/>
  <c r="I83" i="1"/>
  <c r="I69" i="1"/>
  <c r="I43" i="1"/>
  <c r="I15" i="1"/>
  <c r="I60" i="1"/>
  <c r="I55" i="1"/>
  <c r="I93" i="1"/>
  <c r="I126" i="1"/>
  <c r="I105" i="1"/>
  <c r="I62" i="1"/>
  <c r="I36" i="1"/>
  <c r="I14" i="1"/>
  <c r="I35" i="1"/>
  <c r="I99" i="1"/>
  <c r="I34" i="1"/>
  <c r="I52" i="1"/>
  <c r="I102" i="1"/>
  <c r="I61" i="1"/>
  <c r="I96" i="1"/>
  <c r="J144" i="1"/>
  <c r="J175" i="1"/>
  <c r="K175" i="1" s="1"/>
  <c r="J174" i="1"/>
  <c r="K174" i="1" s="1"/>
  <c r="J117" i="1"/>
  <c r="J116" i="1"/>
  <c r="J115" i="1"/>
  <c r="BY298" i="153"/>
  <c r="F39" i="153" s="1"/>
  <c r="BX298" i="153"/>
  <c r="E39" i="153" s="1"/>
  <c r="BV299" i="153"/>
  <c r="BW298" i="153"/>
  <c r="D39" i="153" s="1"/>
  <c r="H3" i="1"/>
  <c r="H4" i="1"/>
  <c r="K3" i="1"/>
  <c r="G3" i="178" l="1"/>
  <c r="G6" i="178"/>
  <c r="G6" i="111"/>
  <c r="G6" i="118"/>
  <c r="G6" i="160"/>
  <c r="G6" i="123"/>
  <c r="G6" i="115"/>
  <c r="G6" i="133"/>
  <c r="G6" i="141"/>
  <c r="G6" i="147"/>
  <c r="G6" i="113"/>
  <c r="G6" i="120"/>
  <c r="G6" i="112"/>
  <c r="G3" i="115"/>
  <c r="G3" i="133"/>
  <c r="G3" i="147"/>
  <c r="G3" i="113"/>
  <c r="G3" i="112"/>
  <c r="G3" i="111"/>
  <c r="G3" i="160"/>
  <c r="G3" i="123"/>
  <c r="G3" i="141"/>
  <c r="G3" i="120"/>
  <c r="G3" i="118"/>
  <c r="BX299" i="153"/>
  <c r="E40" i="153" s="1"/>
  <c r="BV300" i="153"/>
  <c r="BW299" i="153"/>
  <c r="D40" i="153" s="1"/>
  <c r="BY299" i="153"/>
  <c r="F40" i="153" s="1"/>
  <c r="BW300" i="153" l="1"/>
  <c r="D41" i="153" s="1"/>
  <c r="BY300" i="153"/>
  <c r="F41" i="153" s="1"/>
  <c r="BX300" i="153"/>
  <c r="E41" i="153" s="1"/>
  <c r="J114" i="1" l="1"/>
  <c r="I41" i="147" l="1"/>
  <c r="I35" i="147"/>
  <c r="I25" i="147"/>
  <c r="I19" i="147" l="1"/>
  <c r="I27" i="147" s="1"/>
  <c r="I29" i="147" s="1"/>
  <c r="I43" i="147" s="1"/>
  <c r="H108" i="1" l="1"/>
  <c r="I108" i="1" s="1"/>
  <c r="E38" i="64"/>
  <c r="E37" i="64"/>
  <c r="J37" i="64" l="1"/>
  <c r="K37" i="64"/>
  <c r="N37" i="64"/>
  <c r="M37" i="64"/>
  <c r="G37" i="64"/>
  <c r="I37" i="64"/>
  <c r="H37" i="64"/>
  <c r="L37" i="64"/>
  <c r="M38" i="64"/>
  <c r="J38" i="64"/>
  <c r="I38" i="64"/>
  <c r="N38" i="64"/>
  <c r="G38" i="64"/>
  <c r="H38" i="64"/>
  <c r="K38" i="64"/>
  <c r="L38" i="64"/>
  <c r="E21" i="64" l="1"/>
  <c r="E20" i="64"/>
  <c r="E31" i="64"/>
  <c r="E30" i="64"/>
  <c r="E17" i="65"/>
  <c r="E16" i="65"/>
  <c r="F40" i="66"/>
  <c r="F39" i="66"/>
  <c r="F34" i="66"/>
  <c r="F33" i="66"/>
  <c r="F28" i="66"/>
  <c r="E111" i="1" l="1"/>
  <c r="E110" i="1"/>
  <c r="E116" i="1"/>
  <c r="E117" i="1"/>
  <c r="E105" i="1"/>
  <c r="N30" i="64"/>
  <c r="H30" i="64"/>
  <c r="I30" i="64"/>
  <c r="L30" i="64"/>
  <c r="K30" i="64"/>
  <c r="M30" i="64"/>
  <c r="J30" i="64"/>
  <c r="G30" i="64"/>
  <c r="I31" i="64"/>
  <c r="H31" i="64"/>
  <c r="L31" i="64"/>
  <c r="K31" i="64"/>
  <c r="J31" i="64"/>
  <c r="N31" i="64"/>
  <c r="M31" i="64"/>
  <c r="G31" i="64"/>
  <c r="E146" i="1"/>
  <c r="E147" i="1"/>
  <c r="E140" i="1"/>
  <c r="N20" i="64"/>
  <c r="L20" i="64"/>
  <c r="M20" i="64"/>
  <c r="H20" i="64"/>
  <c r="I20" i="64"/>
  <c r="G20" i="64"/>
  <c r="K20" i="64"/>
  <c r="J20" i="64"/>
  <c r="E141" i="1"/>
  <c r="N21" i="64"/>
  <c r="G21" i="64"/>
  <c r="L21" i="64"/>
  <c r="H21" i="64"/>
  <c r="M21" i="64"/>
  <c r="K21" i="64"/>
  <c r="I21" i="64"/>
  <c r="J21" i="64"/>
  <c r="E127" i="1"/>
  <c r="E128" i="1"/>
  <c r="G173" i="1" l="1"/>
  <c r="G172" i="1"/>
  <c r="G171" i="1"/>
  <c r="G170" i="1"/>
  <c r="I50" i="141"/>
  <c r="I23" i="141"/>
  <c r="I17" i="141"/>
  <c r="G36" i="133"/>
  <c r="G33" i="133"/>
  <c r="I33" i="133" s="1"/>
  <c r="I47" i="133"/>
  <c r="I23" i="133"/>
  <c r="I17" i="133"/>
  <c r="I44" i="123"/>
  <c r="I23" i="123"/>
  <c r="I17" i="123"/>
  <c r="I43" i="120"/>
  <c r="I23" i="120"/>
  <c r="I17" i="120"/>
  <c r="I22" i="118"/>
  <c r="I16" i="118"/>
  <c r="I38" i="118"/>
  <c r="I32" i="118"/>
  <c r="I33" i="115"/>
  <c r="I23" i="115"/>
  <c r="I17" i="115"/>
  <c r="I39" i="115"/>
  <c r="I17" i="113"/>
  <c r="I45" i="113"/>
  <c r="I23" i="112"/>
  <c r="I40" i="112"/>
  <c r="I17" i="112"/>
  <c r="I43" i="111"/>
  <c r="I17" i="111"/>
  <c r="I25" i="120" l="1"/>
  <c r="I27" i="120" s="1"/>
  <c r="I25" i="123"/>
  <c r="I27" i="123" s="1"/>
  <c r="I25" i="141"/>
  <c r="I27" i="141" s="1"/>
  <c r="G37" i="133"/>
  <c r="I37" i="133" s="1"/>
  <c r="I36" i="133"/>
  <c r="C170" i="1"/>
  <c r="C171" i="1" s="1"/>
  <c r="C172" i="1" s="1"/>
  <c r="C173" i="1" s="1"/>
  <c r="C174" i="1" s="1"/>
  <c r="C175" i="1" s="1"/>
  <c r="I25" i="133"/>
  <c r="I27" i="133" s="1"/>
  <c r="I24" i="113"/>
  <c r="I26" i="113" s="1"/>
  <c r="I28" i="113" s="1"/>
  <c r="I25" i="111"/>
  <c r="I27" i="111" s="1"/>
  <c r="I29" i="111" s="1"/>
  <c r="I37" i="111"/>
  <c r="I34" i="112"/>
  <c r="I37" i="120"/>
  <c r="I45" i="120" s="1"/>
  <c r="I24" i="118"/>
  <c r="I26" i="118" s="1"/>
  <c r="I40" i="118" s="1"/>
  <c r="H135" i="1" s="1"/>
  <c r="I25" i="115"/>
  <c r="I27" i="115" s="1"/>
  <c r="I41" i="115" s="1"/>
  <c r="I25" i="112"/>
  <c r="I27" i="112" s="1"/>
  <c r="H125" i="1" l="1"/>
  <c r="I125" i="1" s="1"/>
  <c r="E36" i="123"/>
  <c r="I36" i="123" s="1"/>
  <c r="I38" i="123" s="1"/>
  <c r="I46" i="123" s="1"/>
  <c r="E38" i="133"/>
  <c r="I38" i="133" s="1"/>
  <c r="I41" i="133" s="1"/>
  <c r="I49" i="133" s="1"/>
  <c r="H73" i="1" s="1"/>
  <c r="I73" i="1" s="1"/>
  <c r="I42" i="112"/>
  <c r="H164" i="1" s="1"/>
  <c r="I45" i="111"/>
  <c r="H165" i="1" s="1"/>
  <c r="H124" i="1" l="1"/>
  <c r="I124" i="1" s="1"/>
  <c r="I44" i="141"/>
  <c r="I52" i="141" s="1"/>
  <c r="H59" i="1" s="1"/>
  <c r="I59" i="1" s="1"/>
  <c r="C6" i="54" l="1"/>
  <c r="B6" i="54"/>
  <c r="C5" i="54"/>
  <c r="B5" i="54"/>
  <c r="C3" i="54"/>
  <c r="B3" i="54"/>
  <c r="C2" i="54"/>
  <c r="B2" i="54"/>
  <c r="C6" i="64"/>
  <c r="B6" i="64"/>
  <c r="C5" i="64"/>
  <c r="B5" i="64"/>
  <c r="C3" i="64"/>
  <c r="B3" i="64"/>
  <c r="C2" i="64"/>
  <c r="B2" i="64"/>
  <c r="C6" i="65"/>
  <c r="B6" i="65"/>
  <c r="C5" i="65"/>
  <c r="B5" i="65"/>
  <c r="C3" i="65"/>
  <c r="B3" i="65"/>
  <c r="C2" i="65"/>
  <c r="B2" i="65"/>
  <c r="C6" i="66"/>
  <c r="B6" i="66"/>
  <c r="C5" i="66"/>
  <c r="B5" i="66"/>
  <c r="C3" i="66"/>
  <c r="B3" i="66"/>
  <c r="C2" i="66"/>
  <c r="B2" i="66"/>
  <c r="C6" i="67"/>
  <c r="B6" i="67"/>
  <c r="C5" i="67"/>
  <c r="B5" i="67"/>
  <c r="C3" i="67"/>
  <c r="B3" i="67"/>
  <c r="C2" i="67"/>
  <c r="B2" i="67"/>
  <c r="C6" i="62"/>
  <c r="B6" i="62"/>
  <c r="C5" i="62"/>
  <c r="B5" i="62"/>
  <c r="C3" i="62"/>
  <c r="B3" i="62"/>
  <c r="C2" i="62"/>
  <c r="B2" i="62"/>
  <c r="C6" i="53"/>
  <c r="B6" i="53"/>
  <c r="C5" i="53"/>
  <c r="B5" i="53"/>
  <c r="C3" i="53"/>
  <c r="B3" i="53"/>
  <c r="C2" i="53"/>
  <c r="B2" i="53"/>
  <c r="C6" i="51"/>
  <c r="B6" i="51"/>
  <c r="C5" i="51"/>
  <c r="B5" i="51"/>
  <c r="C3" i="51"/>
  <c r="B3" i="51"/>
  <c r="C2" i="51"/>
  <c r="B2" i="51"/>
  <c r="C6" i="1" l="1"/>
  <c r="C5" i="1"/>
  <c r="C3" i="1"/>
  <c r="C2" i="1"/>
  <c r="B6" i="1"/>
  <c r="B5" i="1"/>
  <c r="B3" i="1"/>
  <c r="B2" i="1"/>
  <c r="B2" i="113" s="1"/>
  <c r="B2" i="111" l="1"/>
  <c r="B5" i="178"/>
  <c r="B6" i="178"/>
  <c r="C2" i="178"/>
  <c r="C3" i="178"/>
  <c r="B2" i="178"/>
  <c r="C5" i="178"/>
  <c r="B3" i="178"/>
  <c r="C6" i="178"/>
  <c r="B2" i="115"/>
  <c r="B2" i="133"/>
  <c r="B2" i="141"/>
  <c r="B2" i="147"/>
  <c r="B2" i="120"/>
  <c r="B2" i="112"/>
  <c r="B2" i="118"/>
  <c r="B2" i="160"/>
  <c r="B2" i="123"/>
  <c r="C2" i="115"/>
  <c r="C2" i="133"/>
  <c r="C2" i="141"/>
  <c r="C2" i="147"/>
  <c r="C2" i="113"/>
  <c r="C2" i="120"/>
  <c r="C2" i="112"/>
  <c r="C2" i="111"/>
  <c r="C2" i="118"/>
  <c r="C2" i="160"/>
  <c r="C2" i="123"/>
  <c r="C3" i="113"/>
  <c r="C3" i="120"/>
  <c r="C3" i="141"/>
  <c r="C3" i="112"/>
  <c r="C3" i="111"/>
  <c r="C3" i="118"/>
  <c r="C3" i="160"/>
  <c r="C3" i="123"/>
  <c r="C3" i="133"/>
  <c r="C3" i="115"/>
  <c r="C3" i="147"/>
  <c r="B3" i="147"/>
  <c r="B3" i="113"/>
  <c r="B3" i="120"/>
  <c r="B3" i="112"/>
  <c r="B3" i="111"/>
  <c r="B3" i="118"/>
  <c r="B3" i="160"/>
  <c r="B3" i="123"/>
  <c r="B3" i="115"/>
  <c r="B3" i="133"/>
  <c r="B3" i="141"/>
  <c r="B6" i="112"/>
  <c r="B6" i="111"/>
  <c r="B6" i="118"/>
  <c r="B6" i="160"/>
  <c r="B6" i="123"/>
  <c r="B6" i="141"/>
  <c r="B6" i="115"/>
  <c r="B6" i="133"/>
  <c r="B6" i="147"/>
  <c r="B6" i="113"/>
  <c r="B6" i="120"/>
  <c r="C5" i="112"/>
  <c r="C5" i="133"/>
  <c r="C5" i="111"/>
  <c r="C5" i="118"/>
  <c r="C5" i="160"/>
  <c r="C5" i="141"/>
  <c r="C5" i="123"/>
  <c r="C5" i="115"/>
  <c r="C5" i="147"/>
  <c r="C5" i="113"/>
  <c r="C5" i="120"/>
  <c r="B5" i="113"/>
  <c r="B5" i="120"/>
  <c r="B5" i="112"/>
  <c r="B5" i="111"/>
  <c r="B5" i="118"/>
  <c r="B5" i="160"/>
  <c r="B5" i="123"/>
  <c r="B5" i="115"/>
  <c r="B5" i="133"/>
  <c r="B5" i="141"/>
  <c r="B5" i="147"/>
  <c r="C6" i="111"/>
  <c r="C6" i="118"/>
  <c r="C6" i="160"/>
  <c r="C6" i="123"/>
  <c r="C6" i="115"/>
  <c r="C6" i="133"/>
  <c r="C6" i="141"/>
  <c r="C6" i="147"/>
  <c r="C6" i="113"/>
  <c r="C6" i="120"/>
  <c r="C6" i="112"/>
  <c r="E151" i="1" l="1"/>
  <c r="N8" i="64" l="1"/>
  <c r="M8" i="64"/>
  <c r="L8" i="64"/>
  <c r="K8" i="64"/>
  <c r="J8" i="64"/>
  <c r="I8" i="64"/>
  <c r="H8" i="64"/>
  <c r="G8" i="64"/>
  <c r="D190" i="1" l="1"/>
  <c r="D18" i="51" s="1"/>
  <c r="D189" i="1"/>
  <c r="D17" i="51" s="1"/>
  <c r="D183" i="1"/>
  <c r="D11" i="51" s="1"/>
  <c r="D188" i="1"/>
  <c r="D16" i="51" s="1"/>
  <c r="D187" i="1"/>
  <c r="D15" i="51" s="1"/>
  <c r="D186" i="1"/>
  <c r="D14" i="51" s="1"/>
  <c r="D191" i="1"/>
  <c r="D19" i="51" s="1"/>
  <c r="D182" i="1"/>
  <c r="C190" i="1"/>
  <c r="C18" i="51" s="1"/>
  <c r="C189" i="1"/>
  <c r="C17" i="51" s="1"/>
  <c r="C183" i="1"/>
  <c r="C11" i="51" s="1"/>
  <c r="C188" i="1"/>
  <c r="C16" i="51" s="1"/>
  <c r="C187" i="1"/>
  <c r="C15" i="51" s="1"/>
  <c r="C186" i="1"/>
  <c r="C14" i="51" s="1"/>
  <c r="C191" i="1"/>
  <c r="C19" i="51" s="1"/>
  <c r="C182" i="1"/>
  <c r="D34" i="53" l="1"/>
  <c r="D51" i="53"/>
  <c r="C34" i="53"/>
  <c r="C51" i="53"/>
  <c r="D54" i="53"/>
  <c r="D37" i="53"/>
  <c r="C54" i="53"/>
  <c r="C37" i="53"/>
  <c r="C32" i="53"/>
  <c r="C49" i="53"/>
  <c r="C46" i="53"/>
  <c r="C29" i="53"/>
  <c r="D18" i="53"/>
  <c r="D35" i="53"/>
  <c r="D52" i="53"/>
  <c r="C33" i="53"/>
  <c r="C50" i="53"/>
  <c r="C18" i="53"/>
  <c r="C52" i="53"/>
  <c r="C35" i="53"/>
  <c r="D53" i="53"/>
  <c r="D36" i="53"/>
  <c r="C53" i="53"/>
  <c r="C36" i="53"/>
  <c r="D50" i="53"/>
  <c r="D33" i="53"/>
  <c r="D32" i="53"/>
  <c r="D49" i="53"/>
  <c r="D29" i="53"/>
  <c r="D46" i="53"/>
  <c r="O8" i="54" l="1"/>
  <c r="N8" i="54"/>
  <c r="M8" i="54"/>
  <c r="L8" i="54"/>
  <c r="K8" i="54"/>
  <c r="J8" i="54"/>
  <c r="Q55" i="183" l="1"/>
  <c r="G14" i="1"/>
  <c r="Q61" i="183" l="1"/>
  <c r="G26" i="1" s="1"/>
  <c r="Q60" i="183"/>
  <c r="Q67" i="183"/>
  <c r="Q71" i="183"/>
  <c r="Q72" i="183"/>
  <c r="Q57" i="183"/>
  <c r="Q58" i="183"/>
  <c r="Q56" i="183"/>
  <c r="Q53" i="183"/>
  <c r="J109" i="1"/>
  <c r="J31" i="1"/>
  <c r="G25" i="1" l="1"/>
  <c r="K25" i="1" s="1"/>
  <c r="Q66" i="183"/>
  <c r="G28" i="1" s="1"/>
  <c r="Q63" i="183"/>
  <c r="Q65" i="183"/>
  <c r="Q64" i="183"/>
  <c r="G27" i="1" s="1"/>
  <c r="Q73" i="183"/>
  <c r="Q70" i="183"/>
  <c r="Q81" i="183"/>
  <c r="G36" i="1" s="1"/>
  <c r="Q80" i="183"/>
  <c r="Q79" i="183"/>
  <c r="G34" i="1" s="1"/>
  <c r="Q48" i="183"/>
  <c r="Q49" i="183"/>
  <c r="J86" i="1"/>
  <c r="J69" i="1"/>
  <c r="J21" i="1"/>
  <c r="J27" i="1"/>
  <c r="J85" i="1"/>
  <c r="J49" i="1"/>
  <c r="K49" i="1" s="1"/>
  <c r="J93" i="1"/>
  <c r="J164" i="1"/>
  <c r="J147" i="1"/>
  <c r="J128" i="1"/>
  <c r="J105" i="1"/>
  <c r="J75" i="1"/>
  <c r="J172" i="1"/>
  <c r="K172" i="1" s="1"/>
  <c r="J146" i="1"/>
  <c r="J127" i="1"/>
  <c r="J110" i="1"/>
  <c r="J173" i="1"/>
  <c r="K173" i="1" s="1"/>
  <c r="J141" i="1"/>
  <c r="J140" i="1"/>
  <c r="J111" i="1"/>
  <c r="J76" i="1"/>
  <c r="J61" i="1"/>
  <c r="K61" i="1" s="1"/>
  <c r="J170" i="1"/>
  <c r="J171" i="1"/>
  <c r="K171" i="1" s="1"/>
  <c r="J62" i="1"/>
  <c r="K62" i="1" s="1"/>
  <c r="J22" i="1"/>
  <c r="J36" i="1"/>
  <c r="J74" i="1"/>
  <c r="J26" i="1"/>
  <c r="K26" i="1" s="1"/>
  <c r="J28" i="1"/>
  <c r="J45" i="1"/>
  <c r="K45" i="1" s="1"/>
  <c r="J43" i="1"/>
  <c r="K43" i="1" s="1"/>
  <c r="J34" i="1"/>
  <c r="J96" i="1"/>
  <c r="J99" i="1"/>
  <c r="J126" i="1"/>
  <c r="J151" i="1"/>
  <c r="J138" i="1"/>
  <c r="J152" i="1"/>
  <c r="J35" i="1"/>
  <c r="J56" i="1"/>
  <c r="K56" i="1" s="1"/>
  <c r="J83" i="1"/>
  <c r="J108" i="1"/>
  <c r="J159" i="1"/>
  <c r="J145" i="1"/>
  <c r="J160" i="1"/>
  <c r="J44" i="1"/>
  <c r="K44" i="1" s="1"/>
  <c r="J55" i="1"/>
  <c r="K55" i="1" s="1"/>
  <c r="J60" i="1"/>
  <c r="K60" i="1" s="1"/>
  <c r="J84" i="1"/>
  <c r="J102" i="1"/>
  <c r="J139" i="1"/>
  <c r="J135" i="1"/>
  <c r="E152" i="1"/>
  <c r="K34" i="1" l="1"/>
  <c r="K36" i="1"/>
  <c r="K28" i="1"/>
  <c r="K27" i="1"/>
  <c r="G35" i="1"/>
  <c r="K35" i="1" s="1"/>
  <c r="Q43" i="183"/>
  <c r="Q44" i="183"/>
  <c r="Q45" i="183"/>
  <c r="G21" i="1" s="1"/>
  <c r="K176" i="1"/>
  <c r="C21" i="1" l="1"/>
  <c r="K21" i="1"/>
  <c r="Q47" i="183"/>
  <c r="Q46" i="183"/>
  <c r="Q74" i="183"/>
  <c r="Q75" i="183"/>
  <c r="G31" i="1" s="1"/>
  <c r="K31" i="1" s="1"/>
  <c r="Q50" i="183"/>
  <c r="G22" i="1" s="1"/>
  <c r="Q42" i="183"/>
  <c r="Q41" i="183"/>
  <c r="P20" i="64"/>
  <c r="G140" i="1" s="1"/>
  <c r="K140" i="1" s="1"/>
  <c r="L31" i="54"/>
  <c r="K31" i="54"/>
  <c r="J31" i="54"/>
  <c r="I31" i="54"/>
  <c r="H31" i="54"/>
  <c r="Q30" i="54"/>
  <c r="G164" i="1" s="1"/>
  <c r="Q28" i="54"/>
  <c r="Q26" i="54"/>
  <c r="C22" i="1" l="1"/>
  <c r="C25" i="1" s="1"/>
  <c r="C26" i="1" s="1"/>
  <c r="C27" i="1" s="1"/>
  <c r="C28" i="1" s="1"/>
  <c r="C31" i="1" s="1"/>
  <c r="C34" i="1" s="1"/>
  <c r="K22" i="1"/>
  <c r="G163" i="1"/>
  <c r="Q76" i="183"/>
  <c r="Q40" i="183"/>
  <c r="H10" i="64"/>
  <c r="J10" i="64"/>
  <c r="N10" i="64"/>
  <c r="Q32" i="54"/>
  <c r="G165" i="1" s="1"/>
  <c r="P36" i="64"/>
  <c r="P25" i="64"/>
  <c r="Q39" i="183" l="1"/>
  <c r="P38" i="64"/>
  <c r="G152" i="1" s="1"/>
  <c r="K152" i="1" s="1"/>
  <c r="P30" i="64"/>
  <c r="G146" i="1" s="1"/>
  <c r="K146" i="1" s="1"/>
  <c r="P29" i="64"/>
  <c r="G145" i="1" s="1"/>
  <c r="K145" i="1" s="1"/>
  <c r="P37" i="64"/>
  <c r="G151" i="1" s="1"/>
  <c r="K151" i="1" s="1"/>
  <c r="L10" i="64"/>
  <c r="K10" i="64"/>
  <c r="I10" i="64"/>
  <c r="G10" i="64"/>
  <c r="M10" i="64"/>
  <c r="P14" i="64"/>
  <c r="Q69" i="183" l="1"/>
  <c r="Q77" i="183"/>
  <c r="P31" i="64"/>
  <c r="G147" i="1" s="1"/>
  <c r="K147" i="1" s="1"/>
  <c r="P10" i="64"/>
  <c r="P16" i="64"/>
  <c r="G138" i="1" s="1"/>
  <c r="K138" i="1" s="1"/>
  <c r="P19" i="64"/>
  <c r="G139" i="1" s="1"/>
  <c r="K139" i="1" s="1"/>
  <c r="P21" i="64"/>
  <c r="G141" i="1" s="1"/>
  <c r="K141" i="1" s="1"/>
  <c r="Q22" i="54"/>
  <c r="Q19" i="54"/>
  <c r="Q16" i="54"/>
  <c r="Q12" i="54"/>
  <c r="Q11" i="54"/>
  <c r="Q10" i="54"/>
  <c r="H8" i="54"/>
  <c r="I8" i="54"/>
  <c r="P12" i="65"/>
  <c r="G8" i="65"/>
  <c r="H8" i="65"/>
  <c r="I8" i="65"/>
  <c r="J8" i="65"/>
  <c r="K8" i="65"/>
  <c r="L8" i="65"/>
  <c r="M8" i="65"/>
  <c r="N8" i="65"/>
  <c r="G125" i="1" l="1"/>
  <c r="G135" i="1"/>
  <c r="K135" i="1" s="1"/>
  <c r="Q18" i="54"/>
  <c r="Q21" i="54"/>
  <c r="Q24" i="54"/>
  <c r="Q14" i="54"/>
  <c r="G159" i="1" s="1"/>
  <c r="O17" i="66" l="1"/>
  <c r="N17" i="66"/>
  <c r="M17" i="66"/>
  <c r="L17" i="66"/>
  <c r="K17" i="66"/>
  <c r="J17" i="66"/>
  <c r="I17" i="66"/>
  <c r="O16" i="66"/>
  <c r="N16" i="66"/>
  <c r="M16" i="66"/>
  <c r="L16" i="66"/>
  <c r="K16" i="66"/>
  <c r="J16" i="66"/>
  <c r="I16" i="66"/>
  <c r="O15" i="66"/>
  <c r="N15" i="66"/>
  <c r="M15" i="66"/>
  <c r="L15" i="66"/>
  <c r="K15" i="66"/>
  <c r="J15" i="66"/>
  <c r="I15" i="66"/>
  <c r="O14" i="66"/>
  <c r="N14" i="66"/>
  <c r="M14" i="66"/>
  <c r="L14" i="66"/>
  <c r="K14" i="66"/>
  <c r="J14" i="66"/>
  <c r="I14" i="66"/>
  <c r="O13" i="66"/>
  <c r="N13" i="66"/>
  <c r="M13" i="66"/>
  <c r="L13" i="66"/>
  <c r="K13" i="66"/>
  <c r="J13" i="66"/>
  <c r="I13" i="66"/>
  <c r="O12" i="66"/>
  <c r="O20" i="66" s="1"/>
  <c r="N12" i="66"/>
  <c r="N20" i="66" s="1"/>
  <c r="M12" i="66"/>
  <c r="M20" i="66" s="1"/>
  <c r="L12" i="66"/>
  <c r="L20" i="66" s="1"/>
  <c r="K12" i="66"/>
  <c r="J12" i="66"/>
  <c r="I12" i="66"/>
  <c r="O11" i="66"/>
  <c r="N11" i="66"/>
  <c r="M11" i="66"/>
  <c r="L11" i="66"/>
  <c r="K11" i="66"/>
  <c r="J11" i="66"/>
  <c r="O10" i="66"/>
  <c r="N10" i="66"/>
  <c r="M10" i="66"/>
  <c r="L10" i="66"/>
  <c r="K10" i="66"/>
  <c r="J10" i="66"/>
  <c r="I10" i="66"/>
  <c r="H17" i="66"/>
  <c r="H16" i="66"/>
  <c r="H15" i="66"/>
  <c r="H14" i="66"/>
  <c r="H13" i="66"/>
  <c r="H12" i="66"/>
  <c r="H10" i="66"/>
  <c r="O8" i="66"/>
  <c r="N8" i="66"/>
  <c r="M8" i="66"/>
  <c r="L8" i="66"/>
  <c r="K8" i="66"/>
  <c r="J8" i="66"/>
  <c r="I8" i="66"/>
  <c r="H8" i="66"/>
  <c r="P17" i="67"/>
  <c r="P15" i="67"/>
  <c r="N18" i="67"/>
  <c r="M18" i="67"/>
  <c r="L18" i="67"/>
  <c r="K18" i="67"/>
  <c r="J18" i="67"/>
  <c r="I18" i="67"/>
  <c r="H18" i="67"/>
  <c r="G18" i="67"/>
  <c r="H23" i="67"/>
  <c r="C20" i="52"/>
  <c r="C19" i="52"/>
  <c r="C18" i="52"/>
  <c r="C17" i="52"/>
  <c r="C16" i="52"/>
  <c r="C15" i="52"/>
  <c r="C14" i="52"/>
  <c r="C13" i="52"/>
  <c r="P10" i="67"/>
  <c r="F22" i="52"/>
  <c r="E22" i="52"/>
  <c r="C6" i="52"/>
  <c r="C5" i="52"/>
  <c r="C3" i="52"/>
  <c r="C2" i="52"/>
  <c r="R37" i="53"/>
  <c r="R54" i="53" s="1"/>
  <c r="N17" i="65" l="1"/>
  <c r="N16" i="65"/>
  <c r="P10" i="65"/>
  <c r="H20" i="66"/>
  <c r="H23" i="66"/>
  <c r="L16" i="65"/>
  <c r="L17" i="65"/>
  <c r="H16" i="65"/>
  <c r="H17" i="65"/>
  <c r="I17" i="65"/>
  <c r="I16" i="65"/>
  <c r="I20" i="66"/>
  <c r="I23" i="66"/>
  <c r="M16" i="65"/>
  <c r="M17" i="65"/>
  <c r="J17" i="65"/>
  <c r="J16" i="65"/>
  <c r="K16" i="65"/>
  <c r="K17" i="65"/>
  <c r="J20" i="66"/>
  <c r="K20" i="66"/>
  <c r="M23" i="66"/>
  <c r="N23" i="66"/>
  <c r="O23" i="66"/>
  <c r="J23" i="66"/>
  <c r="J25" i="66" s="1"/>
  <c r="J26" i="66" s="1"/>
  <c r="J27" i="66" s="1"/>
  <c r="J28" i="66" s="1"/>
  <c r="K23" i="66"/>
  <c r="L23" i="66"/>
  <c r="L25" i="66" s="1"/>
  <c r="L26" i="66" s="1"/>
  <c r="L27" i="66" s="1"/>
  <c r="L28" i="66" s="1"/>
  <c r="H10" i="62"/>
  <c r="I18" i="66"/>
  <c r="K18" i="66"/>
  <c r="K30" i="66" s="1"/>
  <c r="M18" i="66"/>
  <c r="M30" i="66" s="1"/>
  <c r="O18" i="66"/>
  <c r="H18" i="66"/>
  <c r="H30" i="66" s="1"/>
  <c r="J18" i="66"/>
  <c r="J30" i="66" s="1"/>
  <c r="L18" i="66"/>
  <c r="L30" i="66" s="1"/>
  <c r="N18" i="66"/>
  <c r="P18" i="67"/>
  <c r="N23" i="67"/>
  <c r="G23" i="67"/>
  <c r="Q10" i="66"/>
  <c r="Q15" i="66"/>
  <c r="Q17" i="66"/>
  <c r="M23" i="67"/>
  <c r="K23" i="67"/>
  <c r="P20" i="67"/>
  <c r="G83" i="1" s="1"/>
  <c r="K83" i="1" s="1"/>
  <c r="G124" i="1" l="1"/>
  <c r="R10" i="65"/>
  <c r="R15" i="65" s="1"/>
  <c r="R16" i="65" s="1"/>
  <c r="J25" i="67"/>
  <c r="K37" i="66"/>
  <c r="K38" i="66" s="1"/>
  <c r="L25" i="67"/>
  <c r="M37" i="66"/>
  <c r="M38" i="66" s="1"/>
  <c r="K25" i="67"/>
  <c r="L37" i="66"/>
  <c r="L38" i="66" s="1"/>
  <c r="I25" i="67"/>
  <c r="J37" i="66"/>
  <c r="J38" i="66" s="1"/>
  <c r="G16" i="65"/>
  <c r="P16" i="65" s="1"/>
  <c r="G127" i="1" s="1"/>
  <c r="K127" i="1" s="1"/>
  <c r="G17" i="65"/>
  <c r="P17" i="65" s="1"/>
  <c r="G128" i="1" s="1"/>
  <c r="K128" i="1" s="1"/>
  <c r="P15" i="65"/>
  <c r="G126" i="1" s="1"/>
  <c r="K126" i="1" s="1"/>
  <c r="M25" i="66"/>
  <c r="M26" i="66" s="1"/>
  <c r="M27" i="66" s="1"/>
  <c r="M28" i="66" s="1"/>
  <c r="K25" i="66"/>
  <c r="K26" i="66" s="1"/>
  <c r="K27" i="66" s="1"/>
  <c r="K28" i="66" s="1"/>
  <c r="O25" i="66"/>
  <c r="O26" i="66" s="1"/>
  <c r="O27" i="66" s="1"/>
  <c r="O28" i="66" s="1"/>
  <c r="I25" i="66"/>
  <c r="I26" i="66" s="1"/>
  <c r="I27" i="66" s="1"/>
  <c r="I28" i="66" s="1"/>
  <c r="G25" i="67"/>
  <c r="H37" i="66"/>
  <c r="N25" i="66"/>
  <c r="N26" i="66" s="1"/>
  <c r="N27" i="66" s="1"/>
  <c r="N28" i="66" s="1"/>
  <c r="H25" i="66"/>
  <c r="O21" i="66"/>
  <c r="M32" i="66"/>
  <c r="M33" i="66" s="1"/>
  <c r="I30" i="66"/>
  <c r="N21" i="66"/>
  <c r="M21" i="66"/>
  <c r="K32" i="66"/>
  <c r="L32" i="66"/>
  <c r="H32" i="66"/>
  <c r="J32" i="66"/>
  <c r="K21" i="66"/>
  <c r="O30" i="66"/>
  <c r="N30" i="66"/>
  <c r="I21" i="66"/>
  <c r="J21" i="66"/>
  <c r="H21" i="66"/>
  <c r="L21" i="66"/>
  <c r="C83" i="1"/>
  <c r="L23" i="67"/>
  <c r="Q18" i="66"/>
  <c r="J23" i="67"/>
  <c r="I23" i="67"/>
  <c r="P21" i="67"/>
  <c r="G84" i="1" s="1"/>
  <c r="K84" i="1" s="1"/>
  <c r="J39" i="66" l="1"/>
  <c r="J40" i="66"/>
  <c r="L40" i="66"/>
  <c r="L39" i="66"/>
  <c r="M25" i="67"/>
  <c r="N37" i="66"/>
  <c r="N38" i="66" s="1"/>
  <c r="M40" i="66"/>
  <c r="M39" i="66"/>
  <c r="K40" i="66"/>
  <c r="K39" i="66"/>
  <c r="N25" i="67"/>
  <c r="O37" i="66"/>
  <c r="O38" i="66" s="1"/>
  <c r="H25" i="67"/>
  <c r="I37" i="66"/>
  <c r="I38" i="66" s="1"/>
  <c r="H26" i="66"/>
  <c r="H27" i="66" s="1"/>
  <c r="H28" i="66" s="1"/>
  <c r="M34" i="66"/>
  <c r="I32" i="66"/>
  <c r="O32" i="66"/>
  <c r="O34" i="66" s="1"/>
  <c r="Q30" i="66"/>
  <c r="P25" i="67" s="1"/>
  <c r="K34" i="66"/>
  <c r="K33" i="66"/>
  <c r="L34" i="66"/>
  <c r="L33" i="66"/>
  <c r="J34" i="66"/>
  <c r="J33" i="66"/>
  <c r="N32" i="66"/>
  <c r="H38" i="66"/>
  <c r="H33" i="66"/>
  <c r="H34" i="66"/>
  <c r="C84" i="1"/>
  <c r="Q25" i="66"/>
  <c r="G96" i="1" s="1"/>
  <c r="K96" i="1" s="1"/>
  <c r="Q21" i="66"/>
  <c r="G93" i="1" s="1"/>
  <c r="K93" i="1" s="1"/>
  <c r="P23" i="67"/>
  <c r="G86" i="1" s="1"/>
  <c r="K86" i="1" s="1"/>
  <c r="N39" i="66" l="1"/>
  <c r="N40" i="66"/>
  <c r="O40" i="66"/>
  <c r="O39" i="66"/>
  <c r="I39" i="66"/>
  <c r="I40" i="66"/>
  <c r="G108" i="1"/>
  <c r="K108" i="1" s="1"/>
  <c r="Q37" i="66"/>
  <c r="G114" i="1" s="1"/>
  <c r="K114" i="1" s="1"/>
  <c r="O33" i="66"/>
  <c r="I33" i="66"/>
  <c r="I34" i="66"/>
  <c r="H40" i="66"/>
  <c r="H39" i="66"/>
  <c r="N33" i="66"/>
  <c r="N34" i="66"/>
  <c r="C93" i="1"/>
  <c r="C96" i="1" s="1"/>
  <c r="Q26" i="66"/>
  <c r="G99" i="1" s="1"/>
  <c r="Q27" i="66"/>
  <c r="G102" i="1" s="1"/>
  <c r="K102" i="1" s="1"/>
  <c r="C99" i="1" l="1"/>
  <c r="C102" i="1" s="1"/>
  <c r="Q38" i="66"/>
  <c r="G115" i="1" s="1"/>
  <c r="K115" i="1" s="1"/>
  <c r="Q40" i="66"/>
  <c r="G117" i="1" s="1"/>
  <c r="K117" i="1" s="1"/>
  <c r="Q39" i="66"/>
  <c r="G116" i="1" s="1"/>
  <c r="Q28" i="66"/>
  <c r="G105" i="1" s="1"/>
  <c r="K105" i="1" s="1"/>
  <c r="C105" i="1" l="1"/>
  <c r="C108" i="1" s="1"/>
  <c r="J10" i="62" l="1"/>
  <c r="G15" i="1"/>
  <c r="Q32" i="66"/>
  <c r="G109" i="1" s="1"/>
  <c r="K109" i="1" s="1"/>
  <c r="J165" i="1"/>
  <c r="Q33" i="66" l="1"/>
  <c r="G110" i="1" s="1"/>
  <c r="K110" i="1" s="1"/>
  <c r="Q34" i="66"/>
  <c r="G111" i="1" s="1"/>
  <c r="K111" i="1" s="1"/>
  <c r="J73" i="1"/>
  <c r="J125" i="1"/>
  <c r="K125" i="1" s="1"/>
  <c r="J150" i="1"/>
  <c r="J124" i="1"/>
  <c r="K124" i="1" s="1"/>
  <c r="J59" i="1"/>
  <c r="K59" i="1" s="1"/>
  <c r="K130" i="1" l="1"/>
  <c r="K154" i="1"/>
  <c r="C159" i="1"/>
  <c r="C124" i="1" l="1"/>
  <c r="C125" i="1" s="1"/>
  <c r="C126" i="1" l="1"/>
  <c r="C127" i="1" l="1"/>
  <c r="C128" i="1" s="1"/>
  <c r="C135" i="1"/>
  <c r="C138" i="1" s="1"/>
  <c r="C139" i="1" s="1"/>
  <c r="C140" i="1" s="1"/>
  <c r="C141" i="1" s="1"/>
  <c r="C144" i="1" s="1"/>
  <c r="C145" i="1" s="1"/>
  <c r="C146" i="1" s="1"/>
  <c r="C147" i="1" s="1"/>
  <c r="D19" i="53"/>
  <c r="D17" i="53"/>
  <c r="C19" i="53"/>
  <c r="C17" i="53"/>
  <c r="C160" i="1"/>
  <c r="D13" i="53"/>
  <c r="D12" i="53"/>
  <c r="C13" i="53"/>
  <c r="C12" i="53"/>
  <c r="C163" i="1" l="1"/>
  <c r="C164" i="1" s="1"/>
  <c r="C165" i="1" s="1"/>
  <c r="K188" i="1" l="1"/>
  <c r="E16" i="51" s="1"/>
  <c r="K189" i="1"/>
  <c r="E17" i="51" s="1"/>
  <c r="C43" i="1"/>
  <c r="C44" i="1" s="1"/>
  <c r="C45" i="1" s="1"/>
  <c r="C46" i="1" s="1"/>
  <c r="C49" i="1" s="1"/>
  <c r="C50" i="1" s="1"/>
  <c r="D16" i="53"/>
  <c r="D15" i="53"/>
  <c r="D20" i="53"/>
  <c r="C16" i="53"/>
  <c r="C15" i="53"/>
  <c r="C20" i="53"/>
  <c r="D10" i="51"/>
  <c r="C10" i="51"/>
  <c r="C14" i="1"/>
  <c r="C15" i="1" s="1"/>
  <c r="C11" i="53" l="1"/>
  <c r="C45" i="53"/>
  <c r="C28" i="53"/>
  <c r="D11" i="53"/>
  <c r="D45" i="53"/>
  <c r="D28" i="53"/>
  <c r="F34" i="53"/>
  <c r="F51" i="53"/>
  <c r="F18" i="53"/>
  <c r="F35" i="53"/>
  <c r="F52" i="53"/>
  <c r="C51" i="1"/>
  <c r="C52" i="1" s="1"/>
  <c r="C55" i="1" s="1"/>
  <c r="C56" i="1" s="1"/>
  <c r="C150" i="1" l="1"/>
  <c r="C59" i="1"/>
  <c r="C60" i="1" s="1"/>
  <c r="K191" i="1"/>
  <c r="E19" i="51" s="1"/>
  <c r="F54" i="53" l="1"/>
  <c r="F37" i="53"/>
  <c r="C151" i="1"/>
  <c r="C152" i="1" s="1"/>
  <c r="C61" i="1"/>
  <c r="C62" i="1" s="1"/>
  <c r="F20" i="53"/>
  <c r="C109" i="1" l="1"/>
  <c r="C110" i="1" s="1"/>
  <c r="C111" i="1" s="1"/>
  <c r="C114" i="1" s="1"/>
  <c r="C115" i="1" s="1"/>
  <c r="C70" i="1"/>
  <c r="C73" i="1" s="1"/>
  <c r="C74" i="1" l="1"/>
  <c r="C75" i="1" l="1"/>
  <c r="C76" i="1" s="1"/>
  <c r="C116" i="1" l="1"/>
  <c r="C117" i="1" s="1"/>
  <c r="J14" i="1" l="1"/>
  <c r="K14" i="1" s="1"/>
  <c r="J15" i="1"/>
  <c r="K15" i="1" s="1"/>
  <c r="J46" i="1" l="1"/>
  <c r="K46" i="1" s="1"/>
  <c r="J50" i="1"/>
  <c r="K50" i="1" s="1"/>
  <c r="J52" i="1"/>
  <c r="K52" i="1" s="1"/>
  <c r="J51" i="1"/>
  <c r="K51" i="1" s="1"/>
  <c r="J70" i="1"/>
  <c r="K78" i="1" l="1"/>
  <c r="K185" i="1" s="1"/>
  <c r="E13" i="51" s="1"/>
  <c r="K64" i="1"/>
  <c r="K184" i="1" s="1"/>
  <c r="E12" i="51" s="1"/>
  <c r="F14" i="53" l="1"/>
  <c r="F48" i="53"/>
  <c r="F31" i="53"/>
  <c r="F47" i="53"/>
  <c r="F30" i="53"/>
  <c r="F13" i="53"/>
  <c r="I39" i="113" l="1"/>
  <c r="I47" i="113" s="1"/>
  <c r="H163" i="1" s="1"/>
  <c r="J163" i="1" l="1"/>
  <c r="K167" i="1" s="1"/>
  <c r="K190" i="1" l="1"/>
  <c r="E18" i="51" s="1"/>
  <c r="F36" i="53" l="1"/>
  <c r="F53" i="53"/>
  <c r="F19" i="53"/>
  <c r="E22" i="67"/>
  <c r="I22" i="67" l="1"/>
  <c r="H22" i="67"/>
  <c r="G22" i="67"/>
  <c r="J22" i="67"/>
  <c r="N22" i="67"/>
  <c r="M22" i="67"/>
  <c r="L22" i="67"/>
  <c r="K22" i="67"/>
  <c r="E85" i="1"/>
  <c r="P22" i="67" l="1"/>
  <c r="G85" i="1" s="1"/>
  <c r="K85" i="1" s="1"/>
  <c r="C35" i="1" l="1"/>
  <c r="C36" i="1" s="1"/>
  <c r="C85" i="1"/>
  <c r="C86" i="1" s="1"/>
  <c r="K88" i="1"/>
  <c r="K38" i="1" l="1"/>
  <c r="K183" i="1" s="1"/>
  <c r="K186" i="1"/>
  <c r="K16" i="1"/>
  <c r="K182" i="1" s="1"/>
  <c r="E14" i="51" l="1"/>
  <c r="F17" i="53"/>
  <c r="E11" i="51"/>
  <c r="E10" i="51"/>
  <c r="F46" i="53" l="1"/>
  <c r="F45" i="53"/>
  <c r="F28" i="53"/>
  <c r="F15" i="53"/>
  <c r="F49" i="53"/>
  <c r="F32" i="53"/>
  <c r="F12" i="53"/>
  <c r="F29" i="53"/>
  <c r="F11" i="53"/>
  <c r="K119" i="1" l="1"/>
  <c r="K187" i="1" s="1"/>
  <c r="K178" i="1" l="1"/>
  <c r="L25" i="1" s="1"/>
  <c r="E15" i="51"/>
  <c r="K193" i="1"/>
  <c r="F50" i="53" l="1"/>
  <c r="F56" i="53" s="1"/>
  <c r="F33" i="53"/>
  <c r="F39" i="53" s="1"/>
  <c r="L35" i="1"/>
  <c r="L36" i="1"/>
  <c r="L145" i="1"/>
  <c r="L164" i="1"/>
  <c r="L116" i="1"/>
  <c r="L21" i="1"/>
  <c r="L141" i="1"/>
  <c r="L52" i="1"/>
  <c r="L105" i="1"/>
  <c r="L31" i="1"/>
  <c r="L140" i="1"/>
  <c r="L163" i="1"/>
  <c r="L51" i="1"/>
  <c r="L26" i="1"/>
  <c r="L159" i="1"/>
  <c r="L75" i="1"/>
  <c r="L56" i="1"/>
  <c r="L61" i="1"/>
  <c r="L85" i="1"/>
  <c r="L27" i="1"/>
  <c r="L110" i="1"/>
  <c r="L46" i="1"/>
  <c r="L14" i="1"/>
  <c r="L93" i="1"/>
  <c r="L44" i="1"/>
  <c r="L114" i="1"/>
  <c r="L126" i="1"/>
  <c r="L135" i="1"/>
  <c r="L43" i="1"/>
  <c r="L76" i="1"/>
  <c r="L49" i="1"/>
  <c r="L108" i="1"/>
  <c r="L22" i="1"/>
  <c r="L115" i="1"/>
  <c r="L165" i="1"/>
  <c r="L70" i="1"/>
  <c r="L160" i="1"/>
  <c r="L45" i="1"/>
  <c r="L15" i="1"/>
  <c r="L83" i="1"/>
  <c r="L170" i="1"/>
  <c r="L74" i="1"/>
  <c r="L34" i="1"/>
  <c r="L146" i="1"/>
  <c r="L96" i="1"/>
  <c r="L109" i="1"/>
  <c r="L138" i="1"/>
  <c r="L151" i="1"/>
  <c r="L128" i="1"/>
  <c r="L117" i="1"/>
  <c r="L173" i="1"/>
  <c r="L171" i="1"/>
  <c r="L124" i="1"/>
  <c r="L73" i="1"/>
  <c r="L50" i="1"/>
  <c r="L139" i="1"/>
  <c r="L86" i="1"/>
  <c r="L55" i="1"/>
  <c r="L84" i="1"/>
  <c r="L150" i="1"/>
  <c r="L99" i="1"/>
  <c r="L102" i="1"/>
  <c r="L172" i="1"/>
  <c r="L60" i="1"/>
  <c r="L28" i="1"/>
  <c r="L174" i="1"/>
  <c r="L125" i="1"/>
  <c r="L144" i="1"/>
  <c r="L62" i="1"/>
  <c r="L147" i="1"/>
  <c r="L152" i="1"/>
  <c r="L111" i="1"/>
  <c r="L59" i="1"/>
  <c r="L127" i="1"/>
  <c r="L175" i="1"/>
  <c r="L69" i="1"/>
  <c r="E21" i="51"/>
  <c r="F16" i="53"/>
  <c r="F22" i="53" s="1"/>
  <c r="L16" i="1" l="1"/>
  <c r="L182" i="1" s="1"/>
  <c r="F10" i="51" s="1"/>
  <c r="L64" i="1"/>
  <c r="L184" i="1" s="1"/>
  <c r="F12" i="51" s="1"/>
  <c r="E47" i="53" s="1"/>
  <c r="L78" i="1"/>
  <c r="L185" i="1" s="1"/>
  <c r="F13" i="51" s="1"/>
  <c r="E48" i="53" s="1"/>
  <c r="L88" i="1"/>
  <c r="L186" i="1" s="1"/>
  <c r="F14" i="51" s="1"/>
  <c r="E49" i="53" s="1"/>
  <c r="L130" i="1"/>
  <c r="L188" i="1" s="1"/>
  <c r="F16" i="51" s="1"/>
  <c r="E51" i="53" s="1"/>
  <c r="L176" i="1"/>
  <c r="L119" i="1"/>
  <c r="L187" i="1" s="1"/>
  <c r="F15" i="51" s="1"/>
  <c r="E50" i="53" s="1"/>
  <c r="L154" i="1"/>
  <c r="L189" i="1" s="1"/>
  <c r="F17" i="51" s="1"/>
  <c r="E52" i="53" s="1"/>
  <c r="L38" i="1"/>
  <c r="L183" i="1" s="1"/>
  <c r="F11" i="51" s="1"/>
  <c r="E46" i="53" s="1"/>
  <c r="L167" i="1"/>
  <c r="L190" i="1" s="1"/>
  <c r="F18" i="51" s="1"/>
  <c r="E53" i="53" s="1"/>
  <c r="E67" i="53"/>
  <c r="F66" i="53"/>
  <c r="L191" i="1" l="1"/>
  <c r="F19" i="51" s="1"/>
  <c r="E54" i="53" s="1"/>
  <c r="M52" i="53"/>
  <c r="M46" i="53"/>
  <c r="M53" i="53"/>
  <c r="M49" i="53"/>
  <c r="M51" i="53"/>
  <c r="M45" i="53"/>
  <c r="M48" i="53"/>
  <c r="M50" i="53"/>
  <c r="M47" i="53"/>
  <c r="M54" i="53"/>
  <c r="M35" i="53"/>
  <c r="M29" i="53"/>
  <c r="M30" i="53"/>
  <c r="M34" i="53"/>
  <c r="M28" i="53"/>
  <c r="M36" i="53"/>
  <c r="M33" i="53"/>
  <c r="M32" i="53"/>
  <c r="M37" i="53"/>
  <c r="M31" i="53"/>
  <c r="M18" i="53"/>
  <c r="M12" i="53"/>
  <c r="M13" i="53"/>
  <c r="M19" i="53"/>
  <c r="M17" i="53"/>
  <c r="M11" i="53"/>
  <c r="M16" i="53"/>
  <c r="M15" i="53"/>
  <c r="M14" i="53"/>
  <c r="M20" i="53"/>
  <c r="J49" i="53"/>
  <c r="J54" i="53"/>
  <c r="J48" i="53"/>
  <c r="J50" i="53"/>
  <c r="J53" i="53"/>
  <c r="J47" i="53"/>
  <c r="J45" i="53"/>
  <c r="J52" i="53"/>
  <c r="J46" i="53"/>
  <c r="J51" i="53"/>
  <c r="G52" i="53"/>
  <c r="G53" i="53"/>
  <c r="G50" i="53"/>
  <c r="G51" i="53"/>
  <c r="G48" i="53"/>
  <c r="G49" i="53"/>
  <c r="G54" i="53"/>
  <c r="G47" i="53"/>
  <c r="G45" i="53"/>
  <c r="G46" i="53"/>
  <c r="E28" i="53"/>
  <c r="E45" i="53"/>
  <c r="E56" i="53" s="1"/>
  <c r="J32" i="53"/>
  <c r="J37" i="53"/>
  <c r="J31" i="53"/>
  <c r="J33" i="53"/>
  <c r="J36" i="53"/>
  <c r="J30" i="53"/>
  <c r="J35" i="53"/>
  <c r="J29" i="53"/>
  <c r="J28" i="53"/>
  <c r="J34" i="53"/>
  <c r="G35" i="53"/>
  <c r="G37" i="53"/>
  <c r="G36" i="53"/>
  <c r="G34" i="53"/>
  <c r="G32" i="53"/>
  <c r="G33" i="53"/>
  <c r="G30" i="53"/>
  <c r="G31" i="53"/>
  <c r="G28" i="53"/>
  <c r="G29" i="53"/>
  <c r="E12" i="53"/>
  <c r="E29" i="53"/>
  <c r="E18" i="53"/>
  <c r="E35" i="53"/>
  <c r="E16" i="53"/>
  <c r="E33" i="53"/>
  <c r="E20" i="53"/>
  <c r="E37" i="53"/>
  <c r="E17" i="53"/>
  <c r="E34" i="53"/>
  <c r="E19" i="53"/>
  <c r="E36" i="53"/>
  <c r="E15" i="53"/>
  <c r="E32" i="53"/>
  <c r="E14" i="53"/>
  <c r="E31" i="53"/>
  <c r="E13" i="53"/>
  <c r="E30" i="53"/>
  <c r="J14" i="53"/>
  <c r="G14" i="53"/>
  <c r="L193" i="1"/>
  <c r="L178" i="1"/>
  <c r="E11" i="53"/>
  <c r="F21" i="51"/>
  <c r="J16" i="53"/>
  <c r="J11" i="53"/>
  <c r="G15" i="53"/>
  <c r="J17" i="53"/>
  <c r="J20" i="53"/>
  <c r="J19" i="53"/>
  <c r="G20" i="53"/>
  <c r="G11" i="53"/>
  <c r="J13" i="53"/>
  <c r="G17" i="53"/>
  <c r="G18" i="53"/>
  <c r="J12" i="53"/>
  <c r="G13" i="53"/>
  <c r="G19" i="53"/>
  <c r="F67" i="53"/>
  <c r="J18" i="53"/>
  <c r="G12" i="53"/>
  <c r="J15" i="53"/>
  <c r="G16" i="53"/>
  <c r="M56" i="53" l="1"/>
  <c r="N48" i="53"/>
  <c r="N51" i="53"/>
  <c r="N45" i="53"/>
  <c r="N53" i="53"/>
  <c r="N50" i="53"/>
  <c r="N52" i="53"/>
  <c r="N47" i="53"/>
  <c r="N46" i="53"/>
  <c r="N49" i="53"/>
  <c r="N54" i="53"/>
  <c r="M39" i="53"/>
  <c r="N34" i="53"/>
  <c r="N28" i="53"/>
  <c r="N35" i="53"/>
  <c r="N33" i="53"/>
  <c r="N32" i="53"/>
  <c r="N37" i="53"/>
  <c r="N31" i="53"/>
  <c r="N30" i="53"/>
  <c r="N29" i="53"/>
  <c r="N36" i="53"/>
  <c r="M22" i="53"/>
  <c r="N17" i="53"/>
  <c r="N11" i="53"/>
  <c r="N12" i="53"/>
  <c r="N16" i="53"/>
  <c r="N13" i="53"/>
  <c r="N15" i="53"/>
  <c r="N14" i="53"/>
  <c r="N18" i="53"/>
  <c r="N19" i="53"/>
  <c r="N20" i="53"/>
  <c r="K54" i="53"/>
  <c r="K48" i="53"/>
  <c r="K51" i="53"/>
  <c r="K53" i="53"/>
  <c r="K47" i="53"/>
  <c r="K52" i="53"/>
  <c r="K46" i="53"/>
  <c r="K49" i="53"/>
  <c r="K45" i="53"/>
  <c r="K50" i="53"/>
  <c r="H52" i="53"/>
  <c r="H53" i="53"/>
  <c r="H50" i="53"/>
  <c r="H51" i="53"/>
  <c r="H48" i="53"/>
  <c r="H49" i="53"/>
  <c r="H54" i="53"/>
  <c r="H47" i="53"/>
  <c r="H45" i="53"/>
  <c r="H46" i="53"/>
  <c r="K37" i="53"/>
  <c r="K31" i="53"/>
  <c r="K36" i="53"/>
  <c r="K30" i="53"/>
  <c r="K35" i="53"/>
  <c r="K29" i="53"/>
  <c r="K33" i="53"/>
  <c r="K32" i="53"/>
  <c r="K34" i="53"/>
  <c r="K28" i="53"/>
  <c r="H36" i="53"/>
  <c r="H37" i="53"/>
  <c r="H34" i="53"/>
  <c r="H35" i="53"/>
  <c r="H32" i="53"/>
  <c r="H33" i="53"/>
  <c r="H30" i="53"/>
  <c r="H31" i="53"/>
  <c r="H28" i="53"/>
  <c r="H29" i="53"/>
  <c r="E22" i="53"/>
  <c r="E39" i="53"/>
  <c r="J56" i="53"/>
  <c r="G56" i="53"/>
  <c r="K14" i="53"/>
  <c r="J39" i="53"/>
  <c r="G39" i="53"/>
  <c r="H14" i="53"/>
  <c r="J22" i="53"/>
  <c r="G22" i="53"/>
  <c r="H18" i="53"/>
  <c r="H12" i="53"/>
  <c r="H13" i="53"/>
  <c r="H16" i="53"/>
  <c r="K17" i="53"/>
  <c r="H15" i="53"/>
  <c r="K18" i="53"/>
  <c r="K12" i="53"/>
  <c r="K19" i="53"/>
  <c r="H17" i="53"/>
  <c r="K13" i="53"/>
  <c r="K16" i="53"/>
  <c r="H20" i="53"/>
  <c r="H11" i="53"/>
  <c r="K15" i="53"/>
  <c r="K20" i="53"/>
  <c r="H19" i="53"/>
  <c r="K11" i="53"/>
  <c r="N56" i="53" l="1"/>
  <c r="O56" i="53" s="1"/>
  <c r="N39" i="53"/>
  <c r="O39" i="53" s="1"/>
  <c r="N22" i="53"/>
  <c r="O22" i="53" s="1"/>
  <c r="H56" i="53"/>
  <c r="K56" i="53"/>
  <c r="L56" i="53" s="1"/>
  <c r="K39" i="53"/>
  <c r="L39" i="53" s="1"/>
  <c r="H39" i="53"/>
  <c r="G23" i="53"/>
  <c r="J23" i="53" s="1"/>
  <c r="H22" i="53"/>
  <c r="H23" i="53" s="1"/>
  <c r="K22" i="53"/>
  <c r="I56" i="53" l="1"/>
  <c r="I39" i="53"/>
  <c r="M23" i="53"/>
  <c r="G40" i="53" s="1"/>
  <c r="J40" i="53" s="1"/>
  <c r="K23" i="53"/>
  <c r="I22" i="53"/>
  <c r="I23" i="53" s="1"/>
  <c r="L22" i="53"/>
  <c r="M40" i="53" l="1"/>
  <c r="G57" i="53" s="1"/>
  <c r="J57" i="53" s="1"/>
  <c r="M57" i="53" s="1"/>
  <c r="N23" i="53"/>
  <c r="H40" i="53" s="1"/>
  <c r="K40" i="53" s="1"/>
  <c r="L23" i="53"/>
  <c r="N40" i="53" l="1"/>
  <c r="H57" i="53" s="1"/>
  <c r="K57" i="53" s="1"/>
  <c r="N57" i="53" s="1"/>
  <c r="O23" i="53"/>
  <c r="I40" i="53" s="1"/>
  <c r="L40" i="53" s="1"/>
  <c r="O40" i="53" l="1"/>
  <c r="I57" i="53" s="1"/>
  <c r="L57" i="53" s="1"/>
  <c r="O57" i="53" s="1"/>
</calcChain>
</file>

<file path=xl/sharedStrings.xml><?xml version="1.0" encoding="utf-8"?>
<sst xmlns="http://schemas.openxmlformats.org/spreadsheetml/2006/main" count="1565" uniqueCount="629">
  <si>
    <t>ITEM</t>
  </si>
  <si>
    <t>SERVIÇO</t>
  </si>
  <si>
    <t>DMT</t>
  </si>
  <si>
    <t>UNID.</t>
  </si>
  <si>
    <t>QUANT.</t>
  </si>
  <si>
    <t>TOTAL</t>
  </si>
  <si>
    <t>PREÇO (R$)</t>
  </si>
  <si>
    <t>%</t>
  </si>
  <si>
    <t>SICRO / SINAPI</t>
  </si>
  <si>
    <t>PLANILHA ORÇAMENTÁRIA</t>
  </si>
  <si>
    <t>SEM DESONERAÇÃO</t>
  </si>
  <si>
    <t>SERVIÇOS PRELIMINARES</t>
  </si>
  <si>
    <t>TOTAL GERAL</t>
  </si>
  <si>
    <t>m²</t>
  </si>
  <si>
    <t>m</t>
  </si>
  <si>
    <t>un.</t>
  </si>
  <si>
    <t>m³</t>
  </si>
  <si>
    <t>m³.km</t>
  </si>
  <si>
    <t>QUADRO RESUMO</t>
  </si>
  <si>
    <t>ADMINISTRAÇÃO LOCAL</t>
  </si>
  <si>
    <t>DRENAGEM DE ÁGUAS PLUVIAIS - TERRAPLENAGEM</t>
  </si>
  <si>
    <t>ESCAVAÇÃO DE VALA</t>
  </si>
  <si>
    <t>REGULARIZAÇÃO E ESCORAMENTO DE VALA</t>
  </si>
  <si>
    <t>REATERRO DE VALA</t>
  </si>
  <si>
    <t>CARGA, ESPALHAMENTO E TRANSPORTE DE BOTA FORA</t>
  </si>
  <si>
    <t>FORNECIMENTO DE TUBOS</t>
  </si>
  <si>
    <t>7781 - Insumo</t>
  </si>
  <si>
    <t>7791 - Insumo</t>
  </si>
  <si>
    <t>7750 - Insumo</t>
  </si>
  <si>
    <t>7753 - Insumo</t>
  </si>
  <si>
    <t>ASSENTAMENTO DE TUBOS</t>
  </si>
  <si>
    <t>t.km</t>
  </si>
  <si>
    <t>POÇO DE VISITA</t>
  </si>
  <si>
    <t>CHAMINÉ E TAMPÃO</t>
  </si>
  <si>
    <t>BOCA DE LOBO</t>
  </si>
  <si>
    <t>REGULARIZAÇÃO</t>
  </si>
  <si>
    <t>EXECUÇÃO DA BASE</t>
  </si>
  <si>
    <t>kg</t>
  </si>
  <si>
    <t>IMPLANTAÇÃO ASFÁLTICA - TERRAPLENAGEM - VIÁRIO</t>
  </si>
  <si>
    <t>IMPLANTAÇÃO ASFÁLTICA - PAVIMENTAÇÃO</t>
  </si>
  <si>
    <t>SERVIÇOS COMPLEMENTARES</t>
  </si>
  <si>
    <t>PASSEIO COM ACESSIBILIDADE</t>
  </si>
  <si>
    <t>SINALIZAÇÃO VIÁRIA</t>
  </si>
  <si>
    <t>Escavação manual de vala com profundidade menor ou igual a 1,30m</t>
  </si>
  <si>
    <t>Reaterro manual de valas com compactação mecanizada</t>
  </si>
  <si>
    <t>Chaminé circular para poço de visita para esgoto, em alvenaria com tijolos cerâmicos maciços, diâmetro interno = 0,60m</t>
  </si>
  <si>
    <t>Montagem e desmontagem de forma de pilares retangulares e estruturas similares com área média das seções maior que 0,25m², pé direiro simples, em chapa de madeira compensada resinada, 6 utilizações</t>
  </si>
  <si>
    <t>Armação de estruturas de concreto armado, exceto vigas, pilares, lajes e fundações, utilizando aço CA-50 de 6,30mm</t>
  </si>
  <si>
    <t>MEIO FIO E TENTO</t>
  </si>
  <si>
    <t>CALÇADAS</t>
  </si>
  <si>
    <t>RAMPAS DE ACESSO</t>
  </si>
  <si>
    <t>PISO PODOTÁTIL</t>
  </si>
  <si>
    <t>Preparo manual de terreno sem raspagem superficial</t>
  </si>
  <si>
    <t>PINTURA</t>
  </si>
  <si>
    <t>PLACAS</t>
  </si>
  <si>
    <t>Placa esmaltada para identificação nº de rua, dimensões 45cm x 25cm</t>
  </si>
  <si>
    <t>COMPOSIÇÃO DE CUSTO UNITÁRIO</t>
  </si>
  <si>
    <t>CÓDIGO</t>
  </si>
  <si>
    <t>UNIDADE</t>
  </si>
  <si>
    <t>PRODUÇÃO DE EQUIPE</t>
  </si>
  <si>
    <t>CUSTO HORÁRIO</t>
  </si>
  <si>
    <t>UTILIZAÇÃO</t>
  </si>
  <si>
    <t>PROD.</t>
  </si>
  <si>
    <t>IMPROD.</t>
  </si>
  <si>
    <t>EQUIPAMENTO</t>
  </si>
  <si>
    <t>CUSTO OPERACIONAL</t>
  </si>
  <si>
    <t>CUSTO HORÁRIO DO EQUIPAMENTO</t>
  </si>
  <si>
    <t>MÃO DE OBRA</t>
  </si>
  <si>
    <t>QUANTIDADES</t>
  </si>
  <si>
    <t>SALÁRIO BASE</t>
  </si>
  <si>
    <t>h</t>
  </si>
  <si>
    <t>Carpinteiro de formas com encargos complementares</t>
  </si>
  <si>
    <t>Servente com encargos complementares</t>
  </si>
  <si>
    <t>Pedreiro com encargos complementares</t>
  </si>
  <si>
    <t>CUSTO HORÁRIO DA MÃO DE OBRA</t>
  </si>
  <si>
    <t>CUSTO UNITÁRIO DO EQUIPAMENTO + MÃO DE OBRA</t>
  </si>
  <si>
    <t>CUSTO UNITÁRIO DA EXECUÇÃO</t>
  </si>
  <si>
    <t>CUSTO UNITÁRIO DE MATERIAIS</t>
  </si>
  <si>
    <t>CUSTO UNITÁRIO DE TRANSPORTE</t>
  </si>
  <si>
    <t>TRANSPORTE</t>
  </si>
  <si>
    <t>CUSTO</t>
  </si>
  <si>
    <t>CUSTO UNITÁRIO</t>
  </si>
  <si>
    <t>CUSTO DIRETO TOTAL</t>
  </si>
  <si>
    <t>4433 - Insumo</t>
  </si>
  <si>
    <t>MATERIAIS</t>
  </si>
  <si>
    <t>PV-1 - Poço de visita em alvenaria, 2,32m x 2,32m, em alvenaria de tijolo comum de 1 vez assentadae revestida internamente com argamassa de cimento e areia 1:3, lastro de brita 12cm, berço 18cm em concreto fck = 15MPa, laje de 12cm em concreto armado fck = 20MPa, incluindo forma, escavação manual e reaterro apiloado, conforme projeto tipo, exclusive pescoço e tampão</t>
  </si>
  <si>
    <t>Guindauto hidráulico, capacidade máxima de carga 6.200kg, momento máximo de carga 11,70TM, alcance máximo horizontal 9,70m, inclusive caminhão toco PBT 16.000kg, potência de 189CV</t>
  </si>
  <si>
    <t>Armação de estruturas de concreto armado, exceto vigas, pilares, lajes e fundações, utilizando aço CA-60 de 5,00mm</t>
  </si>
  <si>
    <t>Concreto fck = 15 MPa, traço 1:3,4:3,5 (cimento / areia média / brita 1), preparo mecânico com betoneira 400L</t>
  </si>
  <si>
    <t>Emboço, para recebimento de cerâmica, em argamassa traço 1:2:8, preparo manual, aplicado manualmente em faces internas de paredes, para ambiente com área menor que 5m², espessura de 20mm, com execução de taliscas</t>
  </si>
  <si>
    <t>Chapisco aplicado em alvenarias e estruturas de concreto internas, com colher de pedreiro, argamassa traço 1:3 com preparo manual</t>
  </si>
  <si>
    <t>Armação de estruturas de concreto armado, exceto vigas, pilares, lajes e fundações, utilizando aço CA-50 de 8,00mm</t>
  </si>
  <si>
    <t>BLSC - Boca de lobo simples, em concreto simples fck = 20MPa, incluindo forma, escavação, calçamento ao redor e grelha em FºFº tipo pesada, conforme projeto tipo</t>
  </si>
  <si>
    <t>Montagem e desmontagem de forma de pilares retangulares e estruturas similares com área média das seções maior que 0,25m², pé direiro simples, em chapa de madeira compensada resinada, 10 utilizações</t>
  </si>
  <si>
    <t>Tento (acabamento de limpa rodas) em concreto, seção 330cm², moldado no local, inclusive escavação</t>
  </si>
  <si>
    <t>13887 - Insumo</t>
  </si>
  <si>
    <t>Disco de corte diamantado segmentado para concreto, diâmetro de 350mm, furo de 1" (14 x 1")</t>
  </si>
  <si>
    <t>Cortadora de piso com motor 4 tempos a gasolina, potência de 13HP, com disco de corte diamantado segmentado para concreto, diâmetro de 350mm, furo de 1" (14 x 1")</t>
  </si>
  <si>
    <t>Pintor com encargos complementares</t>
  </si>
  <si>
    <t>7288 - Insumo</t>
  </si>
  <si>
    <t>4460 - Insumo</t>
  </si>
  <si>
    <t>L</t>
  </si>
  <si>
    <t>Sarrafo de madeira não aparelhada 2,50cm x 10,00cm, macaranduba, angelim ou equivalente da região</t>
  </si>
  <si>
    <t>Tinta esmalte sintético premium fosco</t>
  </si>
  <si>
    <t>Fornecimento e instalação de placa de sinalização viária (placa até 0,36m²), incluindo suporte de madeira pintado a cal e fixado em base de concreto não estrutural</t>
  </si>
  <si>
    <t>Caminhão toco, PBT 14.300kg, carga útil max. 9.710kg, dist. entre eixos 3,56m, potência 185CV, inclusive carroceria fixa aberta de madeira para transporte geral de carga seca, dimen. aprox. 2,50m x 6,50m x 0,50m</t>
  </si>
  <si>
    <t>34723 - Insumo</t>
  </si>
  <si>
    <t>Placa de sinalização em chapa de aço nº 16 com pintura refletiva</t>
  </si>
  <si>
    <t>LASTRO</t>
  </si>
  <si>
    <t>IMPRIMAÇÃO</t>
  </si>
  <si>
    <t>CBUQ</t>
  </si>
  <si>
    <t>VALOR</t>
  </si>
  <si>
    <t>VALOR GERAL</t>
  </si>
  <si>
    <t>TABELA RESUMO</t>
  </si>
  <si>
    <t>BIGODE - Ø0,40m</t>
  </si>
  <si>
    <r>
      <t xml:space="preserve">TRECHO </t>
    </r>
    <r>
      <rPr>
        <b/>
        <sz val="8"/>
        <color rgb="FFFF0000"/>
        <rFont val="Arial"/>
        <family val="2"/>
      </rPr>
      <t>Nº</t>
    </r>
  </si>
  <si>
    <r>
      <t xml:space="preserve">EXTENSÃO </t>
    </r>
    <r>
      <rPr>
        <b/>
        <sz val="8"/>
        <color rgb="FFFF0000"/>
        <rFont val="Arial"/>
        <family val="2"/>
      </rPr>
      <t>(m)</t>
    </r>
  </si>
  <si>
    <r>
      <t xml:space="preserve">DIÂMETRO </t>
    </r>
    <r>
      <rPr>
        <b/>
        <sz val="8"/>
        <color rgb="FFFF0000"/>
        <rFont val="Arial"/>
        <family val="2"/>
      </rPr>
      <t>(m)</t>
    </r>
  </si>
  <si>
    <r>
      <t xml:space="preserve">N° DE LINHAS </t>
    </r>
    <r>
      <rPr>
        <b/>
        <sz val="8"/>
        <color rgb="FFFF0000"/>
        <rFont val="Arial"/>
        <family val="2"/>
      </rPr>
      <t>(un)</t>
    </r>
  </si>
  <si>
    <t>PS-1 / PS-2 / PVC</t>
  </si>
  <si>
    <t>PROFUNDIDADE</t>
  </si>
  <si>
    <t>MONTANTE (PV)</t>
  </si>
  <si>
    <t>MÉDIA</t>
  </si>
  <si>
    <t>BOLSA + ESPESSURA</t>
  </si>
  <si>
    <r>
      <t>MÉDIA + BOLSA</t>
    </r>
    <r>
      <rPr>
        <b/>
        <sz val="8"/>
        <color rgb="FFFF0000"/>
        <rFont val="Arial"/>
        <family val="2"/>
      </rPr>
      <t xml:space="preserve"> (H)</t>
    </r>
  </si>
  <si>
    <r>
      <t xml:space="preserve">TALUDE </t>
    </r>
    <r>
      <rPr>
        <b/>
        <sz val="8"/>
        <color rgb="FFFF0000"/>
        <rFont val="Arial"/>
        <family val="2"/>
      </rPr>
      <t>(1:V)</t>
    </r>
  </si>
  <si>
    <t>JUSANTE (PV)</t>
  </si>
  <si>
    <r>
      <t xml:space="preserve">BASE </t>
    </r>
    <r>
      <rPr>
        <b/>
        <sz val="8"/>
        <color rgb="FFFF0000"/>
        <rFont val="Arial"/>
        <family val="2"/>
      </rPr>
      <t>(m)</t>
    </r>
  </si>
  <si>
    <r>
      <t>ÁREA DO TUBO</t>
    </r>
    <r>
      <rPr>
        <b/>
        <sz val="8"/>
        <color rgb="FFFF0000"/>
        <rFont val="Arial"/>
        <family val="2"/>
      </rPr>
      <t xml:space="preserve"> (m²)</t>
    </r>
  </si>
  <si>
    <t>TOPO (BOCA DA VALA)</t>
  </si>
  <si>
    <t>INFERIOR H &lt; 4,50m (L = 2Ø)</t>
  </si>
  <si>
    <t>INFERIOR H &gt; 4,50m (L = 3Ø)</t>
  </si>
  <si>
    <t>REATERRO MECÂNICO</t>
  </si>
  <si>
    <t>1,51m &lt; H2 &lt; 3,00m</t>
  </si>
  <si>
    <t>H1 &lt; 1,50m</t>
  </si>
  <si>
    <t>3,01m &lt; H3 &lt; 4,50m</t>
  </si>
  <si>
    <t>H4 &gt; 4,51m</t>
  </si>
  <si>
    <t>ESCAVAÇÃO</t>
  </si>
  <si>
    <t>CÁLCULO DA ESCAVAÇÃO</t>
  </si>
  <si>
    <r>
      <t xml:space="preserve">VOLUME TOTAL DA ESCAVAÇÃO </t>
    </r>
    <r>
      <rPr>
        <b/>
        <sz val="8"/>
        <color rgb="FFFF0000"/>
        <rFont val="Arial"/>
        <family val="2"/>
      </rPr>
      <t>(m³)</t>
    </r>
  </si>
  <si>
    <r>
      <t xml:space="preserve">ESCAVAÇÃO MANUAL </t>
    </r>
    <r>
      <rPr>
        <b/>
        <sz val="8"/>
        <color rgb="FFFF0000"/>
        <rFont val="Arial"/>
        <family val="2"/>
      </rPr>
      <t>(m³)</t>
    </r>
  </si>
  <si>
    <r>
      <t xml:space="preserve">ESCAVAÇÃO MECÂNICA </t>
    </r>
    <r>
      <rPr>
        <b/>
        <sz val="8"/>
        <color rgb="FFFF0000"/>
        <rFont val="Arial"/>
        <family val="2"/>
      </rPr>
      <t>(m³)</t>
    </r>
  </si>
  <si>
    <t>(H ≤ 1,50m) (L ≤ 0,80m)</t>
  </si>
  <si>
    <t>(H ≤ 1,50m) (0,80m &lt; L ≤ 1,50m)</t>
  </si>
  <si>
    <t>(H ≤ 1,50m) (L &gt; 1,50m)</t>
  </si>
  <si>
    <t>(1,50m &lt; H ≤ 3,00m) (L ≤ 0,80m)</t>
  </si>
  <si>
    <t>(1,50m &lt; H ≤ 3,00m) (0,80m &lt; L ≤ 1,50m)</t>
  </si>
  <si>
    <t>(1,50m &lt; H ≤ 3,00m) (L &gt; 1,50m)</t>
  </si>
  <si>
    <t>(3,00m &lt; H ≤ 4,50m) (L &gt; 1,50m)</t>
  </si>
  <si>
    <t>(3,00m &lt; H ≤ 4,50m) (L ≤ 1,50m)</t>
  </si>
  <si>
    <t>(4,50m &lt; H ≤ 6,00m) (L ≤ 1,50m)</t>
  </si>
  <si>
    <t>(4,50m &lt; H ≤ 6,00m) (L &gt; 1,50m)</t>
  </si>
  <si>
    <r>
      <t xml:space="preserve">LASTRO DE BRITA </t>
    </r>
    <r>
      <rPr>
        <b/>
        <sz val="8"/>
        <color rgb="FFFF0000"/>
        <rFont val="Arial"/>
        <family val="2"/>
      </rPr>
      <t>(m³)</t>
    </r>
  </si>
  <si>
    <t>ESPESSURA</t>
  </si>
  <si>
    <t>VOLUME</t>
  </si>
  <si>
    <r>
      <t xml:space="preserve">LASTRO DE PEDRA DE MÃO </t>
    </r>
    <r>
      <rPr>
        <b/>
        <sz val="8"/>
        <color rgb="FFFF0000"/>
        <rFont val="Arial"/>
        <family val="2"/>
      </rPr>
      <t>(m³)</t>
    </r>
  </si>
  <si>
    <r>
      <t xml:space="preserve">ESGOTAMENTO COM MOTO BOMBA </t>
    </r>
    <r>
      <rPr>
        <b/>
        <sz val="8"/>
        <color rgb="FFFF0000"/>
        <rFont val="Arial"/>
        <family val="2"/>
      </rPr>
      <t>(H)</t>
    </r>
  </si>
  <si>
    <r>
      <t xml:space="preserve">TRANSPORTE DE PEDRA DE MÃO E BRITA </t>
    </r>
    <r>
      <rPr>
        <b/>
        <sz val="8"/>
        <color rgb="FFFF0000"/>
        <rFont val="Arial"/>
        <family val="2"/>
      </rPr>
      <t>(m³.km)</t>
    </r>
  </si>
  <si>
    <r>
      <t xml:space="preserve">REGULARIZAÇÃO </t>
    </r>
    <r>
      <rPr>
        <b/>
        <sz val="8"/>
        <color rgb="FFFF0000"/>
        <rFont val="Arial"/>
        <family val="2"/>
      </rPr>
      <t>(m²)</t>
    </r>
  </si>
  <si>
    <t>BASE ≤ 1,50m</t>
  </si>
  <si>
    <t>BASE &gt; 1,50m</t>
  </si>
  <si>
    <r>
      <t xml:space="preserve">ESCORAMENTO METÁLICO </t>
    </r>
    <r>
      <rPr>
        <b/>
        <sz val="8"/>
        <color rgb="FFFF0000"/>
        <rFont val="Arial"/>
        <family val="2"/>
      </rPr>
      <t>(m²)</t>
    </r>
  </si>
  <si>
    <r>
      <t xml:space="preserve">ESCORAMENTO PONTALETE </t>
    </r>
    <r>
      <rPr>
        <b/>
        <sz val="8"/>
        <color rgb="FFFF0000"/>
        <rFont val="Arial"/>
        <family val="2"/>
      </rPr>
      <t>(m²)</t>
    </r>
  </si>
  <si>
    <r>
      <t xml:space="preserve">ESCORAMENTO DESCONTÍNUO </t>
    </r>
    <r>
      <rPr>
        <b/>
        <sz val="8"/>
        <color rgb="FFFF0000"/>
        <rFont val="Arial"/>
        <family val="2"/>
      </rPr>
      <t>(m²)</t>
    </r>
  </si>
  <si>
    <t>(H &gt; 3,00m)</t>
  </si>
  <si>
    <t>(2,00m &lt; H ≤ 3,00m) (L ≤ 1,50m)</t>
  </si>
  <si>
    <t>(2,00m &lt; H ≤ 3,00m) (L &gt; 1,50m)</t>
  </si>
  <si>
    <r>
      <t xml:space="preserve">VOLUME TOTAL DO REATERRO </t>
    </r>
    <r>
      <rPr>
        <b/>
        <sz val="8"/>
        <color rgb="FFFF0000"/>
        <rFont val="Arial"/>
        <family val="2"/>
      </rPr>
      <t>(m³)</t>
    </r>
  </si>
  <si>
    <r>
      <t xml:space="preserve">REATERRO MECÂNICO </t>
    </r>
    <r>
      <rPr>
        <b/>
        <sz val="8"/>
        <color rgb="FFFF0000"/>
        <rFont val="Arial"/>
        <family val="2"/>
      </rPr>
      <t>(m³)</t>
    </r>
  </si>
  <si>
    <r>
      <t xml:space="preserve">ESPALHAMENTO (BOTA FORA) </t>
    </r>
    <r>
      <rPr>
        <b/>
        <sz val="8"/>
        <color rgb="FFFF0000"/>
        <rFont val="Arial"/>
        <family val="2"/>
      </rPr>
      <t>(m³)</t>
    </r>
  </si>
  <si>
    <r>
      <t xml:space="preserve">TRANSPORTE DO BOTA FORA </t>
    </r>
    <r>
      <rPr>
        <b/>
        <sz val="8"/>
        <color rgb="FFFF0000"/>
        <rFont val="Arial"/>
        <family val="2"/>
      </rPr>
      <t>(m³.km)</t>
    </r>
  </si>
  <si>
    <r>
      <t xml:space="preserve">CARGA E DESCARGA (BOTA FORA) </t>
    </r>
    <r>
      <rPr>
        <b/>
        <sz val="8"/>
        <color rgb="FFFF0000"/>
        <rFont val="Arial"/>
        <family val="2"/>
      </rPr>
      <t>(m³)</t>
    </r>
  </si>
  <si>
    <t>MEMÓRIA DE CÁLCULO DE DRENAGEM DE ÁGUAS PLUVIAIS - TERRAPLENAGEM</t>
  </si>
  <si>
    <t>MEMÓRIA DE CÁLCULO DE DRENAGEM DE ÁGUAS PLUVIAIS - DISPOSITIVOS ESTRUTURAIS</t>
  </si>
  <si>
    <r>
      <t>BIGODES</t>
    </r>
    <r>
      <rPr>
        <b/>
        <sz val="8"/>
        <color rgb="FFFF0000"/>
        <rFont val="Arial"/>
        <family val="2"/>
      </rPr>
      <t xml:space="preserve"> (m)</t>
    </r>
  </si>
  <si>
    <t>CLASSE PS-1 Ø0,40m</t>
  </si>
  <si>
    <t>CLASSE PS-1 Ø0,60m</t>
  </si>
  <si>
    <r>
      <t xml:space="preserve">REDE </t>
    </r>
    <r>
      <rPr>
        <b/>
        <sz val="8"/>
        <color rgb="FFFF0000"/>
        <rFont val="Arial"/>
        <family val="2"/>
      </rPr>
      <t>(m)</t>
    </r>
  </si>
  <si>
    <t>CLASSE PA-1 Ø0,80m</t>
  </si>
  <si>
    <t>CLASSE PA-1 Ø1,00m</t>
  </si>
  <si>
    <r>
      <t xml:space="preserve">ASSENTAMENTO </t>
    </r>
    <r>
      <rPr>
        <b/>
        <sz val="8"/>
        <color rgb="FFFF0000"/>
        <rFont val="Arial"/>
        <family val="2"/>
      </rPr>
      <t>(m)</t>
    </r>
  </si>
  <si>
    <r>
      <t>PESO DOS TUBOS</t>
    </r>
    <r>
      <rPr>
        <b/>
        <sz val="8"/>
        <color rgb="FFFF0000"/>
        <rFont val="Arial"/>
        <family val="2"/>
      </rPr>
      <t xml:space="preserve"> (t)</t>
    </r>
  </si>
  <si>
    <r>
      <t xml:space="preserve">PV TIPO </t>
    </r>
    <r>
      <rPr>
        <b/>
        <sz val="8"/>
        <color rgb="FFFF0000"/>
        <rFont val="Arial"/>
        <family val="2"/>
      </rPr>
      <t>(1, 2, 3, 4, 5, 6)</t>
    </r>
  </si>
  <si>
    <r>
      <t xml:space="preserve">POÇO DE VISITA </t>
    </r>
    <r>
      <rPr>
        <b/>
        <sz val="8"/>
        <color rgb="FFFF0000"/>
        <rFont val="Arial"/>
        <family val="2"/>
      </rPr>
      <t>(un)</t>
    </r>
  </si>
  <si>
    <r>
      <t xml:space="preserve">TAMPÃO DE FºFº Ø0,60m </t>
    </r>
    <r>
      <rPr>
        <b/>
        <sz val="8"/>
        <color rgb="FFFF0000"/>
        <rFont val="Arial"/>
        <family val="2"/>
      </rPr>
      <t>(un)</t>
    </r>
  </si>
  <si>
    <r>
      <t>CHAMINÉ (PESCOÇO)</t>
    </r>
    <r>
      <rPr>
        <b/>
        <sz val="8"/>
        <color rgb="FFFF0000"/>
        <rFont val="Arial"/>
        <family val="2"/>
      </rPr>
      <t xml:space="preserve"> (m)</t>
    </r>
  </si>
  <si>
    <r>
      <t xml:space="preserve">TRANSPORTE DE BRITA </t>
    </r>
    <r>
      <rPr>
        <b/>
        <sz val="8"/>
        <color rgb="FFFF0000"/>
        <rFont val="Arial"/>
        <family val="2"/>
      </rPr>
      <t>(m³.km)</t>
    </r>
  </si>
  <si>
    <r>
      <t xml:space="preserve">CARGA DE BRITA P/ POÇO DE VISITA </t>
    </r>
    <r>
      <rPr>
        <b/>
        <sz val="8"/>
        <color rgb="FFFF0000"/>
        <rFont val="Arial"/>
        <family val="2"/>
      </rPr>
      <t>(m³)</t>
    </r>
  </si>
  <si>
    <r>
      <t xml:space="preserve">BOCA DE LOBO    </t>
    </r>
    <r>
      <rPr>
        <b/>
        <sz val="8"/>
        <color rgb="FFFF0000"/>
        <rFont val="Arial"/>
        <family val="2"/>
      </rPr>
      <t>(un)</t>
    </r>
  </si>
  <si>
    <t>CONCRETO SIMPLES</t>
  </si>
  <si>
    <r>
      <t xml:space="preserve">CARGA DE BRITA P/ BOCA DE LOBO </t>
    </r>
    <r>
      <rPr>
        <b/>
        <sz val="8"/>
        <color rgb="FFFF0000"/>
        <rFont val="Arial"/>
        <family val="2"/>
      </rPr>
      <t>(m³)</t>
    </r>
  </si>
  <si>
    <t>CRONOGRAMA FÍSICO FINANCEIRO</t>
  </si>
  <si>
    <t>PREÇO TOTAL</t>
  </si>
  <si>
    <t>MÊS 01</t>
  </si>
  <si>
    <t>TOTAL MENSAL</t>
  </si>
  <si>
    <t>TOTAL MENSAL ACUMULADO</t>
  </si>
  <si>
    <t>MÊS 02</t>
  </si>
  <si>
    <t>MÊS 03</t>
  </si>
  <si>
    <t>MÊS 04</t>
  </si>
  <si>
    <t>MÊS 05</t>
  </si>
  <si>
    <t>MÊS 06</t>
  </si>
  <si>
    <t>NOME DA RUA</t>
  </si>
  <si>
    <t>VOLUMES</t>
  </si>
  <si>
    <r>
      <t xml:space="preserve">CORTE </t>
    </r>
    <r>
      <rPr>
        <b/>
        <sz val="8"/>
        <color rgb="FFFF0000"/>
        <rFont val="Arial"/>
        <family val="2"/>
      </rPr>
      <t>(m³)</t>
    </r>
  </si>
  <si>
    <r>
      <t xml:space="preserve">ATERRO </t>
    </r>
    <r>
      <rPr>
        <b/>
        <sz val="8"/>
        <color rgb="FFFF0000"/>
        <rFont val="Arial"/>
        <family val="2"/>
      </rPr>
      <t>(m³)</t>
    </r>
  </si>
  <si>
    <t>PLANILHA DE CUBAÇÃO - TOPOGRAPH - VIÁRIO</t>
  </si>
  <si>
    <r>
      <t xml:space="preserve">ESCAVAÇÃO MECÂNICA - PREPARO DO SUBLEITO </t>
    </r>
    <r>
      <rPr>
        <b/>
        <sz val="8"/>
        <color rgb="FFFF0000"/>
        <rFont val="Arial"/>
        <family val="2"/>
      </rPr>
      <t>(m³)</t>
    </r>
  </si>
  <si>
    <r>
      <t xml:space="preserve">CARGA E DESCARGA MECÂNICA DO SUBLEITO </t>
    </r>
    <r>
      <rPr>
        <b/>
        <sz val="8"/>
        <color rgb="FFFF0000"/>
        <rFont val="Arial"/>
        <family val="2"/>
      </rPr>
      <t>(m³)</t>
    </r>
  </si>
  <si>
    <r>
      <t xml:space="preserve">ESPALHAMENTO DO BOTA FORA </t>
    </r>
    <r>
      <rPr>
        <b/>
        <sz val="8"/>
        <color rgb="FFFF0000"/>
        <rFont val="Arial"/>
        <family val="2"/>
      </rPr>
      <t>(m³)</t>
    </r>
  </si>
  <si>
    <t>MEMÓRIA DE CÁLCULO DE PAVIMENTAÇÃO ASFÁLTICA - TERRAPLENAGEM</t>
  </si>
  <si>
    <r>
      <t xml:space="preserve">LARGURA DA PISTA + ACOSTAMENTO </t>
    </r>
    <r>
      <rPr>
        <b/>
        <sz val="8"/>
        <color rgb="FFFF0000"/>
        <rFont val="Arial"/>
        <family val="2"/>
      </rPr>
      <t>(m)</t>
    </r>
  </si>
  <si>
    <r>
      <t>DECLIVIDADE TRANSVERSAL DA PISTA</t>
    </r>
    <r>
      <rPr>
        <b/>
        <sz val="8"/>
        <color rgb="FFFF0000"/>
        <rFont val="Arial"/>
        <family val="2"/>
      </rPr>
      <t xml:space="preserve"> (SIMPLES OU DUPLA)</t>
    </r>
  </si>
  <si>
    <t>DUPLA</t>
  </si>
  <si>
    <t>RAIOS</t>
  </si>
  <si>
    <r>
      <t>QUANTIDADE DE RAIOS DE 5,00m</t>
    </r>
    <r>
      <rPr>
        <b/>
        <sz val="8"/>
        <color rgb="FFFF0000"/>
        <rFont val="Arial"/>
        <family val="2"/>
      </rPr>
      <t xml:space="preserve"> (un)</t>
    </r>
  </si>
  <si>
    <r>
      <t>ÁREA DO RAIO DE 5,00m</t>
    </r>
    <r>
      <rPr>
        <b/>
        <sz val="8"/>
        <color rgb="FFFF0000"/>
        <rFont val="Arial"/>
        <family val="2"/>
      </rPr>
      <t xml:space="preserve"> (m²)</t>
    </r>
  </si>
  <si>
    <r>
      <t>ÁREA RESTANTE</t>
    </r>
    <r>
      <rPr>
        <b/>
        <sz val="8"/>
        <color rgb="FFFF0000"/>
        <rFont val="Arial"/>
        <family val="2"/>
      </rPr>
      <t xml:space="preserve"> (m²)</t>
    </r>
  </si>
  <si>
    <r>
      <t>ÁREA TOTAL</t>
    </r>
    <r>
      <rPr>
        <b/>
        <sz val="8"/>
        <color rgb="FFFF0000"/>
        <rFont val="Arial"/>
        <family val="2"/>
      </rPr>
      <t xml:space="preserve"> (m²)</t>
    </r>
  </si>
  <si>
    <r>
      <t xml:space="preserve">MEIO FIO COM SARJETA </t>
    </r>
    <r>
      <rPr>
        <b/>
        <sz val="8"/>
        <color rgb="FFFF0000"/>
        <rFont val="Arial"/>
        <family val="2"/>
      </rPr>
      <t>(m)</t>
    </r>
  </si>
  <si>
    <r>
      <t xml:space="preserve">MEIO FIO GUIA </t>
    </r>
    <r>
      <rPr>
        <b/>
        <sz val="8"/>
        <color rgb="FFFF0000"/>
        <rFont val="Arial"/>
        <family val="2"/>
      </rPr>
      <t>(m)</t>
    </r>
  </si>
  <si>
    <t>MEMÓRIA DE CÁLCULO DE PAVIMENTAÇÃO ASFÁLTICA - PAVIMENTAÇÃO</t>
  </si>
  <si>
    <r>
      <t>ÁREA DE REGULARIZAÇÃO</t>
    </r>
    <r>
      <rPr>
        <b/>
        <sz val="8"/>
        <color rgb="FFFF0000"/>
        <rFont val="Arial"/>
        <family val="2"/>
      </rPr>
      <t xml:space="preserve"> (m²)</t>
    </r>
  </si>
  <si>
    <r>
      <t>LARGURA</t>
    </r>
    <r>
      <rPr>
        <b/>
        <sz val="8"/>
        <color rgb="FFFF0000"/>
        <rFont val="Arial"/>
        <family val="2"/>
      </rPr>
      <t xml:space="preserve"> (m)</t>
    </r>
  </si>
  <si>
    <t>A</t>
  </si>
  <si>
    <t>C</t>
  </si>
  <si>
    <r>
      <t>ESPESSURA</t>
    </r>
    <r>
      <rPr>
        <b/>
        <sz val="8"/>
        <color rgb="FFFF0000"/>
        <rFont val="Arial"/>
        <family val="2"/>
      </rPr>
      <t xml:space="preserve"> (m)</t>
    </r>
  </si>
  <si>
    <r>
      <t>CASCALHO</t>
    </r>
    <r>
      <rPr>
        <b/>
        <sz val="8"/>
        <color rgb="FFFF0000"/>
        <rFont val="Arial"/>
        <family val="2"/>
      </rPr>
      <t xml:space="preserve"> (m³)</t>
    </r>
  </si>
  <si>
    <t>EXECUÇÃO E COMPACTAÇÃO</t>
  </si>
  <si>
    <r>
      <t>ESCAVAÇÃO DO MATERIAL</t>
    </r>
    <r>
      <rPr>
        <b/>
        <sz val="8"/>
        <color rgb="FFFF0000"/>
        <rFont val="Arial"/>
        <family val="2"/>
      </rPr>
      <t xml:space="preserve"> (m³)</t>
    </r>
  </si>
  <si>
    <t>AQUISIÇÃO DO MATERIAL</t>
  </si>
  <si>
    <r>
      <t>CASCALHO</t>
    </r>
    <r>
      <rPr>
        <b/>
        <sz val="8"/>
        <color rgb="FFFF0000"/>
        <rFont val="Arial"/>
        <family val="2"/>
      </rPr>
      <t xml:space="preserve"> (m³.km)</t>
    </r>
  </si>
  <si>
    <t>BASE</t>
  </si>
  <si>
    <r>
      <t xml:space="preserve">ÁREA DA IMPRIMAÇÃO </t>
    </r>
    <r>
      <rPr>
        <b/>
        <sz val="8"/>
        <color rgb="FFFF0000"/>
        <rFont val="Arial"/>
        <family val="2"/>
      </rPr>
      <t>(m²)</t>
    </r>
  </si>
  <si>
    <r>
      <t xml:space="preserve">ESPESSURA </t>
    </r>
    <r>
      <rPr>
        <b/>
        <sz val="8"/>
        <color rgb="FFFF0000"/>
        <rFont val="Arial"/>
        <family val="2"/>
      </rPr>
      <t>(m)</t>
    </r>
  </si>
  <si>
    <t>AQUISIÇÃO DA BASE</t>
  </si>
  <si>
    <t>ESCAVAÇÃO DA BASE</t>
  </si>
  <si>
    <t>TRANSPORTE DA BASE</t>
  </si>
  <si>
    <t>MEMÓRIA DE CÁLCULO DE SERVIÇOS COMPLEMENTARES</t>
  </si>
  <si>
    <r>
      <t>COM SARJETA</t>
    </r>
    <r>
      <rPr>
        <b/>
        <sz val="8"/>
        <color rgb="FFFF0000"/>
        <rFont val="Arial"/>
        <family val="2"/>
      </rPr>
      <t xml:space="preserve"> (m)</t>
    </r>
  </si>
  <si>
    <r>
      <t>TENTO</t>
    </r>
    <r>
      <rPr>
        <b/>
        <sz val="8"/>
        <color rgb="FFFF0000"/>
        <rFont val="Arial"/>
        <family val="2"/>
      </rPr>
      <t xml:space="preserve"> (m)</t>
    </r>
  </si>
  <si>
    <r>
      <t>CARGA DE BRITA P/ MEIO FIO E TENTO</t>
    </r>
    <r>
      <rPr>
        <b/>
        <sz val="8"/>
        <color rgb="FFFF0000"/>
        <rFont val="Arial"/>
        <family val="2"/>
      </rPr>
      <t xml:space="preserve"> (m³)</t>
    </r>
  </si>
  <si>
    <t>MEMÓRIA DE CÁLCULO DE SINALIZAÇÃO VIÁRIA</t>
  </si>
  <si>
    <t>FAIXAS</t>
  </si>
  <si>
    <r>
      <t xml:space="preserve">ÁREA TOTAL </t>
    </r>
    <r>
      <rPr>
        <b/>
        <sz val="8"/>
        <color rgb="FFFF0000"/>
        <rFont val="Arial"/>
        <family val="2"/>
      </rPr>
      <t>(m²)</t>
    </r>
  </si>
  <si>
    <r>
      <t xml:space="preserve">CONDIÇÃO </t>
    </r>
    <r>
      <rPr>
        <b/>
        <sz val="8"/>
        <color rgb="FFFF0000"/>
        <rFont val="Arial"/>
        <family val="2"/>
      </rPr>
      <t>(%)</t>
    </r>
  </si>
  <si>
    <t>CONTÍNUA</t>
  </si>
  <si>
    <t>TRACEJADA</t>
  </si>
  <si>
    <t>AMARELA</t>
  </si>
  <si>
    <t>BRANCA</t>
  </si>
  <si>
    <t>MARCAS</t>
  </si>
  <si>
    <r>
      <t xml:space="preserve">QUANTIDADES </t>
    </r>
    <r>
      <rPr>
        <b/>
        <sz val="8"/>
        <color rgb="FFFF0000"/>
        <rFont val="Arial"/>
        <family val="2"/>
      </rPr>
      <t>(un)</t>
    </r>
  </si>
  <si>
    <r>
      <t xml:space="preserve">ÁREA UNITÁRIA </t>
    </r>
    <r>
      <rPr>
        <b/>
        <sz val="8"/>
        <color rgb="FFFF0000"/>
        <rFont val="Arial"/>
        <family val="2"/>
      </rPr>
      <t>(m²)</t>
    </r>
  </si>
  <si>
    <t>FAIXA DE RETENÇÃO</t>
  </si>
  <si>
    <t>SENTIDO DA CIRC. DA VIA</t>
  </si>
  <si>
    <t>PARADA OBRIGATÓRIA</t>
  </si>
  <si>
    <t>PLACAS ATÉ 0,36m²</t>
  </si>
  <si>
    <t>VELOCIDADE MÁXIMA PERMITIDA</t>
  </si>
  <si>
    <t>PLACAS DE LOGRADOURO</t>
  </si>
  <si>
    <r>
      <t>SUPORTE PARA PLACAS DE LOGRADOURO</t>
    </r>
    <r>
      <rPr>
        <b/>
        <sz val="8"/>
        <color rgb="FFFF0000"/>
        <rFont val="Arial"/>
        <family val="2"/>
      </rPr>
      <t xml:space="preserve"> (un)</t>
    </r>
  </si>
  <si>
    <t>MEMÓRIA DE CÁLCULO DE PASSEIO COM ACESSIBILIDADE</t>
  </si>
  <si>
    <r>
      <t xml:space="preserve">PREPARO MANUAL DO TERRENO </t>
    </r>
    <r>
      <rPr>
        <b/>
        <sz val="8"/>
        <color rgb="FFFF0000"/>
        <rFont val="Arial"/>
        <family val="2"/>
      </rPr>
      <t>(m²)</t>
    </r>
  </si>
  <si>
    <r>
      <t>CALÇADAS</t>
    </r>
    <r>
      <rPr>
        <b/>
        <sz val="8"/>
        <color rgb="FFFF0000"/>
        <rFont val="Arial"/>
        <family val="2"/>
      </rPr>
      <t xml:space="preserve"> (m²)</t>
    </r>
  </si>
  <si>
    <r>
      <t>LARGURA DAS CALÇADAS</t>
    </r>
    <r>
      <rPr>
        <b/>
        <sz val="8"/>
        <color rgb="FFFF0000"/>
        <rFont val="Arial"/>
        <family val="2"/>
      </rPr>
      <t xml:space="preserve"> (m)</t>
    </r>
  </si>
  <si>
    <r>
      <t>ÁREA DO REVESTIMENTO EM CONCRETO</t>
    </r>
    <r>
      <rPr>
        <b/>
        <sz val="8"/>
        <color rgb="FFFF0000"/>
        <rFont val="Arial"/>
        <family val="2"/>
      </rPr>
      <t xml:space="preserve"> (m²)</t>
    </r>
  </si>
  <si>
    <r>
      <t xml:space="preserve">TRANSPORTE DO BRITA </t>
    </r>
    <r>
      <rPr>
        <b/>
        <sz val="8"/>
        <color rgb="FFFF0000"/>
        <rFont val="Arial"/>
        <family val="2"/>
      </rPr>
      <t>(m³.km)</t>
    </r>
  </si>
  <si>
    <r>
      <t>CARGA DE BRITA P/ CALÇADAS</t>
    </r>
    <r>
      <rPr>
        <b/>
        <sz val="8"/>
        <color rgb="FFFF0000"/>
        <rFont val="Arial"/>
        <family val="2"/>
      </rPr>
      <t xml:space="preserve"> (m³)</t>
    </r>
  </si>
  <si>
    <r>
      <t>RAMPAS DE ACESSO</t>
    </r>
    <r>
      <rPr>
        <b/>
        <sz val="8"/>
        <color rgb="FFFF0000"/>
        <rFont val="Arial"/>
        <family val="2"/>
      </rPr>
      <t xml:space="preserve"> (un)</t>
    </r>
  </si>
  <si>
    <r>
      <t>ÁREA TOTAL DAS RAMPAS DE ACESSO</t>
    </r>
    <r>
      <rPr>
        <b/>
        <sz val="8"/>
        <color rgb="FFFF0000"/>
        <rFont val="Arial"/>
        <family val="2"/>
      </rPr>
      <t xml:space="preserve"> (m²)</t>
    </r>
  </si>
  <si>
    <r>
      <t>CARGA DE BRITA P/ RAMPAS DE ACESSO</t>
    </r>
    <r>
      <rPr>
        <b/>
        <sz val="8"/>
        <color rgb="FFFF0000"/>
        <rFont val="Arial"/>
        <family val="2"/>
      </rPr>
      <t xml:space="preserve"> (m³)</t>
    </r>
  </si>
  <si>
    <r>
      <t>PISO PODOTÁTIL</t>
    </r>
    <r>
      <rPr>
        <b/>
        <sz val="8"/>
        <color rgb="FFFF0000"/>
        <rFont val="Arial"/>
        <family val="2"/>
      </rPr>
      <t xml:space="preserve"> (m)</t>
    </r>
  </si>
  <si>
    <r>
      <t>CARGA, MANOBRA E DESCARGA</t>
    </r>
    <r>
      <rPr>
        <b/>
        <sz val="8"/>
        <color rgb="FFFF0000"/>
        <rFont val="Arial"/>
        <family val="2"/>
      </rPr>
      <t xml:space="preserve"> (t)</t>
    </r>
  </si>
  <si>
    <t>Cascalho em cava</t>
  </si>
  <si>
    <t>BOTA FORA</t>
  </si>
  <si>
    <t>TUBOS</t>
  </si>
  <si>
    <t>3º QUARTIL</t>
  </si>
  <si>
    <t>MÉDIO</t>
  </si>
  <si>
    <t>1º QUARTIL</t>
  </si>
  <si>
    <t>LUCRO</t>
  </si>
  <si>
    <t>PIS</t>
  </si>
  <si>
    <t>COFINS</t>
  </si>
  <si>
    <t>MONTANTE</t>
  </si>
  <si>
    <t>JUSANTE</t>
  </si>
  <si>
    <t>B</t>
  </si>
  <si>
    <t>TRECHO À</t>
  </si>
  <si>
    <r>
      <t xml:space="preserve">ÁREA </t>
    </r>
    <r>
      <rPr>
        <b/>
        <sz val="8"/>
        <color rgb="FFFF0000"/>
        <rFont val="Arial"/>
        <family val="2"/>
      </rPr>
      <t>(ha)</t>
    </r>
  </si>
  <si>
    <t>RUN OFF</t>
  </si>
  <si>
    <t>TRECHO</t>
  </si>
  <si>
    <t>TAMPA</t>
  </si>
  <si>
    <t>FUNDO</t>
  </si>
  <si>
    <t>DEGRAU</t>
  </si>
  <si>
    <t>PROF.</t>
  </si>
  <si>
    <r>
      <t xml:space="preserve">POÇO DE VISITA - COTAS </t>
    </r>
    <r>
      <rPr>
        <b/>
        <sz val="8"/>
        <color rgb="FFFF0000"/>
        <rFont val="Arial"/>
        <family val="2"/>
      </rPr>
      <t>(m)</t>
    </r>
  </si>
  <si>
    <t>BACIA LOCAL</t>
  </si>
  <si>
    <r>
      <t xml:space="preserve">TEMPO CONC.      </t>
    </r>
    <r>
      <rPr>
        <b/>
        <sz val="8"/>
        <color rgb="FFFF0000"/>
        <rFont val="Arial"/>
        <family val="2"/>
      </rPr>
      <t>(min)</t>
    </r>
  </si>
  <si>
    <r>
      <t xml:space="preserve">INTENS. PLUVIOM.      </t>
    </r>
    <r>
      <rPr>
        <b/>
        <sz val="8"/>
        <color rgb="FFFF0000"/>
        <rFont val="Arial"/>
        <family val="2"/>
      </rPr>
      <t>(mm/h)</t>
    </r>
  </si>
  <si>
    <r>
      <t xml:space="preserve">ÁREA TOTAL    </t>
    </r>
    <r>
      <rPr>
        <b/>
        <sz val="8"/>
        <color rgb="FFFF0000"/>
        <rFont val="Arial"/>
        <family val="2"/>
      </rPr>
      <t xml:space="preserve"> (ha)</t>
    </r>
  </si>
  <si>
    <r>
      <t xml:space="preserve">COEF.           DIST.           </t>
    </r>
    <r>
      <rPr>
        <b/>
        <sz val="8"/>
        <color rgb="FFFF0000"/>
        <rFont val="Arial"/>
        <family val="2"/>
      </rPr>
      <t>(n)</t>
    </r>
  </si>
  <si>
    <r>
      <t xml:space="preserve">VAZÃO À ESCOAR    </t>
    </r>
    <r>
      <rPr>
        <b/>
        <sz val="8"/>
        <color rgb="FFFF0000"/>
        <rFont val="Arial"/>
        <family val="2"/>
      </rPr>
      <t>(l/s)</t>
    </r>
  </si>
  <si>
    <r>
      <t>COEF.      DEFLÚVIO</t>
    </r>
    <r>
      <rPr>
        <b/>
        <sz val="8"/>
        <color rgb="FFFF0000"/>
        <rFont val="Arial"/>
        <family val="2"/>
      </rPr>
      <t xml:space="preserve"> (f)</t>
    </r>
  </si>
  <si>
    <r>
      <t>DECLIVIDADE</t>
    </r>
    <r>
      <rPr>
        <b/>
        <sz val="8"/>
        <color rgb="FFFF0000"/>
        <rFont val="Arial"/>
        <family val="2"/>
      </rPr>
      <t xml:space="preserve"> (%)</t>
    </r>
  </si>
  <si>
    <t>GALERIA</t>
  </si>
  <si>
    <t>PROJETO</t>
  </si>
  <si>
    <t>MÍNIMA</t>
  </si>
  <si>
    <r>
      <t xml:space="preserve">DEFLÚVIO LOCAL    </t>
    </r>
    <r>
      <rPr>
        <b/>
        <sz val="8"/>
        <color rgb="FFFF0000"/>
        <rFont val="Arial"/>
        <family val="2"/>
      </rPr>
      <t xml:space="preserve"> (l/s)</t>
    </r>
  </si>
  <si>
    <t>TERRENO NATURAL</t>
  </si>
  <si>
    <r>
      <t xml:space="preserve">TEMPO DE PERCURSO    </t>
    </r>
    <r>
      <rPr>
        <b/>
        <sz val="8"/>
        <color rgb="FFFF0000"/>
        <rFont val="Arial"/>
        <family val="2"/>
      </rPr>
      <t>(min)</t>
    </r>
  </si>
  <si>
    <r>
      <t xml:space="preserve">VELOC.   </t>
    </r>
    <r>
      <rPr>
        <b/>
        <sz val="8"/>
        <color rgb="FFFF0000"/>
        <rFont val="Arial"/>
        <family val="2"/>
      </rPr>
      <t>(m/s)</t>
    </r>
  </si>
  <si>
    <r>
      <t xml:space="preserve">ALTURA D'ÁGUA </t>
    </r>
    <r>
      <rPr>
        <b/>
        <sz val="8"/>
        <color rgb="FFFF0000"/>
        <rFont val="Arial"/>
        <family val="2"/>
      </rPr>
      <t>(m)</t>
    </r>
  </si>
  <si>
    <t>NORMAL</t>
  </si>
  <si>
    <t>CRÍTICA</t>
  </si>
  <si>
    <t>SEÇÃO DA GALERIA</t>
  </si>
  <si>
    <t>MATERIAL</t>
  </si>
  <si>
    <t>COEF. DE MANNING</t>
  </si>
  <si>
    <t>Nº DE LINHAS</t>
  </si>
  <si>
    <r>
      <t xml:space="preserve">CIRCULAR  Ø             </t>
    </r>
    <r>
      <rPr>
        <b/>
        <sz val="8"/>
        <color rgb="FFFF0000"/>
        <rFont val="Arial"/>
        <family val="2"/>
      </rPr>
      <t>(m)</t>
    </r>
  </si>
  <si>
    <t>COTA DE FUNDO DE MONTANTE</t>
  </si>
  <si>
    <t>TEMPO DE CONCENTRAÇÃO</t>
  </si>
  <si>
    <t>ALTURA D´AGUA - NORMAL</t>
  </si>
  <si>
    <t>ALTURA D´AGUA - CRÍTICA</t>
  </si>
  <si>
    <t>C1</t>
  </si>
  <si>
    <t>hc &lt; 30</t>
  </si>
  <si>
    <t>F1</t>
  </si>
  <si>
    <t>F2</t>
  </si>
  <si>
    <t>F3</t>
  </si>
  <si>
    <t>30 &gt; hc &gt; 85</t>
  </si>
  <si>
    <t>hc &gt; 85</t>
  </si>
  <si>
    <t>ÁREA          Ø</t>
  </si>
  <si>
    <t>G1</t>
  </si>
  <si>
    <t>G2</t>
  </si>
  <si>
    <t>G3</t>
  </si>
  <si>
    <t>MEMÓRIA DE CÁLCULO DE SERVIÇOS PRELIMINARES</t>
  </si>
  <si>
    <t>PAVIMENTAÇÃO ASFÁLTICA</t>
  </si>
  <si>
    <t>DRENAGEM DE ÁGUAS PLUVIAIS</t>
  </si>
  <si>
    <r>
      <t>EXTENSÃO</t>
    </r>
    <r>
      <rPr>
        <b/>
        <sz val="8"/>
        <color rgb="FFFF0000"/>
        <rFont val="Arial"/>
        <family val="2"/>
      </rPr>
      <t xml:space="preserve"> (m)</t>
    </r>
  </si>
  <si>
    <r>
      <t>PLACA DE OBRA</t>
    </r>
    <r>
      <rPr>
        <b/>
        <sz val="8"/>
        <color rgb="FFFF0000"/>
        <rFont val="Arial"/>
        <family val="2"/>
      </rPr>
      <t xml:space="preserve"> (m²)</t>
    </r>
  </si>
  <si>
    <t>EQUAÇÃO DE CHUVA</t>
  </si>
  <si>
    <t>I = a.TR ^ b / (tc + c) ^ d</t>
  </si>
  <si>
    <t xml:space="preserve">c = </t>
  </si>
  <si>
    <t>d =</t>
  </si>
  <si>
    <t>Isozona</t>
  </si>
  <si>
    <t>TR =</t>
  </si>
  <si>
    <t>b =</t>
  </si>
  <si>
    <t xml:space="preserve">a = </t>
  </si>
  <si>
    <t>MESES</t>
  </si>
  <si>
    <t>DIAS</t>
  </si>
  <si>
    <t>HORAS</t>
  </si>
  <si>
    <t>Topógrafo com encargos complementares</t>
  </si>
  <si>
    <t>Auxiliar de topógrafo com encargos complementares</t>
  </si>
  <si>
    <r>
      <t>VOLUME DO REVESTIMENTO EM CONCRETO</t>
    </r>
    <r>
      <rPr>
        <b/>
        <sz val="8"/>
        <color rgb="FFFF0000"/>
        <rFont val="Arial"/>
        <family val="2"/>
      </rPr>
      <t xml:space="preserve"> (m³)</t>
    </r>
  </si>
  <si>
    <t>Execução de passeio (calçada) ou piso de concreto com concreto moldado in loco, feito em obra, acabamento convencional, não armado</t>
  </si>
  <si>
    <t>DIMENSIONAMENTO - DRENAGEM DE ÁGUAS PLUVIAIS</t>
  </si>
  <si>
    <t>Espalhamento de material com trator esteiras</t>
  </si>
  <si>
    <t>95631 / 95632</t>
  </si>
  <si>
    <t>Rolo compactador vibratório tandem, aço liso, potência 125HP, peso sem / com lastro 10,20T / 11,65T, largura de trabalho 1,73m</t>
  </si>
  <si>
    <t>Concreto fck = 20 MPa, traço 1:2,7:3 (cimento / areia média / brita 1), preparo mecânico com betoneira 400L</t>
  </si>
  <si>
    <t>Fabricação, montagem e desmontagem de forma para viga baldrame, em madeira serrada, E = 25mm, 2 utilizações</t>
  </si>
  <si>
    <t>Lançamento com uso de baldes, adensamento e acabamento de concreto em estruturas</t>
  </si>
  <si>
    <t>Caminhão basculante 10m³, trucado cabine simples, peso bruto total 23.000kg, carga útil máxima 15.935kg, distância entre eixos 4,80m, potência 230CV, inclusive caçamba metálica</t>
  </si>
  <si>
    <t>13521 - Insumo</t>
  </si>
  <si>
    <t>11950 - Insumo</t>
  </si>
  <si>
    <t>Placa de aço esmaltada para identificação de rua, 45cm x 20cm</t>
  </si>
  <si>
    <t>Bucha de nylon sem aba S6, com parafuso de 4,20mm x 40mm, em aço zincado com rosca soberba, cabeça chata e fenda Phillips</t>
  </si>
  <si>
    <t>(1,50m &lt; H ≤ 2,00m) (L ≤ 1,50m)</t>
  </si>
  <si>
    <t>(1,50m &lt; H ≤ 2,00m) (L &gt; 1,50m)</t>
  </si>
  <si>
    <t>BDI</t>
  </si>
  <si>
    <t>UNITÁRIO    C/ BDI</t>
  </si>
  <si>
    <t>UNITÁRIO     S/ BDI</t>
  </si>
  <si>
    <t>91386 / 91387</t>
  </si>
  <si>
    <r>
      <t>QUANTIDADE</t>
    </r>
    <r>
      <rPr>
        <b/>
        <sz val="8"/>
        <color rgb="FFFF0000"/>
        <rFont val="Arial"/>
        <family val="2"/>
      </rPr>
      <t xml:space="preserve"> (un)</t>
    </r>
  </si>
  <si>
    <r>
      <t>COMPRIMENTO</t>
    </r>
    <r>
      <rPr>
        <b/>
        <sz val="8"/>
        <color rgb="FFFF0000"/>
        <rFont val="Arial"/>
        <family val="2"/>
      </rPr>
      <t xml:space="preserve"> (m)</t>
    </r>
  </si>
  <si>
    <t>Preparo de fundo de vala com largura menor que 1,50m (acerto do solo natural)</t>
  </si>
  <si>
    <t>Carga, manobra e descarga de solos e materiais granulares em caminhão basculante 10m³, carga com escavadeira hidráulica (caçamba de 1,20m³ / 155HP) e descarga livre</t>
  </si>
  <si>
    <t>Tubo de concreto simples para águas pluviais, classe PS-1, com encaixe ponta e bolsa, diâmetro nominal de 600mm</t>
  </si>
  <si>
    <t>Tubo de concreto simples para águas pluviais, classe PS-1, com encaixe ponta e bolsa, diâmetro nominal de 400mm</t>
  </si>
  <si>
    <t>Tubo de concreto armado para águas pluviais, classe PA-1, com encaixe ponta e bolsa, diâmetro nominal de 800mm</t>
  </si>
  <si>
    <t>Tubo de concreto armado para águas pluviais, classe PA-1, com encaixe ponta e bolsa, diâmetro nominal de 1.000mm</t>
  </si>
  <si>
    <t>TRANSPORTE DE TUBOS</t>
  </si>
  <si>
    <r>
      <t xml:space="preserve">TRANSPORTE DE TUBOS DMT &gt;30Km </t>
    </r>
    <r>
      <rPr>
        <b/>
        <sz val="8"/>
        <color rgb="FFFF0000"/>
        <rFont val="Arial"/>
        <family val="2"/>
      </rPr>
      <t>(t.km)</t>
    </r>
  </si>
  <si>
    <t>Escavação horizontal em solo de 1ª categoria, com trator de esteiras (100HP / lâmina: 2,19m³)</t>
  </si>
  <si>
    <t>Escavação horizontal em solo de 1ª categoria, com trator de esteiras (150HP / lâmina: 3,18m³)</t>
  </si>
  <si>
    <r>
      <t xml:space="preserve">TRANSPORTE DE TUBOS DMT &lt;=30Km </t>
    </r>
    <r>
      <rPr>
        <b/>
        <sz val="8"/>
        <color rgb="FFFF0000"/>
        <rFont val="Arial"/>
        <family val="2"/>
      </rPr>
      <t>(t.km)</t>
    </r>
  </si>
  <si>
    <r>
      <t xml:space="preserve">TRANSPORTE DE TÁTIL &lt;=30km </t>
    </r>
    <r>
      <rPr>
        <b/>
        <sz val="8"/>
        <color rgb="FFFF0000"/>
        <rFont val="Arial"/>
        <family val="2"/>
      </rPr>
      <t>(t.km)</t>
    </r>
  </si>
  <si>
    <r>
      <t xml:space="preserve">TRANSPORTE DE TÁTIL &gt;30km </t>
    </r>
    <r>
      <rPr>
        <b/>
        <sz val="8"/>
        <color rgb="FFFF0000"/>
        <rFont val="Arial"/>
        <family val="2"/>
      </rPr>
      <t>(t.km)</t>
    </r>
  </si>
  <si>
    <t>Confecção de suporte e travessa para placa</t>
  </si>
  <si>
    <t>DADOS DO CONTRATANTE</t>
  </si>
  <si>
    <t>CLIENTE:</t>
  </si>
  <si>
    <t>ENDEREÇO:</t>
  </si>
  <si>
    <t>DADOS DA OBRA</t>
  </si>
  <si>
    <t>OBRA:</t>
  </si>
  <si>
    <t>LOCAL:</t>
  </si>
  <si>
    <t>PAVIMENTAÇÃO ASFÁLTICA E DRENAGEM DE ÁGUAS PLUVIAIS</t>
  </si>
  <si>
    <r>
      <t xml:space="preserve">Transporte com caminhão carroceria 9T, em via urbana pavimentada, adicional para DMT até 30km - </t>
    </r>
    <r>
      <rPr>
        <sz val="8"/>
        <color rgb="FFFF0000"/>
        <rFont val="Arial"/>
        <family val="2"/>
      </rPr>
      <t>TUBOS</t>
    </r>
  </si>
  <si>
    <r>
      <t xml:space="preserve">Transporte com caminhão carroceria 9T, em via urbana pavimentada, adicional para DMT excedente a 30km - </t>
    </r>
    <r>
      <rPr>
        <sz val="8"/>
        <color rgb="FFFF0000"/>
        <rFont val="Arial"/>
        <family val="2"/>
      </rPr>
      <t>TUBOS</t>
    </r>
  </si>
  <si>
    <r>
      <t xml:space="preserve">PESO </t>
    </r>
    <r>
      <rPr>
        <b/>
        <sz val="8"/>
        <color rgb="FFFF0000"/>
        <rFont val="Arial"/>
        <family val="2"/>
      </rPr>
      <t>(%)</t>
    </r>
  </si>
  <si>
    <t>CONC</t>
  </si>
  <si>
    <t>PROP</t>
  </si>
  <si>
    <t>CONCEDENTE</t>
  </si>
  <si>
    <t>PROPONENTE</t>
  </si>
  <si>
    <t>REFERÊNCIA</t>
  </si>
  <si>
    <r>
      <t xml:space="preserve">Transporte com caminhão carroceria 9T, em via urbana pavimentada, adicional para DMT até 30km - </t>
    </r>
    <r>
      <rPr>
        <sz val="8"/>
        <color rgb="FFFF0000"/>
        <rFont val="Arial"/>
        <family val="2"/>
      </rPr>
      <t>PISO PODOTÁTIL</t>
    </r>
  </si>
  <si>
    <r>
      <t xml:space="preserve">Transporte com caminhão carroceria 9T, em via urbana pavimentada, adicional para DMT excedente a 30km - </t>
    </r>
    <r>
      <rPr>
        <sz val="8"/>
        <color rgb="FFFF0000"/>
        <rFont val="Arial"/>
        <family val="2"/>
      </rPr>
      <t>PISO PODOTÁTIL</t>
    </r>
  </si>
  <si>
    <r>
      <t xml:space="preserve">Transporte com caminhão basculante de 10m³, em via urbana pavimentada, DMT até 30km - </t>
    </r>
    <r>
      <rPr>
        <sz val="8"/>
        <color rgb="FFFF0000"/>
        <rFont val="Arial"/>
        <family val="2"/>
      </rPr>
      <t>CBUQ</t>
    </r>
  </si>
  <si>
    <r>
      <t xml:space="preserve">Execução e compactação de base e ou sub base para pavimentação de solos de comportamento laterítico (arenoso), exclusive solo, escavação, carga e transporte - </t>
    </r>
    <r>
      <rPr>
        <sz val="8"/>
        <color rgb="FFFF0000"/>
        <rFont val="Arial"/>
        <family val="2"/>
      </rPr>
      <t>CASCALHO</t>
    </r>
  </si>
  <si>
    <t>Escoramento de vala, tipo descontínuo, com profundidade de 1,50m a 3,00m, largura maior ou igual a 1,50m e menor que 2,50m</t>
  </si>
  <si>
    <t>Escoramento de vala, tipo pontaleteamento, com profundidade de 1,50m a 3,00m, largura maior ou igual a 1,50m e menor que 2,50m</t>
  </si>
  <si>
    <t>Encarregado geral com encargos complementares</t>
  </si>
  <si>
    <t>Tampa circular para esgoto e drenagem, em ferro fundido, diâmetro interno = 0,60m</t>
  </si>
  <si>
    <t>Engenheiro civil de obra junior com encargos complentares</t>
  </si>
  <si>
    <r>
      <t xml:space="preserve">Transporte com caminhão basculante de 10m³, em via urbana pavimentada, DMT até 30km - </t>
    </r>
    <r>
      <rPr>
        <sz val="8"/>
        <color rgb="FFFF0000"/>
        <rFont val="Arial"/>
        <family val="2"/>
      </rPr>
      <t>BOTA FORA</t>
    </r>
  </si>
  <si>
    <r>
      <t xml:space="preserve">Transporte com caminhão basculante de 10m³, em via urbana pavimentada, DMT até 30km - </t>
    </r>
    <r>
      <rPr>
        <sz val="8"/>
        <color rgb="FFFF0000"/>
        <rFont val="Arial"/>
        <family val="2"/>
      </rPr>
      <t>BRITA PARA POÇO DE VISITA</t>
    </r>
  </si>
  <si>
    <r>
      <t xml:space="preserve">Transporte com caminhão basculante de 10m³, em via urbana pavimentada, adicional para DMT excedente a 30km - </t>
    </r>
    <r>
      <rPr>
        <sz val="8"/>
        <color rgb="FFFF0000"/>
        <rFont val="Arial"/>
        <family val="2"/>
      </rPr>
      <t>BRITA PARA POÇO DE VISITA</t>
    </r>
  </si>
  <si>
    <r>
      <t xml:space="preserve">Transporte com caminhão basculante de 10m³, em via urbana pavimentada, DMT até 30km - </t>
    </r>
    <r>
      <rPr>
        <sz val="8"/>
        <color rgb="FFFF0000"/>
        <rFont val="Arial"/>
        <family val="2"/>
      </rPr>
      <t>BRITA PARA BOCA DE LOBO</t>
    </r>
  </si>
  <si>
    <r>
      <t xml:space="preserve">Transporte com caminhão basculante de 10m³, em via urbana pavimentada, adicional para DMT excedente a 30km - </t>
    </r>
    <r>
      <rPr>
        <sz val="8"/>
        <color rgb="FFFF0000"/>
        <rFont val="Arial"/>
        <family val="2"/>
      </rPr>
      <t>BRITA PARA BOCA DE LOBO</t>
    </r>
  </si>
  <si>
    <t>Regularização e compactação de subleito de solo predominantemente argiloso</t>
  </si>
  <si>
    <r>
      <t xml:space="preserve">Transporte com caminhão basculante de 10m³, em via urbana pavimentada, adicional para DMT excedente a 30km - </t>
    </r>
    <r>
      <rPr>
        <sz val="8"/>
        <color rgb="FFFF0000"/>
        <rFont val="Arial"/>
        <family val="2"/>
      </rPr>
      <t>CBUQ</t>
    </r>
  </si>
  <si>
    <r>
      <t xml:space="preserve">Transporte com caminhão basculante de 10m³, em via urbana pavimentada, DMT até 30km - </t>
    </r>
    <r>
      <rPr>
        <sz val="8"/>
        <color rgb="FFFF0000"/>
        <rFont val="Arial"/>
        <family val="2"/>
      </rPr>
      <t>CASCALHO</t>
    </r>
  </si>
  <si>
    <r>
      <t xml:space="preserve">Transporte com caminhão basculante de 10m³, em via urbana pavimentada, DMT até 30km - </t>
    </r>
    <r>
      <rPr>
        <sz val="8"/>
        <color rgb="FFFF0000"/>
        <rFont val="Arial"/>
        <family val="2"/>
      </rPr>
      <t>BRITA PARA MEIO FIO E TENTO</t>
    </r>
  </si>
  <si>
    <r>
      <t xml:space="preserve">Transporte com caminhão basculante de 10m³, em via urbana pavimentada, adicional para DMT excedente a 30km - </t>
    </r>
    <r>
      <rPr>
        <sz val="8"/>
        <color rgb="FFFF0000"/>
        <rFont val="Arial"/>
        <family val="2"/>
      </rPr>
      <t>BRITA PARA MEIO FIO E TENTO</t>
    </r>
  </si>
  <si>
    <r>
      <t xml:space="preserve">Transporte com caminhão basculante de 10m³, em via urbana pavimentada, DMT até 30km - </t>
    </r>
    <r>
      <rPr>
        <sz val="8"/>
        <color rgb="FFFF0000"/>
        <rFont val="Arial"/>
        <family val="2"/>
      </rPr>
      <t>BRITA PARA CALÇADAS</t>
    </r>
  </si>
  <si>
    <r>
      <t xml:space="preserve">Transporte com caminhão basculante de 10m³, em via urbana pavimentada, adicional para DMT excedente a 30km - </t>
    </r>
    <r>
      <rPr>
        <sz val="8"/>
        <color rgb="FFFF0000"/>
        <rFont val="Arial"/>
        <family val="2"/>
      </rPr>
      <t>BRITA PARA CALÇADAS</t>
    </r>
  </si>
  <si>
    <r>
      <t xml:space="preserve">Transporte com caminhão basculante de 10m³, em via urbana pavimentada, DMT até 30km - </t>
    </r>
    <r>
      <rPr>
        <sz val="8"/>
        <color rgb="FFFF0000"/>
        <rFont val="Arial"/>
        <family val="2"/>
      </rPr>
      <t>BRITA PARA RAMPAS DE ACESSO</t>
    </r>
  </si>
  <si>
    <r>
      <t xml:space="preserve">Transporte com caminhão basculante de 10m³, em via urbana pavimentada, adicional para DMT excedente a 30km - </t>
    </r>
    <r>
      <rPr>
        <sz val="8"/>
        <color rgb="FFFF0000"/>
        <rFont val="Arial"/>
        <family val="2"/>
      </rPr>
      <t>BRITA PARA RAMPAS DE ACESSO</t>
    </r>
  </si>
  <si>
    <r>
      <t>PESO UNITÁRIO Ø0,40m</t>
    </r>
    <r>
      <rPr>
        <b/>
        <sz val="8"/>
        <color rgb="FFFF0000"/>
        <rFont val="Arial"/>
        <family val="2"/>
      </rPr>
      <t xml:space="preserve"> (t)</t>
    </r>
  </si>
  <si>
    <r>
      <t>PESO UNITÁRIO Ø0,60m</t>
    </r>
    <r>
      <rPr>
        <b/>
        <sz val="8"/>
        <color rgb="FFFF0000"/>
        <rFont val="Arial"/>
        <family val="2"/>
      </rPr>
      <t xml:space="preserve"> (t)</t>
    </r>
  </si>
  <si>
    <r>
      <t>PESO UNITÁRIO Ø0,80m</t>
    </r>
    <r>
      <rPr>
        <b/>
        <sz val="8"/>
        <color rgb="FFFF0000"/>
        <rFont val="Arial"/>
        <family val="2"/>
      </rPr>
      <t xml:space="preserve"> (t)</t>
    </r>
  </si>
  <si>
    <r>
      <t>PESO UNITÁRIO Ø1,00m</t>
    </r>
    <r>
      <rPr>
        <b/>
        <sz val="8"/>
        <color rgb="FFFF0000"/>
        <rFont val="Arial"/>
        <family val="2"/>
      </rPr>
      <t xml:space="preserve"> (t)</t>
    </r>
  </si>
  <si>
    <r>
      <t xml:space="preserve">CARGA DE TUBOS </t>
    </r>
    <r>
      <rPr>
        <b/>
        <sz val="8"/>
        <color rgb="FFFF0000"/>
        <rFont val="Arial"/>
        <family val="2"/>
      </rPr>
      <t>(t)</t>
    </r>
  </si>
  <si>
    <r>
      <t>BRITA P/ CONCRETO 15MPa</t>
    </r>
    <r>
      <rPr>
        <b/>
        <sz val="8"/>
        <color rgb="FFFF0000"/>
        <rFont val="Arial"/>
        <family val="2"/>
      </rPr>
      <t xml:space="preserve"> (m³)</t>
    </r>
  </si>
  <si>
    <r>
      <t>BRITA P/ CONCRETO 20MPa</t>
    </r>
    <r>
      <rPr>
        <b/>
        <sz val="8"/>
        <color rgb="FFFF0000"/>
        <rFont val="Arial"/>
        <family val="2"/>
      </rPr>
      <t xml:space="preserve"> (m³)</t>
    </r>
  </si>
  <si>
    <r>
      <t>CONCRETO 15MPa P/ PV-1</t>
    </r>
    <r>
      <rPr>
        <b/>
        <sz val="8"/>
        <color rgb="FFFF0000"/>
        <rFont val="Arial"/>
        <family val="2"/>
      </rPr>
      <t xml:space="preserve"> (m³)</t>
    </r>
  </si>
  <si>
    <r>
      <t>BRITA P/ LASTRO</t>
    </r>
    <r>
      <rPr>
        <b/>
        <sz val="8"/>
        <color rgb="FFFF0000"/>
        <rFont val="Arial"/>
        <family val="2"/>
      </rPr>
      <t xml:space="preserve"> (m³)</t>
    </r>
  </si>
  <si>
    <r>
      <t>CONCRETO 20MPa P/ PV-1</t>
    </r>
    <r>
      <rPr>
        <b/>
        <sz val="8"/>
        <color rgb="FFFF0000"/>
        <rFont val="Arial"/>
        <family val="2"/>
      </rPr>
      <t xml:space="preserve"> (m³)</t>
    </r>
  </si>
  <si>
    <r>
      <t>LASTRO P/ PV-1</t>
    </r>
    <r>
      <rPr>
        <b/>
        <sz val="8"/>
        <color rgb="FFFF0000"/>
        <rFont val="Arial"/>
        <family val="2"/>
      </rPr>
      <t xml:space="preserve"> (m³)</t>
    </r>
  </si>
  <si>
    <r>
      <t>CONCRETO 20MPa P/ BLS</t>
    </r>
    <r>
      <rPr>
        <b/>
        <sz val="8"/>
        <color rgb="FFFF0000"/>
        <rFont val="Arial"/>
        <family val="2"/>
      </rPr>
      <t xml:space="preserve"> (m³)</t>
    </r>
  </si>
  <si>
    <t>Escavação mecanizada de vala com prof. de 1,50m até 3,00m (média entre montante e jusante / um composição por trecho), com escavadeira hidráulica (1,20m³ / 155HP), larg. de 1,50m a 2,50m, em solo de 1ª categoria, em locais com nível alto de interferência</t>
  </si>
  <si>
    <r>
      <t>SEÇÃO DO MEIO FIO COM SARJETA</t>
    </r>
    <r>
      <rPr>
        <b/>
        <sz val="8"/>
        <color rgb="FFFF0000"/>
        <rFont val="Arial"/>
        <family val="2"/>
      </rPr>
      <t xml:space="preserve"> (m</t>
    </r>
    <r>
      <rPr>
        <sz val="8"/>
        <color rgb="FFFF0000"/>
        <rFont val="Arial"/>
        <family val="2"/>
      </rPr>
      <t>²</t>
    </r>
    <r>
      <rPr>
        <b/>
        <sz val="8"/>
        <color rgb="FFFF0000"/>
        <rFont val="Arial"/>
        <family val="2"/>
      </rPr>
      <t>)</t>
    </r>
  </si>
  <si>
    <r>
      <t>SEÇÃO DO TENTO</t>
    </r>
    <r>
      <rPr>
        <b/>
        <sz val="8"/>
        <color rgb="FFFF0000"/>
        <rFont val="Arial"/>
        <family val="2"/>
      </rPr>
      <t xml:space="preserve"> (m</t>
    </r>
    <r>
      <rPr>
        <sz val="8"/>
        <color rgb="FFFF0000"/>
        <rFont val="Arial"/>
        <family val="2"/>
      </rPr>
      <t>²</t>
    </r>
    <r>
      <rPr>
        <b/>
        <sz val="8"/>
        <color rgb="FFFF0000"/>
        <rFont val="Arial"/>
        <family val="2"/>
      </rPr>
      <t>)</t>
    </r>
  </si>
  <si>
    <t>CONSUMO DE CONCRETO 20MPa P/ CALÇADAS</t>
  </si>
  <si>
    <t>CONSUMO DE CONCRETO 20MPa P/ RAMPAS</t>
  </si>
  <si>
    <t>Pintura de meio fio com tinta branca a base de cal (caiação)</t>
  </si>
  <si>
    <t>83362 / 91486</t>
  </si>
  <si>
    <t>89035 / 89036</t>
  </si>
  <si>
    <t>Vassoura mecânica rebocável com escova cilíndrica, largura útil de varrimento de 2,44m</t>
  </si>
  <si>
    <t>Espargidor de asfalto pressurizado, tanque 6m³ com isolação térmica, aquecido com 2 maçaricos, com barra espargidora 3,60m, montado sobre caminhão toco, PBT 14.300kg, potência 185CV</t>
  </si>
  <si>
    <t>Trator de pneus, potência 85CV, tração 4x4, peso com lastro de 4.675kg</t>
  </si>
  <si>
    <t>BANCOS</t>
  </si>
  <si>
    <t>ENCARGOS SOCIAIS</t>
  </si>
  <si>
    <t>CAMPO GRANDE/MS</t>
  </si>
  <si>
    <t>Grelha de ferro fundido simples com requadro, 300mm x 1.000mm, assentada com argamassa 1:3, cimento e areia, fornecimento e instalação</t>
  </si>
  <si>
    <t>Pintura de eixo viário sobre asfalto com tinta retrorrefletiva a base de resina acrilica, com microesferas de vidro, aplicação mecânica com demarcadora auto propelida</t>
  </si>
  <si>
    <t>Pintura de símbolos e textos com tinta acrilica, demarcação com fita a adesiva e aplicação com rolo</t>
  </si>
  <si>
    <r>
      <t xml:space="preserve">EXTENSÃO TOTAL </t>
    </r>
    <r>
      <rPr>
        <b/>
        <sz val="8"/>
        <color rgb="FFFF0000"/>
        <rFont val="Arial"/>
        <family val="2"/>
      </rPr>
      <t>(m²)</t>
    </r>
  </si>
  <si>
    <t>VERIFICAÇÃO DO BDI - ACÓRDÃO 2.622/2013</t>
  </si>
  <si>
    <t>DADOS INICIAIS</t>
  </si>
  <si>
    <t>TIPO DE OBRA:</t>
  </si>
  <si>
    <t>Construção de rodovias e ferrovias</t>
  </si>
  <si>
    <t>ENQUADRAMENTO NA DESONERAÇÃO CONFORME LEI N° 12.844/2013:*</t>
  </si>
  <si>
    <t>NÃO</t>
  </si>
  <si>
    <t>*Uso de encargos sociais desonerados na elaboração do orçamento</t>
  </si>
  <si>
    <t>ENQUADRAM-SE NO TIPO SELECIONADO:</t>
  </si>
  <si>
    <t>CÁLCULO DOS IMPOSTOS</t>
  </si>
  <si>
    <t>TIPO DE TRIBUTAÇÃO SOBRE O LUCRO:</t>
  </si>
  <si>
    <t>LUCRO PRESUMIDO</t>
  </si>
  <si>
    <t>Imposto</t>
  </si>
  <si>
    <t>Aliquota</t>
  </si>
  <si>
    <t>Base de cálculo</t>
  </si>
  <si>
    <t>ISS BRUTO % (LEI MUNICIPAL):</t>
  </si>
  <si>
    <t>% INCIDÊNCIA (M.OBRA)*</t>
  </si>
  <si>
    <t>,</t>
  </si>
  <si>
    <t>ISS LÍQUIDO</t>
  </si>
  <si>
    <t>TOTAL IMPOSTOS</t>
  </si>
  <si>
    <t>*Incidência do total do contrato que representa mão de obra para compor a base de cálculo conf. legislação municipal.</t>
  </si>
  <si>
    <t>VERIFICAÇÃO E CÁLCULO DO BDI</t>
  </si>
  <si>
    <t>ITEM COMPONENTE</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</si>
  <si>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</si>
  <si>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</si>
  <si>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</si>
  <si>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</si>
  <si>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</si>
  <si>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</si>
  <si>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</si>
  <si>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</si>
  <si>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</si>
  <si>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</si>
  <si>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</si>
  <si>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 (USO DE E.S. DESONERADOS):</t>
  </si>
  <si>
    <t>INSS SOBRE A RECEITA BRUTA:</t>
  </si>
  <si>
    <t>BANCO DE DADOS</t>
  </si>
  <si>
    <t>TIPO DE OBRA</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</si>
  <si>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</si>
  <si>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</si>
  <si>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</si>
  <si>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</si>
  <si>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</si>
  <si>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</si>
  <si>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</si>
  <si>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</si>
  <si>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</si>
  <si>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</si>
  <si>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</si>
  <si>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</si>
  <si>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CONFINS</t>
  </si>
  <si>
    <t>BASE DE CÁLCULO</t>
  </si>
  <si>
    <t>RECEITA BRUTA (VALOR DA NOTA)</t>
  </si>
  <si>
    <t>LUCRO REAL</t>
  </si>
  <si>
    <t>Código da pesquisa</t>
  </si>
  <si>
    <t>1º Quartil</t>
  </si>
  <si>
    <t>Médio</t>
  </si>
  <si>
    <t>3º Quartil</t>
  </si>
  <si>
    <t>1 Quartil</t>
  </si>
  <si>
    <t>3 Quartil</t>
  </si>
  <si>
    <t>Caibro não aparelhado 7,50cm x 7,50cm (3 x 3"), macaranduba, angelim ou equivalente da região</t>
  </si>
  <si>
    <t>LOCAL</t>
  </si>
  <si>
    <t>CIDADE</t>
  </si>
  <si>
    <t>BDI SERVIÇO:</t>
  </si>
  <si>
    <t>Piso de borracha pastilhado / frisado, espessura 7mm, assentado com argamassa</t>
  </si>
  <si>
    <r>
      <t>LARGURA DO PISO PODOTÁTIL</t>
    </r>
    <r>
      <rPr>
        <b/>
        <sz val="8"/>
        <color rgb="FFFF0000"/>
        <rFont val="Arial"/>
        <family val="2"/>
      </rPr>
      <t xml:space="preserve"> (m)</t>
    </r>
  </si>
  <si>
    <t>Execução de imprimação com emulsão asfáltica a base d'água, exclusive material betuminoso</t>
  </si>
  <si>
    <t>Emulsão asfáltica a base d'água para imprimação</t>
  </si>
  <si>
    <t>Recorte mecânico de pavimento asfáltico ou piso de concreto, com serra de disco diamantado para piso / asfalto</t>
  </si>
  <si>
    <t>Meio fio com sarjeta, concreto fck = 15MPa, seção 615cm², moldado no local, inclusive escavação e pintura a cal em uma demão</t>
  </si>
  <si>
    <t>Alvenaria de vedação de blocos vazados de concreto de 19cm x 19cm x 39cm (espessura 19cm) e argamassa de assentamento com preparo em betoneira</t>
  </si>
  <si>
    <t>Pintura com tinta alquídica de fundo e acabamento (esmalte sintético grafite) aplicada a rolo ou pincel sobre superfícies metálicas (exceto perfil), executado em obra (por demão)</t>
  </si>
  <si>
    <r>
      <t xml:space="preserve">TRANSPORTE CM-IMPRIMA </t>
    </r>
    <r>
      <rPr>
        <b/>
        <sz val="8"/>
        <color rgb="FFFF0000"/>
        <rFont val="Arial"/>
        <family val="2"/>
      </rPr>
      <t>(t.km)</t>
    </r>
  </si>
  <si>
    <r>
      <t xml:space="preserve">EMULSÃO CM-IMPRIMA </t>
    </r>
    <r>
      <rPr>
        <b/>
        <sz val="8"/>
        <color rgb="FFFF0000"/>
        <rFont val="Arial"/>
        <family val="2"/>
      </rPr>
      <t>(t)</t>
    </r>
  </si>
  <si>
    <t>t</t>
  </si>
  <si>
    <t>Carga, manobra e descarga de solos e materiais granulares em caminhão basculante 10m³, carga com pá carregadeira (caçamba de 1,70m³ a 2,80m³/ 128HP) e descarga livre</t>
  </si>
  <si>
    <t>Aplicação de concreto betuminoso usinado à quente (CBUQ), exclusive transporte e material</t>
  </si>
  <si>
    <t>5835 / 5837</t>
  </si>
  <si>
    <t>Rasteleiro com encargos complementares</t>
  </si>
  <si>
    <t>96157 / 96155</t>
  </si>
  <si>
    <t>96463 / 96464</t>
  </si>
  <si>
    <t>Vibroacabadora de asfalto sobre esteiras, largura de pavimentação 1,90m a 5,30m, potência 105HP, capacidade 450 T/H</t>
  </si>
  <si>
    <t>Trator de pneus com potência de 85CV, tração 4x4, com vassoura mecânica acoplada</t>
  </si>
  <si>
    <t>Rolo compactador de pneus, estático, pressão variável, potência 110HP, peso sem / com lastro 10,80T / 27,00T, largura de rolagem 2,30m</t>
  </si>
  <si>
    <r>
      <t>EXTENSÃO POR RAMPA</t>
    </r>
    <r>
      <rPr>
        <b/>
        <sz val="8"/>
        <color rgb="FFFF0000"/>
        <rFont val="Arial"/>
        <family val="2"/>
      </rPr>
      <t xml:space="preserve"> (m)</t>
    </r>
  </si>
  <si>
    <t>BETUNEL</t>
  </si>
  <si>
    <t>CM-IMPRIMA</t>
  </si>
  <si>
    <r>
      <t xml:space="preserve">Transporte com caminhão tanque de transporte de material asfáltico de 20.000L, em via urbana pavimentada, DMT até 30km - </t>
    </r>
    <r>
      <rPr>
        <sz val="8"/>
        <color rgb="FFFF0000"/>
        <rFont val="Arial"/>
        <family val="2"/>
      </rPr>
      <t>CM-IMPRIMA</t>
    </r>
  </si>
  <si>
    <r>
      <t xml:space="preserve">Transporte com caminhão tanque de transporte de material asfáltico de 20.000L, em via urbana pavimentada, adicional para DMT excedente a 30km - </t>
    </r>
    <r>
      <rPr>
        <sz val="8"/>
        <color rgb="FFFF0000"/>
        <rFont val="Arial"/>
        <family val="2"/>
      </rPr>
      <t>CM-IMPRIMA</t>
    </r>
  </si>
  <si>
    <r>
      <t>ÁREA DE PISO PODOTÁTIL</t>
    </r>
    <r>
      <rPr>
        <b/>
        <sz val="8"/>
        <color rgb="FFFF0000"/>
        <rFont val="Arial"/>
        <family val="2"/>
      </rPr>
      <t xml:space="preserve"> (m²)</t>
    </r>
  </si>
  <si>
    <t>Armação de laje de uma estrutura convencional de concreto armado  utilizando aço CA-60 de 4,20mm</t>
  </si>
  <si>
    <t>QUADRO DE DISTÂNCIA MÉDIAS DE TRANSPORTE DE INSUMOS - DMT</t>
  </si>
  <si>
    <t>INSUMO</t>
  </si>
  <si>
    <t>USINA DE CBUQ</t>
  </si>
  <si>
    <t>EMULSÃO RR-2C</t>
  </si>
  <si>
    <t>JAZIDA DE CASCALHO</t>
  </si>
  <si>
    <t>PEDREIRA</t>
  </si>
  <si>
    <r>
      <t xml:space="preserve">CONSUMO CM-IMPRIMA </t>
    </r>
    <r>
      <rPr>
        <b/>
        <sz val="8"/>
        <color rgb="FFFF0000"/>
        <rFont val="Arial"/>
        <family val="2"/>
      </rPr>
      <t>(t/m²)</t>
    </r>
  </si>
  <si>
    <t>Preparo de fundo de vala com largura maior ou igual a 1,5m e menor que 2,5m, com camada de brita, lançamento manual</t>
  </si>
  <si>
    <t>Assentamento de tubo de concreto para redes coletoras de águas pluviais, diâmetro de 400mm, junta rígida, instalado em local com alto nível de interferência (não inclui fornecimento)</t>
  </si>
  <si>
    <t>Assentamento de tubo de concreto para redes coletoras de águas pluviais, diâmetro de 600mm, junta rígida, instalado em local com alto nível de interferência (não inclui fornecimento)</t>
  </si>
  <si>
    <t>Assentamento de tubo de concreto para redes coletoras de águas pluviais, diâmetro de 800mm, junta rígida, instalado em local com alto nível de interferência (não inclui fornecimento)</t>
  </si>
  <si>
    <t>Assentamento de tubo de concreto para redes coletoras de águas pluviais, diâmetro de 1.000mm, junta rígida, instalado em local com alto nível de interferência (não inclui fornecimento)</t>
  </si>
  <si>
    <t>Auxiliar de laboratório com encargos complementares</t>
  </si>
  <si>
    <t>Técnico de laboratório com encargos complementares</t>
  </si>
  <si>
    <t>DMT (km)</t>
  </si>
  <si>
    <t>Fornecimento e instalação de placa de obra com chapa galvanizada e estrutura de madeira</t>
  </si>
  <si>
    <t>Reaterro mecanizado de vala com escavadeira hidráulica, (capacidade da caçamba da retro: 0,80m³ / 111HP), larg. de 1,50m a 2,50m, profundidade de1,50m a 3,00m, com solo de 1ª categoria, com compactador de solos de percussão</t>
  </si>
  <si>
    <r>
      <t>ALTURA</t>
    </r>
    <r>
      <rPr>
        <b/>
        <sz val="8"/>
        <color rgb="FFFF0000"/>
        <rFont val="Arial"/>
        <family val="2"/>
      </rPr>
      <t xml:space="preserve"> (m)</t>
    </r>
  </si>
  <si>
    <t>(3,00m &lt; H ≤ 6,00m) (L &gt; 1,50m)</t>
  </si>
  <si>
    <t>(3,00m &lt; H ≤ 6,00m) (L ≤ 1,50m)</t>
  </si>
  <si>
    <t>MATERIAL (P=PEAD C=CONCRETO MET=METÁLICO)</t>
  </si>
  <si>
    <r>
      <t xml:space="preserve">CORTE COMPENSADO </t>
    </r>
    <r>
      <rPr>
        <b/>
        <sz val="8"/>
        <color rgb="FFFF0000"/>
        <rFont val="Arial"/>
        <family val="2"/>
      </rPr>
      <t>(m³)</t>
    </r>
  </si>
  <si>
    <t xml:space="preserve">Rampa de acessibilidade - Tipo 03 (8,40m²), conforme projeto </t>
  </si>
  <si>
    <r>
      <t>QUANT. DE RAMPAS - TIPO 03</t>
    </r>
    <r>
      <rPr>
        <b/>
        <sz val="8"/>
        <color rgb="FFFF0000"/>
        <rFont val="Arial"/>
        <family val="2"/>
      </rPr>
      <t xml:space="preserve"> (un)</t>
    </r>
  </si>
  <si>
    <r>
      <t>ÁREA UNITÁRIA RAMPA - TIPO 03</t>
    </r>
    <r>
      <rPr>
        <b/>
        <sz val="8"/>
        <color rgb="FFFF0000"/>
        <rFont val="Arial"/>
        <family val="2"/>
      </rPr>
      <t xml:space="preserve"> (m²)</t>
    </r>
  </si>
  <si>
    <t>HORISTA:  106,76%
MENSALISTA:  64,39%</t>
  </si>
  <si>
    <t>Preparo Manual de terrreno sem raspagem superficial</t>
  </si>
  <si>
    <t>PREFEITURA MUNICIPAL DE APARECIDA DO TABOADO / MS</t>
  </si>
  <si>
    <t>RUA ELIAS TOLENTINO DE ALMEIDA, Nº 4.098 - JD. SÃO BENTO</t>
  </si>
  <si>
    <t>DIVERSAS RUAS NO BAIRRO PRIMAVERA, APARECIDA DO TABOADO / MS</t>
  </si>
  <si>
    <t>SICRO MS 01/2024</t>
  </si>
  <si>
    <t>________________________________________________________</t>
  </si>
  <si>
    <t>SOSURB - SECRETÁRIA DE OBRAS E SERVIÇOS URBANOS</t>
  </si>
  <si>
    <r>
      <t>QUANTIDADE DE RAIOS DE 3,00m</t>
    </r>
    <r>
      <rPr>
        <b/>
        <sz val="8"/>
        <color rgb="FFFF0000"/>
        <rFont val="Arial"/>
        <family val="2"/>
      </rPr>
      <t xml:space="preserve"> (un)</t>
    </r>
  </si>
  <si>
    <r>
      <t>ÁREA DO RAIO DE 3,00m</t>
    </r>
    <r>
      <rPr>
        <b/>
        <sz val="8"/>
        <color rgb="FFFF0000"/>
        <rFont val="Arial"/>
        <family val="2"/>
      </rPr>
      <t xml:space="preserve"> (m²)</t>
    </r>
  </si>
  <si>
    <t>AV. DOS ESTUDANTES - LE</t>
  </si>
  <si>
    <t>AV. DOS ESTUDANTES - LD</t>
  </si>
  <si>
    <t>AV. AJAX FURQUIM - LE</t>
  </si>
  <si>
    <t>AV. AJAX FURQUIM - LD</t>
  </si>
  <si>
    <t>RUA BELO HORIZONTE</t>
  </si>
  <si>
    <t>RUA SÃO PAULO</t>
  </si>
  <si>
    <t>RUA MINAS GERAIS</t>
  </si>
  <si>
    <t>RUA CUIABÁ</t>
  </si>
  <si>
    <t>APARECIDA DO TABOADO/MS</t>
  </si>
  <si>
    <t>PEDREIRA TRÊS BARRAS</t>
  </si>
  <si>
    <t>PARANAÍBA/MS</t>
  </si>
  <si>
    <t>ASFALTEC</t>
  </si>
  <si>
    <t>LAJES PREMIX</t>
  </si>
  <si>
    <t>TRÊS LAGOAS/MS</t>
  </si>
  <si>
    <t>CORTE COMPENSADO</t>
  </si>
  <si>
    <t>5B</t>
  </si>
  <si>
    <t>32A</t>
  </si>
  <si>
    <t>DR-05</t>
  </si>
  <si>
    <t>DR-17</t>
  </si>
  <si>
    <t>IM-01</t>
  </si>
  <si>
    <t>AP-01</t>
  </si>
  <si>
    <t>SC-01</t>
  </si>
  <si>
    <t>SC-04</t>
  </si>
  <si>
    <t>AC-01</t>
  </si>
  <si>
    <t>AC-04</t>
  </si>
  <si>
    <t>PR-01</t>
  </si>
  <si>
    <t>SV-01</t>
  </si>
  <si>
    <t>SV-02</t>
  </si>
  <si>
    <t>SV-03</t>
  </si>
  <si>
    <t>DRENAGEM DE ÁGUAS PLUVIAIS - DISPOSITIVOS ESTRUTURAIS 01</t>
  </si>
  <si>
    <t>DRENAGEM DE ÁGUAS PLUVIAIS - DISPOSITIVOS ESTRUTURAIS 02</t>
  </si>
  <si>
    <t>7B</t>
  </si>
  <si>
    <t>29B</t>
  </si>
  <si>
    <t>8A</t>
  </si>
  <si>
    <r>
      <t xml:space="preserve">AQUISIÇÃO </t>
    </r>
    <r>
      <rPr>
        <b/>
        <sz val="8"/>
        <color rgb="FFFF0000"/>
        <rFont val="Arial"/>
        <family val="2"/>
      </rPr>
      <t>(m³)</t>
    </r>
  </si>
  <si>
    <r>
      <t xml:space="preserve">CARGA DE CBUQ </t>
    </r>
    <r>
      <rPr>
        <b/>
        <sz val="8"/>
        <color rgb="FFFF0000"/>
        <rFont val="Arial"/>
        <family val="2"/>
      </rPr>
      <t>(m³)</t>
    </r>
  </si>
  <si>
    <r>
      <t xml:space="preserve">TRANSPORTE DE CBUQ </t>
    </r>
    <r>
      <rPr>
        <b/>
        <sz val="8"/>
        <color rgb="FFFF0000"/>
        <rFont val="Arial"/>
        <family val="2"/>
      </rPr>
      <t>(m³.km)</t>
    </r>
  </si>
  <si>
    <t>COMPOSIÇÃO MS: 09/2024
INSUMO MS: 09/2024</t>
  </si>
  <si>
    <t>10776 - Insumo</t>
  </si>
  <si>
    <t>Locação de container 2,30m x 6,00m, alt 2,50m, para escritório, sem divisórias internas e sem sanitário (não inclui mobilização / desmobilização)</t>
  </si>
  <si>
    <t>mês</t>
  </si>
  <si>
    <r>
      <t>LOCAÇÃO DE CONTAINER</t>
    </r>
    <r>
      <rPr>
        <b/>
        <sz val="8"/>
        <color rgb="FFFF0000"/>
        <rFont val="Arial"/>
        <family val="2"/>
      </rPr>
      <t xml:space="preserve"> (mês)</t>
    </r>
  </si>
  <si>
    <t>MIUC00703 - AGESUL</t>
  </si>
  <si>
    <t>IUP0007 - AGESUL</t>
  </si>
  <si>
    <t>Execução de pavimento com aplicação de concreto asfáltico, camada de rolamento - Exclusive cargas e transporte</t>
  </si>
  <si>
    <t>PAV TUBOS</t>
  </si>
  <si>
    <t>Preparo de fundo de vala com largura maior ou igual a 1,50m e menor que 2,50m (acerto do solo natural)</t>
  </si>
  <si>
    <t>MÊS 07</t>
  </si>
  <si>
    <t>MÊS 08</t>
  </si>
  <si>
    <t>MÊS 09</t>
  </si>
  <si>
    <t>PLANILHA DE CUBAÇÃO - TOPOGRAPH</t>
  </si>
  <si>
    <t>BRITA P/ CONCRETO 20MPa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</si>
</sst>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0"/>
    <numFmt numFmtId="165" formatCode="#,##0.0000"/>
    <numFmt numFmtId="166" formatCode="#,##0.00000"/>
    <numFmt numFmtId="167" formatCode="#,##0.00_ ;\-#,##0.00\ "/>
    <numFmt numFmtId="168" formatCode="0.000%"/>
    <numFmt numFmtId="169" formatCode="0.0%"/>
    <numFmt numFmtId="170" formatCode="#,##0.000000"/>
    <numFmt numFmtId="171" formatCode="0.000"/>
  </numFmts>
  <fonts count="3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b/>
      <sz val="10"/>
      <color theme="1"/>
      <name val="Arial"/>
      <family val="2"/>
    </font>
    <font>
      <b/>
      <sz val="12"/>
      <color theme="1"/>
      <name val="Arial"/>
      <family val="2"/>
    </font>
    <font>
      <b/>
      <sz val="9"/>
      <color theme="1"/>
      <name val="Arial"/>
      <family val="2"/>
    </font>
    <font>
      <sz val="8"/>
      <color theme="1"/>
      <name val="Arial"/>
      <family val="2"/>
    </font>
    <font>
      <b/>
      <sz val="8"/>
      <color theme="1"/>
      <name val="Arial"/>
      <family val="2"/>
    </font>
    <font>
      <b/>
      <sz val="8"/>
      <color rgb="FFFF0000"/>
      <name val="Arial"/>
      <family val="2"/>
    </font>
    <font>
      <sz val="8"/>
      <color rgb="FFFF0000"/>
      <name val="Arial"/>
      <family val="2"/>
    </font>
    <font>
      <sz val="10"/>
      <color theme="3" tint="0.39997558519241921"/>
      <name val="Arial"/>
      <family val="2"/>
    </font>
    <font>
      <b/>
      <sz val="9"/>
      <color rgb="FFFF0000"/>
      <name val="Arial"/>
      <family val="2"/>
    </font>
    <font>
      <sz val="9"/>
      <color theme="1"/>
      <name val="Arial"/>
      <family val="2"/>
    </font>
    <font>
      <sz val="8"/>
      <color theme="1"/>
      <name val="Calibri"/>
      <family val="2"/>
      <scheme val="minor"/>
    </font>
    <font>
      <b/>
      <sz val="9"/>
      <name val="Arial"/>
      <family val="2"/>
    </font>
    <font>
      <sz val="10"/>
      <color rgb="FFFF0000"/>
      <name val="Arial"/>
      <family val="2"/>
    </font>
    <font>
      <sz val="10"/>
      <name val="Arial"/>
      <family val="2"/>
    </font>
    <font>
      <b/>
      <sz val="16"/>
      <name val="Arial"/>
      <family val="2"/>
    </font>
    <font>
      <b/>
      <sz val="12"/>
      <name val="Arial"/>
      <family val="2"/>
    </font>
    <font>
      <b/>
      <sz val="10"/>
      <name val="Arial"/>
      <family val="2"/>
    </font>
    <font>
      <b/>
      <sz val="10"/>
      <color indexed="12"/>
      <name val="Arial"/>
      <family val="2"/>
    </font>
    <font>
      <b/>
      <sz val="10"/>
      <color indexed="10"/>
      <name val="Arial"/>
      <family val="2"/>
    </font>
    <font>
      <sz val="9"/>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1"/>
      <color rgb="FFFF0000"/>
      <name val="Arial"/>
      <family val="2"/>
    </font>
    <font>
      <b/>
      <sz val="12"/>
      <color rgb="FFFF0000"/>
      <name val="Arial"/>
      <family val="2"/>
    </font>
    <font>
      <b/>
      <sz val="10"/>
      <color rgb="FFFF0000"/>
      <name val="Arial"/>
      <family val="2"/>
    </font>
    <font>
      <sz val="11"/>
      <name val="Arial"/>
      <family val="2"/>
    </font>
    <font>
      <sz val="10"/>
      <color rgb="FF000000"/>
      <name val="Arial"/>
      <family val="1"/>
    </font>
    <font>
      <sz val="8"/>
      <name val="Arial"/>
      <family val="2"/>
    </font>
    <font>
      <b/>
      <sz val="8"/>
      <name val="Arial"/>
      <family val="2"/>
    </font>
    <font>
      <sz val="8"/>
      <name val="Calibri"/>
      <family val="2"/>
      <scheme val="minor"/>
    </font>
    <font>
      <sz val="10"/>
      <name val="MS Sans Serif"/>
      <family val="2"/>
    </font>
    <font>
      <sz val="11"/>
      <color theme="1"/>
      <name val="Calibri"/>
      <family val="2"/>
      <scheme val="minor"/>
    </font>
  </fonts>
  <fills count="15">
    <fill>
      <patternFill patternType="none"/>
    </fill>
    <fill>
      <patternFill patternType="gray125"/>
    </fill>
    <fill>
      <patternFill patternType="solid">
        <fgColor theme="0"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
      <patternFill patternType="solid">
        <fgColor rgb="FFD8ECF6"/>
      </patternFill>
    </fill>
    <fill>
      <patternFill patternType="solid">
        <fgColor theme="0"/>
        <bgColor indexed="64"/>
      </patternFill>
    </fill>
    <fill>
      <patternFill patternType="solid">
        <fgColor theme="0" tint="-0.499984740745262"/>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CCCCCC"/>
      </left>
      <right/>
      <top/>
      <bottom/>
      <diagonal/>
    </border>
    <border>
      <left style="thin">
        <color auto="1"/>
      </left>
      <right style="thin">
        <color auto="1"/>
      </right>
      <top style="thin">
        <color indexed="64"/>
      </top>
      <bottom/>
      <diagonal/>
    </border>
  </borders>
  <cellStyleXfs count="10">
    <xf numFmtId="0" fontId="0"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9" fontId="33" fillId="12" borderId="33" applyFill="0" applyBorder="0">
      <alignment horizontal="right" vertical="top" wrapText="1"/>
    </xf>
    <xf numFmtId="43" fontId="18" fillId="0" borderId="0" applyFont="0" applyFill="0" applyBorder="0" applyAlignment="0" applyProtection="0"/>
    <xf numFmtId="0" fontId="37" fillId="0" borderId="0"/>
    <xf numFmtId="43" fontId="18" fillId="0" borderId="0" applyFont="0" applyFill="0" applyBorder="0" applyAlignment="0" applyProtection="0"/>
    <xf numFmtId="43" fontId="18" fillId="0" borderId="0" applyFont="0" applyFill="0" applyBorder="0" applyAlignment="0" applyProtection="0"/>
    <xf numFmtId="9" fontId="38" fillId="0" borderId="0" applyFont="0" applyFill="0" applyBorder="0" applyAlignment="0" applyProtection="0"/>
  </cellStyleXfs>
  <cellXfs count="405">
    <xf numFmtId="0" fontId="0" fillId="0" borderId="0" xfId="0"/>
    <xf numFmtId="0" fontId="4" fillId="0" borderId="0" xfId="0" applyFont="1"/>
    <xf numFmtId="0" fontId="5" fillId="0" borderId="0" xfId="0" applyFont="1"/>
    <xf numFmtId="0" fontId="5" fillId="0" borderId="0" xfId="0" applyFont="1" applyAlignment="1">
      <alignment horizontal="left" vertical="center"/>
    </xf>
    <xf numFmtId="0" fontId="3" fillId="0" borderId="0" xfId="0" applyFont="1" applyAlignment="1">
      <alignment horizontal="center" vertical="center"/>
    </xf>
    <xf numFmtId="0" fontId="3" fillId="0" borderId="0" xfId="0" applyFont="1"/>
    <xf numFmtId="0" fontId="4" fillId="0" borderId="10" xfId="0" applyFont="1" applyBorder="1"/>
    <xf numFmtId="0" fontId="5" fillId="0" borderId="14" xfId="0" applyFont="1" applyBorder="1" applyAlignment="1">
      <alignment horizontal="left" vertical="center"/>
    </xf>
    <xf numFmtId="0" fontId="4" fillId="0" borderId="14" xfId="0" applyFont="1" applyBorder="1"/>
    <xf numFmtId="0" fontId="3" fillId="0" borderId="10" xfId="0" applyFont="1" applyBorder="1"/>
    <xf numFmtId="0" fontId="3" fillId="0" borderId="14" xfId="0" applyFont="1" applyBorder="1"/>
    <xf numFmtId="0" fontId="8" fillId="0" borderId="0" xfId="0" applyFont="1" applyAlignment="1">
      <alignment horizontal="center" vertical="center"/>
    </xf>
    <xf numFmtId="0" fontId="9" fillId="0" borderId="0" xfId="0" applyFont="1" applyAlignment="1">
      <alignment horizontal="center"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0" borderId="1" xfId="0" applyFont="1" applyBorder="1" applyAlignment="1">
      <alignment horizontal="center" vertical="center"/>
    </xf>
    <xf numFmtId="165" fontId="8" fillId="0" borderId="2" xfId="0" applyNumberFormat="1" applyFont="1" applyBorder="1" applyAlignment="1">
      <alignment horizontal="center" vertical="center"/>
    </xf>
    <xf numFmtId="3" fontId="9"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wrapText="1"/>
    </xf>
    <xf numFmtId="4" fontId="9" fillId="0" borderId="1" xfId="0" applyNumberFormat="1" applyFont="1" applyBorder="1" applyAlignment="1">
      <alignment horizontal="center" vertical="center"/>
    </xf>
    <xf numFmtId="4" fontId="9" fillId="6" borderId="9" xfId="0" applyNumberFormat="1" applyFont="1" applyFill="1" applyBorder="1" applyAlignment="1">
      <alignment horizontal="center" vertical="center"/>
    </xf>
    <xf numFmtId="4" fontId="9" fillId="6" borderId="3" xfId="0" applyNumberFormat="1" applyFont="1" applyFill="1" applyBorder="1" applyAlignment="1">
      <alignment horizontal="center" vertical="center"/>
    </xf>
    <xf numFmtId="4" fontId="9" fillId="5" borderId="2" xfId="0" applyNumberFormat="1" applyFont="1" applyFill="1" applyBorder="1" applyAlignment="1">
      <alignment horizontal="center" vertical="center"/>
    </xf>
    <xf numFmtId="4" fontId="9" fillId="5" borderId="9" xfId="0" applyNumberFormat="1" applyFont="1" applyFill="1" applyBorder="1" applyAlignment="1">
      <alignment horizontal="center" vertical="center"/>
    </xf>
    <xf numFmtId="4" fontId="9" fillId="5" borderId="3" xfId="0" applyNumberFormat="1" applyFont="1" applyFill="1" applyBorder="1" applyAlignment="1">
      <alignment horizontal="center" vertical="center"/>
    </xf>
    <xf numFmtId="3" fontId="8" fillId="0" borderId="1" xfId="0" applyNumberFormat="1" applyFont="1" applyBorder="1" applyAlignment="1">
      <alignment horizontal="center" vertical="center"/>
    </xf>
    <xf numFmtId="4" fontId="8" fillId="4" borderId="1" xfId="0" applyNumberFormat="1" applyFont="1" applyFill="1" applyBorder="1" applyAlignment="1">
      <alignment horizontal="center" vertical="center"/>
    </xf>
    <xf numFmtId="4" fontId="8" fillId="0" borderId="1" xfId="0" applyNumberFormat="1" applyFont="1" applyBorder="1" applyAlignment="1">
      <alignment horizontal="center" vertical="center"/>
    </xf>
    <xf numFmtId="4" fontId="8" fillId="6" borderId="1" xfId="0" applyNumberFormat="1" applyFont="1" applyFill="1" applyBorder="1" applyAlignment="1">
      <alignment horizontal="center" vertical="center"/>
    </xf>
    <xf numFmtId="0" fontId="6" fillId="0" borderId="0" xfId="0" applyFont="1" applyAlignment="1">
      <alignment vertical="center"/>
    </xf>
    <xf numFmtId="3" fontId="8" fillId="7" borderId="1" xfId="0" applyNumberFormat="1" applyFont="1" applyFill="1" applyBorder="1" applyAlignment="1">
      <alignment horizontal="center" vertical="center"/>
    </xf>
    <xf numFmtId="3" fontId="9" fillId="0" borderId="1" xfId="0" applyNumberFormat="1" applyFont="1" applyBorder="1" applyAlignment="1">
      <alignment horizontal="center" vertical="center"/>
    </xf>
    <xf numFmtId="0" fontId="9" fillId="2" borderId="0" xfId="0" applyFont="1" applyFill="1" applyAlignment="1">
      <alignment horizontal="center" vertical="center" wrapText="1"/>
    </xf>
    <xf numFmtId="3" fontId="9" fillId="2" borderId="0" xfId="0" applyNumberFormat="1" applyFont="1" applyFill="1" applyAlignment="1">
      <alignment horizontal="center" vertical="center" wrapText="1"/>
    </xf>
    <xf numFmtId="0" fontId="9" fillId="2" borderId="0" xfId="0" applyFont="1" applyFill="1" applyAlignment="1">
      <alignment horizontal="center" vertical="center"/>
    </xf>
    <xf numFmtId="0" fontId="3" fillId="0" borderId="10" xfId="0" applyFont="1" applyBorder="1" applyAlignment="1">
      <alignment horizontal="left" vertical="center" wrapText="1"/>
    </xf>
    <xf numFmtId="0" fontId="3" fillId="0" borderId="10" xfId="0" applyFont="1" applyBorder="1" applyAlignment="1">
      <alignment horizontal="center" vertical="center"/>
    </xf>
    <xf numFmtId="4" fontId="8" fillId="7" borderId="1" xfId="0" applyNumberFormat="1" applyFont="1" applyFill="1" applyBorder="1" applyAlignment="1">
      <alignment horizontal="center" vertical="center"/>
    </xf>
    <xf numFmtId="4" fontId="9" fillId="5" borderId="1" xfId="0" applyNumberFormat="1" applyFont="1" applyFill="1" applyBorder="1" applyAlignment="1">
      <alignment horizontal="center" vertical="center"/>
    </xf>
    <xf numFmtId="3" fontId="12" fillId="0" borderId="0" xfId="0" applyNumberFormat="1" applyFont="1" applyAlignment="1">
      <alignment horizontal="center" vertical="center"/>
    </xf>
    <xf numFmtId="0" fontId="3" fillId="0" borderId="12" xfId="0" applyFont="1" applyBorder="1" applyAlignment="1">
      <alignment horizontal="center" vertical="center"/>
    </xf>
    <xf numFmtId="0" fontId="3" fillId="0" borderId="5"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8" fillId="0" borderId="6" xfId="0" applyFont="1" applyBorder="1" applyAlignment="1">
      <alignment horizontal="right" vertical="center"/>
    </xf>
    <xf numFmtId="4" fontId="8" fillId="0" borderId="8" xfId="0" applyNumberFormat="1" applyFont="1" applyBorder="1" applyAlignment="1">
      <alignment horizontal="center" vertical="center"/>
    </xf>
    <xf numFmtId="164" fontId="8" fillId="0" borderId="8" xfId="0" applyNumberFormat="1" applyFont="1" applyBorder="1" applyAlignment="1">
      <alignment horizontal="center" vertical="center"/>
    </xf>
    <xf numFmtId="3" fontId="8" fillId="0" borderId="8" xfId="0" applyNumberFormat="1" applyFont="1" applyBorder="1" applyAlignment="1">
      <alignment horizontal="center" vertical="center"/>
    </xf>
    <xf numFmtId="0" fontId="5" fillId="0" borderId="10" xfId="0" applyFont="1" applyBorder="1" applyAlignment="1">
      <alignment horizontal="left" vertical="center"/>
    </xf>
    <xf numFmtId="0" fontId="8" fillId="0" borderId="7" xfId="0" applyFont="1" applyBorder="1" applyAlignment="1">
      <alignment horizontal="right" vertical="center"/>
    </xf>
    <xf numFmtId="3" fontId="9" fillId="2" borderId="1" xfId="0" applyNumberFormat="1" applyFont="1" applyFill="1" applyBorder="1" applyAlignment="1">
      <alignment horizontal="center" vertical="center"/>
    </xf>
    <xf numFmtId="4" fontId="9"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9" fillId="0" borderId="1" xfId="0" applyFont="1" applyBorder="1" applyAlignment="1">
      <alignment horizontal="center" vertical="center"/>
    </xf>
    <xf numFmtId="0" fontId="7" fillId="2" borderId="1" xfId="0" applyFont="1" applyFill="1" applyBorder="1" applyAlignment="1">
      <alignment horizontal="center" vertical="center" wrapText="1"/>
    </xf>
    <xf numFmtId="0" fontId="7" fillId="3" borderId="11" xfId="0" applyFont="1" applyFill="1" applyBorder="1" applyAlignment="1">
      <alignment horizontal="center" vertical="center"/>
    </xf>
    <xf numFmtId="4" fontId="7" fillId="3" borderId="10" xfId="0" applyNumberFormat="1" applyFont="1" applyFill="1" applyBorder="1" applyAlignment="1">
      <alignment horizontal="center" vertical="center"/>
    </xf>
    <xf numFmtId="0" fontId="7" fillId="3" borderId="10" xfId="0" applyFont="1" applyFill="1" applyBorder="1" applyAlignment="1">
      <alignment horizontal="left" vertical="center"/>
    </xf>
    <xf numFmtId="0" fontId="7" fillId="3" borderId="10" xfId="0" applyFont="1" applyFill="1" applyBorder="1" applyAlignment="1">
      <alignment horizontal="center" vertical="center"/>
    </xf>
    <xf numFmtId="0" fontId="7" fillId="3" borderId="12" xfId="0" applyFont="1" applyFill="1" applyBorder="1" applyAlignment="1">
      <alignment horizontal="center" vertical="center"/>
    </xf>
    <xf numFmtId="0" fontId="14" fillId="0" borderId="0" xfId="0" applyFont="1"/>
    <xf numFmtId="0" fontId="8" fillId="0" borderId="2" xfId="0" applyFont="1" applyBorder="1" applyAlignment="1">
      <alignment horizontal="left" vertical="center"/>
    </xf>
    <xf numFmtId="4" fontId="8" fillId="0" borderId="2" xfId="0" applyNumberFormat="1" applyFont="1" applyBorder="1" applyAlignment="1">
      <alignment horizontal="right" vertical="center"/>
    </xf>
    <xf numFmtId="0" fontId="8" fillId="0" borderId="9" xfId="0" applyFont="1" applyBorder="1" applyAlignment="1">
      <alignment horizontal="center" vertical="center" wrapText="1"/>
    </xf>
    <xf numFmtId="4" fontId="8" fillId="0" borderId="9" xfId="0" applyNumberFormat="1" applyFont="1" applyBorder="1" applyAlignment="1">
      <alignment horizontal="center" vertical="center"/>
    </xf>
    <xf numFmtId="0" fontId="8" fillId="0" borderId="9" xfId="0" applyFont="1" applyBorder="1" applyAlignment="1">
      <alignment horizontal="left" vertical="center" wrapText="1"/>
    </xf>
    <xf numFmtId="0" fontId="8" fillId="0" borderId="9" xfId="0" applyFont="1" applyBorder="1" applyAlignment="1">
      <alignment horizontal="center" vertical="center"/>
    </xf>
    <xf numFmtId="4" fontId="8" fillId="0" borderId="9" xfId="0" applyNumberFormat="1" applyFont="1" applyBorder="1" applyAlignment="1">
      <alignment horizontal="right" vertical="center"/>
    </xf>
    <xf numFmtId="10" fontId="8" fillId="0" borderId="9" xfId="0" applyNumberFormat="1" applyFont="1" applyBorder="1" applyAlignment="1">
      <alignment horizontal="center" vertical="center"/>
    </xf>
    <xf numFmtId="0" fontId="8" fillId="5" borderId="9" xfId="0" applyFont="1" applyFill="1" applyBorder="1" applyAlignment="1">
      <alignment horizontal="center" vertical="center" wrapText="1"/>
    </xf>
    <xf numFmtId="0" fontId="8" fillId="0" borderId="9" xfId="0" quotePrefix="1" applyFont="1" applyBorder="1" applyAlignment="1">
      <alignment horizontal="center" vertical="center"/>
    </xf>
    <xf numFmtId="0" fontId="8" fillId="0" borderId="9" xfId="0" applyFont="1" applyBorder="1" applyAlignment="1">
      <alignment horizontal="left" vertical="center"/>
    </xf>
    <xf numFmtId="0" fontId="8" fillId="0" borderId="3" xfId="0" applyFont="1" applyBorder="1" applyAlignment="1">
      <alignment horizontal="center" vertical="center" wrapText="1"/>
    </xf>
    <xf numFmtId="0" fontId="8" fillId="0" borderId="3" xfId="0" applyFont="1" applyBorder="1" applyAlignment="1">
      <alignment horizontal="left" vertical="center" wrapText="1"/>
    </xf>
    <xf numFmtId="4" fontId="8" fillId="0" borderId="3" xfId="0" applyNumberFormat="1" applyFont="1" applyBorder="1" applyAlignment="1">
      <alignment horizontal="center" vertical="center"/>
    </xf>
    <xf numFmtId="0" fontId="8" fillId="0" borderId="3" xfId="0" quotePrefix="1" applyFont="1" applyBorder="1" applyAlignment="1">
      <alignment horizontal="center" vertical="center"/>
    </xf>
    <xf numFmtId="4" fontId="8" fillId="0" borderId="3" xfId="0" applyNumberFormat="1" applyFont="1" applyBorder="1" applyAlignment="1">
      <alignment horizontal="right" vertical="center"/>
    </xf>
    <xf numFmtId="0" fontId="8" fillId="0" borderId="1" xfId="0" applyFont="1" applyBorder="1" applyAlignment="1">
      <alignment horizontal="left" vertical="center"/>
    </xf>
    <xf numFmtId="0" fontId="8" fillId="0" borderId="1" xfId="0" quotePrefix="1" applyFont="1" applyBorder="1" applyAlignment="1">
      <alignment horizontal="center" vertical="center"/>
    </xf>
    <xf numFmtId="10" fontId="8" fillId="0" borderId="1" xfId="0" applyNumberFormat="1" applyFont="1" applyBorder="1" applyAlignment="1">
      <alignment horizontal="center" vertical="center"/>
    </xf>
    <xf numFmtId="0" fontId="7" fillId="0" borderId="10" xfId="0" applyFont="1" applyBorder="1" applyAlignment="1">
      <alignment horizontal="left" vertical="center"/>
    </xf>
    <xf numFmtId="0" fontId="7" fillId="0" borderId="0" xfId="0" applyFont="1" applyAlignment="1">
      <alignment horizontal="left" vertical="center"/>
    </xf>
    <xf numFmtId="0" fontId="4" fillId="0" borderId="4" xfId="0" applyFont="1" applyBorder="1" applyAlignment="1">
      <alignment horizontal="center"/>
    </xf>
    <xf numFmtId="0" fontId="7" fillId="0" borderId="13" xfId="0" applyFont="1" applyBorder="1" applyAlignment="1">
      <alignment horizontal="center" vertical="center"/>
    </xf>
    <xf numFmtId="0" fontId="7" fillId="0" borderId="14" xfId="0" applyFont="1" applyBorder="1" applyAlignment="1">
      <alignment horizontal="left" vertical="center"/>
    </xf>
    <xf numFmtId="0" fontId="8" fillId="5" borderId="1" xfId="0" applyFont="1" applyFill="1" applyBorder="1" applyAlignment="1">
      <alignment horizontal="center" vertical="center"/>
    </xf>
    <xf numFmtId="0" fontId="7" fillId="0" borderId="7" xfId="0" applyFont="1" applyBorder="1"/>
    <xf numFmtId="4" fontId="7" fillId="0" borderId="1" xfId="0" applyNumberFormat="1" applyFont="1" applyBorder="1" applyAlignment="1">
      <alignment horizontal="right" vertical="center" wrapText="1"/>
    </xf>
    <xf numFmtId="10" fontId="7" fillId="0" borderId="1" xfId="0" applyNumberFormat="1" applyFont="1" applyBorder="1" applyAlignment="1">
      <alignment horizontal="center" vertical="center"/>
    </xf>
    <xf numFmtId="0" fontId="7" fillId="3" borderId="6" xfId="0" applyFont="1" applyFill="1" applyBorder="1" applyAlignment="1">
      <alignment horizontal="center" vertical="center"/>
    </xf>
    <xf numFmtId="4" fontId="7" fillId="3" borderId="7" xfId="0" applyNumberFormat="1" applyFont="1" applyFill="1" applyBorder="1" applyAlignment="1">
      <alignment horizontal="center" vertical="center"/>
    </xf>
    <xf numFmtId="0" fontId="7" fillId="3" borderId="7" xfId="0" applyFont="1" applyFill="1" applyBorder="1" applyAlignment="1">
      <alignment horizontal="left"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8" fillId="0" borderId="2" xfId="0" applyFont="1" applyBorder="1" applyAlignment="1">
      <alignment horizontal="center" vertical="center"/>
    </xf>
    <xf numFmtId="4" fontId="8" fillId="0" borderId="2" xfId="0" applyNumberFormat="1" applyFont="1" applyBorder="1" applyAlignment="1">
      <alignment horizontal="center" vertical="center"/>
    </xf>
    <xf numFmtId="10" fontId="8" fillId="0" borderId="2" xfId="0" applyNumberFormat="1" applyFont="1" applyBorder="1" applyAlignment="1">
      <alignment horizontal="center" vertical="center"/>
    </xf>
    <xf numFmtId="0" fontId="9" fillId="0" borderId="9" xfId="0" applyFont="1" applyBorder="1" applyAlignment="1">
      <alignment horizontal="left" vertical="center"/>
    </xf>
    <xf numFmtId="0" fontId="8" fillId="5" borderId="9" xfId="0" applyFont="1" applyFill="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left" vertical="center"/>
    </xf>
    <xf numFmtId="10" fontId="8" fillId="0" borderId="3" xfId="0" applyNumberFormat="1" applyFont="1" applyBorder="1" applyAlignment="1">
      <alignment horizontal="center"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4" fontId="7" fillId="0" borderId="1" xfId="0" applyNumberFormat="1" applyFont="1" applyBorder="1" applyAlignment="1">
      <alignment horizontal="center" vertical="center"/>
    </xf>
    <xf numFmtId="0" fontId="8" fillId="0" borderId="2" xfId="0" applyFont="1" applyBorder="1" applyAlignment="1">
      <alignment horizontal="left" vertical="center" wrapText="1"/>
    </xf>
    <xf numFmtId="10" fontId="9" fillId="0" borderId="1" xfId="0" applyNumberFormat="1" applyFont="1" applyBorder="1" applyAlignment="1">
      <alignment horizontal="center" vertical="center"/>
    </xf>
    <xf numFmtId="4" fontId="8" fillId="0" borderId="0" xfId="0" applyNumberFormat="1" applyFont="1" applyAlignment="1">
      <alignment horizontal="center" vertical="center"/>
    </xf>
    <xf numFmtId="2" fontId="8" fillId="0" borderId="0" xfId="0" applyNumberFormat="1" applyFont="1" applyAlignment="1">
      <alignment horizontal="center" vertical="center"/>
    </xf>
    <xf numFmtId="0" fontId="8" fillId="0" borderId="2" xfId="0" applyFont="1" applyBorder="1" applyAlignment="1">
      <alignment horizontal="center" vertical="center" wrapText="1"/>
    </xf>
    <xf numFmtId="0" fontId="15" fillId="0" borderId="0" xfId="0" applyFont="1"/>
    <xf numFmtId="0" fontId="8" fillId="0" borderId="2" xfId="0" quotePrefix="1" applyFont="1" applyBorder="1" applyAlignment="1">
      <alignment horizontal="center" vertical="center"/>
    </xf>
    <xf numFmtId="164" fontId="8" fillId="0" borderId="2" xfId="0" applyNumberFormat="1" applyFont="1" applyBorder="1" applyAlignment="1">
      <alignment horizontal="center" vertical="center"/>
    </xf>
    <xf numFmtId="166" fontId="8" fillId="0" borderId="2" xfId="0" applyNumberFormat="1" applyFont="1" applyBorder="1" applyAlignment="1">
      <alignment horizontal="center" vertical="center"/>
    </xf>
    <xf numFmtId="0" fontId="8" fillId="0" borderId="0" xfId="0" applyFont="1"/>
    <xf numFmtId="4" fontId="9" fillId="0" borderId="0" xfId="0" applyNumberFormat="1" applyFont="1" applyAlignment="1">
      <alignment horizontal="right" vertical="center" wrapText="1"/>
    </xf>
    <xf numFmtId="0" fontId="9" fillId="0" borderId="0" xfId="0" applyFont="1" applyAlignment="1">
      <alignment horizontal="left" vertical="center"/>
    </xf>
    <xf numFmtId="4" fontId="9" fillId="0" borderId="0" xfId="0" applyNumberFormat="1" applyFont="1" applyAlignment="1">
      <alignment horizontal="center" vertical="center"/>
    </xf>
    <xf numFmtId="10" fontId="9" fillId="0" borderId="0" xfId="0" applyNumberFormat="1" applyFont="1" applyAlignment="1">
      <alignment horizontal="center" vertical="center" wrapText="1"/>
    </xf>
    <xf numFmtId="10" fontId="13" fillId="0" borderId="15" xfId="0" applyNumberFormat="1" applyFont="1" applyBorder="1" applyAlignment="1">
      <alignment horizontal="center" vertical="center"/>
    </xf>
    <xf numFmtId="0" fontId="0" fillId="0" borderId="0" xfId="0" applyAlignment="1">
      <alignment horizontal="center" vertical="center"/>
    </xf>
    <xf numFmtId="3" fontId="8" fillId="0" borderId="2" xfId="0" applyNumberFormat="1" applyFont="1" applyBorder="1" applyAlignment="1">
      <alignment horizontal="center" vertical="center"/>
    </xf>
    <xf numFmtId="3" fontId="8" fillId="0" borderId="9" xfId="0" applyNumberFormat="1" applyFont="1" applyBorder="1" applyAlignment="1">
      <alignment horizontal="center" vertical="center"/>
    </xf>
    <xf numFmtId="164" fontId="8" fillId="0" borderId="9" xfId="0" applyNumberFormat="1" applyFont="1" applyBorder="1" applyAlignment="1">
      <alignment horizontal="center" vertical="center"/>
    </xf>
    <xf numFmtId="4" fontId="3" fillId="0" borderId="0" xfId="0" applyNumberFormat="1" applyFont="1" applyAlignment="1">
      <alignment horizontal="center" vertical="center"/>
    </xf>
    <xf numFmtId="164" fontId="8" fillId="7" borderId="1" xfId="0" applyNumberFormat="1" applyFont="1" applyFill="1" applyBorder="1" applyAlignment="1">
      <alignment horizontal="center" vertical="center"/>
    </xf>
    <xf numFmtId="165" fontId="8" fillId="7" borderId="1" xfId="0" applyNumberFormat="1" applyFont="1" applyFill="1" applyBorder="1" applyAlignment="1">
      <alignment horizontal="center" vertical="center"/>
    </xf>
    <xf numFmtId="164" fontId="8" fillId="3" borderId="2" xfId="0" applyNumberFormat="1" applyFont="1" applyFill="1" applyBorder="1" applyAlignment="1">
      <alignment horizontal="center" vertical="center"/>
    </xf>
    <xf numFmtId="164" fontId="8" fillId="3" borderId="9" xfId="0" applyNumberFormat="1" applyFont="1" applyFill="1" applyBorder="1" applyAlignment="1">
      <alignment horizontal="center" vertical="center"/>
    </xf>
    <xf numFmtId="0" fontId="2" fillId="0" borderId="0" xfId="0" applyFont="1" applyAlignment="1">
      <alignment horizontal="center" vertical="center"/>
    </xf>
    <xf numFmtId="165" fontId="8" fillId="0" borderId="9" xfId="0" applyNumberFormat="1" applyFont="1" applyBorder="1" applyAlignment="1">
      <alignment horizontal="center" vertical="center"/>
    </xf>
    <xf numFmtId="10" fontId="9" fillId="0" borderId="0" xfId="0" applyNumberFormat="1" applyFont="1" applyAlignment="1">
      <alignment horizontal="center" vertical="center"/>
    </xf>
    <xf numFmtId="4" fontId="4" fillId="0" borderId="0" xfId="0" applyNumberFormat="1" applyFont="1"/>
    <xf numFmtId="0" fontId="18" fillId="0" borderId="0" xfId="1"/>
    <xf numFmtId="0" fontId="18" fillId="0" borderId="18" xfId="1" applyBorder="1"/>
    <xf numFmtId="0" fontId="18" fillId="0" borderId="20" xfId="1" applyBorder="1"/>
    <xf numFmtId="0" fontId="18" fillId="0" borderId="21" xfId="1" applyBorder="1"/>
    <xf numFmtId="0" fontId="20" fillId="0" borderId="0" xfId="1" applyFont="1" applyAlignment="1">
      <alignment horizontal="center" vertical="center"/>
    </xf>
    <xf numFmtId="0" fontId="18" fillId="0" borderId="22" xfId="1" applyBorder="1"/>
    <xf numFmtId="0" fontId="18" fillId="0" borderId="23" xfId="1" applyBorder="1"/>
    <xf numFmtId="0" fontId="20" fillId="0" borderId="24" xfId="1" applyFont="1" applyBorder="1" applyAlignment="1">
      <alignment horizontal="center" vertical="center"/>
    </xf>
    <xf numFmtId="0" fontId="18" fillId="0" borderId="25" xfId="1" applyBorder="1"/>
    <xf numFmtId="0" fontId="21" fillId="0" borderId="0" xfId="1" applyFont="1" applyAlignment="1">
      <alignment vertical="center"/>
    </xf>
    <xf numFmtId="0" fontId="16" fillId="0" borderId="0" xfId="1" applyFont="1" applyAlignment="1">
      <alignment vertical="center"/>
    </xf>
    <xf numFmtId="0" fontId="21" fillId="9" borderId="1" xfId="1" applyFont="1" applyFill="1" applyBorder="1" applyAlignment="1" applyProtection="1">
      <alignment horizontal="center"/>
      <protection locked="0"/>
    </xf>
    <xf numFmtId="0" fontId="23" fillId="0" borderId="0" xfId="1" applyFont="1"/>
    <xf numFmtId="0" fontId="24" fillId="0" borderId="0" xfId="1" applyFont="1" applyAlignment="1">
      <alignment vertical="center"/>
    </xf>
    <xf numFmtId="0" fontId="18" fillId="0" borderId="0" xfId="1" applyAlignment="1">
      <alignment vertical="center"/>
    </xf>
    <xf numFmtId="0" fontId="18" fillId="0" borderId="0" xfId="1" applyAlignment="1">
      <alignment horizontal="center" vertical="center"/>
    </xf>
    <xf numFmtId="0" fontId="21" fillId="0" borderId="0" xfId="1" applyFont="1" applyAlignment="1">
      <alignment horizontal="center" vertical="center"/>
    </xf>
    <xf numFmtId="10" fontId="21" fillId="0" borderId="0" xfId="1" applyNumberFormat="1" applyFont="1" applyAlignment="1">
      <alignment horizontal="center" vertical="center"/>
    </xf>
    <xf numFmtId="10" fontId="22" fillId="9" borderId="1" xfId="3" applyNumberFormat="1" applyFont="1" applyFill="1" applyBorder="1" applyAlignment="1" applyProtection="1">
      <alignment horizontal="center" vertical="center" wrapText="1"/>
      <protection locked="0"/>
    </xf>
    <xf numFmtId="0" fontId="21" fillId="0" borderId="0" xfId="1" quotePrefix="1" applyFont="1" applyAlignment="1">
      <alignment vertical="center"/>
    </xf>
    <xf numFmtId="10" fontId="22" fillId="0" borderId="0" xfId="3" applyNumberFormat="1" applyFont="1" applyFill="1" applyBorder="1" applyAlignment="1" applyProtection="1">
      <alignment vertical="center" wrapText="1"/>
    </xf>
    <xf numFmtId="10" fontId="21" fillId="0" borderId="0" xfId="3" applyNumberFormat="1" applyFont="1" applyFill="1" applyBorder="1" applyAlignment="1" applyProtection="1">
      <alignment vertical="center" wrapText="1"/>
    </xf>
    <xf numFmtId="168" fontId="25" fillId="0" borderId="0" xfId="1" applyNumberFormat="1" applyFont="1"/>
    <xf numFmtId="0" fontId="18" fillId="0" borderId="29" xfId="1" applyBorder="1"/>
    <xf numFmtId="0" fontId="18" fillId="0" borderId="30" xfId="1" applyBorder="1"/>
    <xf numFmtId="0" fontId="18" fillId="0" borderId="24" xfId="1" applyBorder="1"/>
    <xf numFmtId="0" fontId="26" fillId="0" borderId="0" xfId="1" applyFont="1" applyAlignment="1">
      <alignment horizontal="center" vertical="center" wrapText="1"/>
    </xf>
    <xf numFmtId="0" fontId="21" fillId="0" borderId="0" xfId="1" applyFont="1" applyAlignment="1">
      <alignment horizontal="center" vertical="center" wrapText="1"/>
    </xf>
    <xf numFmtId="0" fontId="18" fillId="0" borderId="0" xfId="1" applyAlignment="1">
      <alignment horizontal="center"/>
    </xf>
    <xf numFmtId="0" fontId="27" fillId="0" borderId="0" xfId="1" applyFont="1" applyAlignment="1">
      <alignment horizontal="left" vertical="center" wrapText="1"/>
    </xf>
    <xf numFmtId="10" fontId="27" fillId="0" borderId="0" xfId="3" applyNumberFormat="1" applyFont="1" applyBorder="1" applyAlignment="1" applyProtection="1">
      <alignment horizontal="center" vertical="center" wrapText="1"/>
    </xf>
    <xf numFmtId="10" fontId="23" fillId="9" borderId="0" xfId="3" applyNumberFormat="1" applyFont="1" applyFill="1" applyBorder="1" applyAlignment="1" applyProtection="1">
      <alignment horizontal="center" vertical="center" wrapText="1"/>
      <protection locked="0"/>
    </xf>
    <xf numFmtId="10" fontId="18" fillId="0" borderId="22" xfId="1" applyNumberFormat="1" applyBorder="1"/>
    <xf numFmtId="10" fontId="18" fillId="0" borderId="0" xfId="1" applyNumberFormat="1"/>
    <xf numFmtId="0" fontId="26" fillId="0" borderId="0" xfId="1" applyFont="1" applyAlignment="1">
      <alignment horizontal="left" vertical="center" wrapText="1"/>
    </xf>
    <xf numFmtId="168" fontId="21" fillId="0" borderId="0" xfId="3" applyNumberFormat="1" applyFont="1" applyFill="1" applyBorder="1" applyAlignment="1" applyProtection="1">
      <alignment horizontal="center" vertical="center" wrapText="1"/>
    </xf>
    <xf numFmtId="168" fontId="18" fillId="0" borderId="0" xfId="1" applyNumberFormat="1"/>
    <xf numFmtId="0" fontId="28" fillId="0" borderId="0" xfId="1" applyFont="1"/>
    <xf numFmtId="10" fontId="25" fillId="0" borderId="0" xfId="3" applyNumberFormat="1" applyFont="1" applyBorder="1" applyAlignment="1" applyProtection="1">
      <alignment horizontal="center"/>
    </xf>
    <xf numFmtId="0" fontId="31" fillId="0" borderId="0" xfId="1" applyFont="1" applyAlignment="1">
      <alignment horizontal="left" vertical="center" wrapText="1"/>
    </xf>
    <xf numFmtId="10" fontId="17" fillId="0" borderId="0" xfId="3" applyNumberFormat="1" applyFont="1" applyBorder="1" applyAlignment="1" applyProtection="1">
      <alignment horizontal="center" vertical="center" wrapText="1"/>
    </xf>
    <xf numFmtId="0" fontId="17" fillId="0" borderId="0" xfId="1" applyFont="1"/>
    <xf numFmtId="0" fontId="31" fillId="0" borderId="0" xfId="1" applyFont="1"/>
    <xf numFmtId="10" fontId="31" fillId="0" borderId="0" xfId="1" applyNumberFormat="1" applyFont="1" applyAlignment="1">
      <alignment horizontal="center" vertical="center"/>
    </xf>
    <xf numFmtId="168" fontId="30" fillId="0" borderId="0" xfId="1" applyNumberFormat="1" applyFont="1"/>
    <xf numFmtId="10" fontId="0" fillId="0" borderId="0" xfId="3" applyNumberFormat="1" applyFont="1" applyAlignment="1" applyProtection="1">
      <alignment horizontal="center"/>
    </xf>
    <xf numFmtId="169" fontId="18" fillId="0" borderId="0" xfId="1" applyNumberFormat="1" applyAlignment="1">
      <alignment horizontal="center"/>
    </xf>
    <xf numFmtId="0" fontId="21" fillId="0" borderId="0" xfId="1" applyFont="1" applyAlignment="1">
      <alignment horizontal="center"/>
    </xf>
    <xf numFmtId="10" fontId="0" fillId="0" borderId="0" xfId="3" applyNumberFormat="1" applyFont="1" applyProtection="1"/>
    <xf numFmtId="9" fontId="0" fillId="0" borderId="0" xfId="3" applyFont="1" applyProtection="1"/>
    <xf numFmtId="0" fontId="21" fillId="0" borderId="21" xfId="1" applyFont="1" applyBorder="1" applyAlignment="1">
      <alignment vertical="center"/>
    </xf>
    <xf numFmtId="0" fontId="18" fillId="0" borderId="0" xfId="1" applyAlignment="1">
      <alignment vertical="center" wrapText="1"/>
    </xf>
    <xf numFmtId="0" fontId="32" fillId="0" borderId="0" xfId="1" applyFont="1" applyAlignment="1">
      <alignment vertical="center" wrapText="1"/>
    </xf>
    <xf numFmtId="0" fontId="18" fillId="0" borderId="21" xfId="1" applyBorder="1" applyAlignment="1">
      <alignment vertical="center"/>
    </xf>
    <xf numFmtId="9" fontId="18" fillId="0" borderId="0" xfId="1" applyNumberFormat="1"/>
    <xf numFmtId="0" fontId="21" fillId="0" borderId="21" xfId="1" applyFont="1" applyBorder="1"/>
    <xf numFmtId="0" fontId="21" fillId="0" borderId="0" xfId="1" applyFont="1"/>
    <xf numFmtId="0" fontId="32" fillId="0" borderId="31" xfId="1" applyFont="1" applyBorder="1" applyAlignment="1">
      <alignment vertical="top" wrapText="1"/>
    </xf>
    <xf numFmtId="10" fontId="32" fillId="0" borderId="30" xfId="1" applyNumberFormat="1" applyFont="1" applyBorder="1" applyAlignment="1">
      <alignment horizontal="center" vertical="top" wrapText="1"/>
    </xf>
    <xf numFmtId="0" fontId="18" fillId="0" borderId="16" xfId="1" applyBorder="1"/>
    <xf numFmtId="0" fontId="32" fillId="0" borderId="17" xfId="1" applyFont="1" applyBorder="1" applyAlignment="1">
      <alignment vertical="top" wrapText="1"/>
    </xf>
    <xf numFmtId="10" fontId="32" fillId="0" borderId="32" xfId="1" applyNumberFormat="1" applyFont="1" applyBorder="1" applyAlignment="1">
      <alignment horizontal="center" vertical="top" wrapText="1"/>
    </xf>
    <xf numFmtId="0" fontId="18" fillId="0" borderId="21" xfId="1" applyBorder="1" applyAlignment="1">
      <alignment wrapText="1"/>
    </xf>
    <xf numFmtId="0" fontId="18" fillId="11" borderId="0" xfId="1" applyFill="1" applyAlignment="1">
      <alignment wrapText="1"/>
    </xf>
    <xf numFmtId="0" fontId="18" fillId="0" borderId="0" xfId="1" applyAlignment="1">
      <alignment wrapText="1"/>
    </xf>
    <xf numFmtId="0" fontId="18" fillId="0" borderId="22" xfId="1" applyBorder="1" applyAlignment="1">
      <alignment wrapText="1"/>
    </xf>
    <xf numFmtId="0" fontId="18" fillId="0" borderId="1" xfId="1" applyBorder="1"/>
    <xf numFmtId="0" fontId="18" fillId="0" borderId="1" xfId="1" applyBorder="1" applyAlignment="1">
      <alignment horizontal="center"/>
    </xf>
    <xf numFmtId="10" fontId="32" fillId="0" borderId="1" xfId="1" applyNumberFormat="1" applyFont="1" applyBorder="1" applyAlignment="1">
      <alignment horizontal="center" vertical="top" wrapText="1"/>
    </xf>
    <xf numFmtId="0" fontId="32" fillId="0" borderId="1" xfId="1" applyFont="1" applyBorder="1" applyAlignment="1">
      <alignment vertical="top" wrapText="1"/>
    </xf>
    <xf numFmtId="0" fontId="32" fillId="0" borderId="17" xfId="1" applyFont="1" applyBorder="1" applyAlignment="1">
      <alignment horizontal="center" vertical="top" wrapText="1"/>
    </xf>
    <xf numFmtId="0" fontId="32" fillId="0" borderId="32" xfId="1" applyFont="1" applyBorder="1" applyAlignment="1">
      <alignment horizontal="center" vertical="top" wrapText="1"/>
    </xf>
    <xf numFmtId="0" fontId="11" fillId="0" borderId="2" xfId="0" applyFont="1" applyBorder="1" applyAlignment="1">
      <alignment horizontal="center" vertical="center" wrapText="1"/>
    </xf>
    <xf numFmtId="0" fontId="11" fillId="0" borderId="2" xfId="0" applyFont="1" applyBorder="1" applyAlignment="1">
      <alignment horizontal="left" vertical="center" wrapText="1"/>
    </xf>
    <xf numFmtId="0" fontId="11" fillId="0" borderId="2" xfId="0" applyFont="1" applyBorder="1" applyAlignment="1">
      <alignment horizontal="center" vertical="center"/>
    </xf>
    <xf numFmtId="4" fontId="11" fillId="0" borderId="2" xfId="0" applyNumberFormat="1" applyFont="1" applyBorder="1" applyAlignment="1">
      <alignment horizontal="center" vertical="center"/>
    </xf>
    <xf numFmtId="0" fontId="17" fillId="0" borderId="0" xfId="0" applyFont="1" applyAlignment="1">
      <alignment horizontal="center" vertical="center"/>
    </xf>
    <xf numFmtId="0" fontId="4" fillId="0" borderId="0" xfId="0" applyFont="1" applyAlignment="1">
      <alignment horizontal="center" vertical="center"/>
    </xf>
    <xf numFmtId="170" fontId="8" fillId="0" borderId="9" xfId="0" applyNumberFormat="1" applyFont="1" applyBorder="1" applyAlignment="1">
      <alignment horizontal="center" vertical="center"/>
    </xf>
    <xf numFmtId="170" fontId="8" fillId="0" borderId="2" xfId="0" applyNumberFormat="1" applyFont="1" applyBorder="1" applyAlignment="1">
      <alignment horizontal="center" vertical="center"/>
    </xf>
    <xf numFmtId="4" fontId="8" fillId="13" borderId="9" xfId="0" applyNumberFormat="1" applyFont="1" applyFill="1" applyBorder="1" applyAlignment="1">
      <alignment horizontal="center" vertical="center"/>
    </xf>
    <xf numFmtId="0" fontId="10" fillId="0" borderId="0" xfId="0" applyFont="1" applyAlignment="1">
      <alignment horizontal="center" vertical="center"/>
    </xf>
    <xf numFmtId="0" fontId="9" fillId="0" borderId="1" xfId="0" applyFont="1" applyBorder="1" applyAlignment="1">
      <alignment horizontal="center" vertical="center" wrapText="1"/>
    </xf>
    <xf numFmtId="4" fontId="8" fillId="13" borderId="9" xfId="0" applyNumberFormat="1" applyFont="1" applyFill="1" applyBorder="1" applyAlignment="1">
      <alignment horizontal="right" vertical="center"/>
    </xf>
    <xf numFmtId="4" fontId="8" fillId="13" borderId="3" xfId="0" applyNumberFormat="1" applyFont="1" applyFill="1" applyBorder="1" applyAlignment="1">
      <alignment horizontal="right" vertical="center"/>
    </xf>
    <xf numFmtId="4" fontId="8" fillId="13" borderId="2" xfId="0" applyNumberFormat="1" applyFont="1" applyFill="1" applyBorder="1" applyAlignment="1">
      <alignment horizontal="center" vertical="center"/>
    </xf>
    <xf numFmtId="4" fontId="8" fillId="13" borderId="3" xfId="0" applyNumberFormat="1" applyFont="1" applyFill="1" applyBorder="1" applyAlignment="1">
      <alignment horizontal="center" vertical="center"/>
    </xf>
    <xf numFmtId="0" fontId="3" fillId="0" borderId="7" xfId="0" applyFont="1" applyBorder="1" applyAlignment="1">
      <alignment horizontal="center" vertical="center"/>
    </xf>
    <xf numFmtId="0" fontId="1" fillId="0" borderId="0" xfId="0" applyFont="1" applyAlignment="1">
      <alignment horizontal="center" vertical="center"/>
    </xf>
    <xf numFmtId="0" fontId="13" fillId="0" borderId="14" xfId="0" applyFont="1" applyBorder="1" applyAlignment="1">
      <alignment horizontal="right" vertical="center"/>
    </xf>
    <xf numFmtId="0" fontId="7" fillId="0" borderId="6" xfId="0" applyFont="1" applyBorder="1" applyAlignment="1">
      <alignment vertical="center"/>
    </xf>
    <xf numFmtId="4" fontId="7" fillId="0" borderId="8" xfId="0" applyNumberFormat="1" applyFont="1" applyBorder="1" applyAlignment="1">
      <alignment horizontal="right" vertical="center" wrapText="1"/>
    </xf>
    <xf numFmtId="4" fontId="9" fillId="0" borderId="8" xfId="0" applyNumberFormat="1"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xf numFmtId="165" fontId="8" fillId="0" borderId="1" xfId="0" applyNumberFormat="1" applyFont="1" applyBorder="1" applyAlignment="1">
      <alignment horizontal="center" vertical="center"/>
    </xf>
    <xf numFmtId="4" fontId="34" fillId="0" borderId="1" xfId="0" applyNumberFormat="1" applyFont="1" applyBorder="1" applyAlignment="1">
      <alignment horizontal="center" vertical="center"/>
    </xf>
    <xf numFmtId="164" fontId="34" fillId="7" borderId="1" xfId="0" applyNumberFormat="1" applyFont="1" applyFill="1" applyBorder="1" applyAlignment="1">
      <alignment horizontal="center" vertical="center"/>
    </xf>
    <xf numFmtId="165" fontId="34" fillId="7" borderId="1" xfId="0" applyNumberFormat="1" applyFont="1" applyFill="1" applyBorder="1" applyAlignment="1">
      <alignment horizontal="center" vertical="center"/>
    </xf>
    <xf numFmtId="0" fontId="18" fillId="0" borderId="0" xfId="0" applyFont="1" applyAlignment="1">
      <alignment horizontal="center" vertical="center"/>
    </xf>
    <xf numFmtId="0" fontId="17" fillId="0" borderId="10" xfId="0" applyFont="1" applyBorder="1" applyAlignment="1">
      <alignment horizontal="center" vertical="center"/>
    </xf>
    <xf numFmtId="0" fontId="17" fillId="0" borderId="14" xfId="0" applyFont="1" applyBorder="1" applyAlignment="1">
      <alignment horizontal="center" vertical="center"/>
    </xf>
    <xf numFmtId="3" fontId="35" fillId="2" borderId="1" xfId="0" applyNumberFormat="1" applyFont="1" applyFill="1" applyBorder="1" applyAlignment="1">
      <alignment horizontal="center" vertical="center" wrapText="1"/>
    </xf>
    <xf numFmtId="9" fontId="34" fillId="0" borderId="1" xfId="0" applyNumberFormat="1" applyFont="1" applyBorder="1" applyAlignment="1">
      <alignment horizontal="center" vertical="center"/>
    </xf>
    <xf numFmtId="165" fontId="34" fillId="0" borderId="1" xfId="0" applyNumberFormat="1" applyFont="1" applyBorder="1" applyAlignment="1">
      <alignment horizontal="center" vertical="center"/>
    </xf>
    <xf numFmtId="3" fontId="34" fillId="0" borderId="1" xfId="0" applyNumberFormat="1" applyFont="1" applyBorder="1" applyAlignment="1">
      <alignment horizontal="center" vertical="center"/>
    </xf>
    <xf numFmtId="0" fontId="18" fillId="0" borderId="10" xfId="0" applyFont="1" applyBorder="1" applyAlignment="1">
      <alignment horizontal="center" vertical="center"/>
    </xf>
    <xf numFmtId="0" fontId="18" fillId="0" borderId="14"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5"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3" fontId="1" fillId="0" borderId="2" xfId="0" applyNumberFormat="1" applyFont="1" applyBorder="1" applyAlignment="1">
      <alignment horizontal="center" vertical="center"/>
    </xf>
    <xf numFmtId="4" fontId="1" fillId="0" borderId="2" xfId="0" applyNumberFormat="1" applyFont="1" applyBorder="1" applyAlignment="1">
      <alignment horizontal="center" vertical="center"/>
    </xf>
    <xf numFmtId="3" fontId="1" fillId="0" borderId="9" xfId="0" applyNumberFormat="1" applyFont="1" applyBorder="1" applyAlignment="1">
      <alignment horizontal="center" vertical="center"/>
    </xf>
    <xf numFmtId="4" fontId="1" fillId="0" borderId="9" xfId="0" applyNumberFormat="1" applyFont="1" applyBorder="1" applyAlignment="1">
      <alignment horizontal="center" vertical="center"/>
    </xf>
    <xf numFmtId="3" fontId="8" fillId="0" borderId="3" xfId="0" applyNumberFormat="1" applyFont="1" applyBorder="1" applyAlignment="1">
      <alignment horizontal="center" vertical="center"/>
    </xf>
    <xf numFmtId="164" fontId="8" fillId="0" borderId="3" xfId="0" applyNumberFormat="1" applyFont="1" applyBorder="1" applyAlignment="1">
      <alignment horizontal="center" vertical="center"/>
    </xf>
    <xf numFmtId="164" fontId="8" fillId="3" borderId="3" xfId="0" applyNumberFormat="1" applyFont="1" applyFill="1" applyBorder="1" applyAlignment="1">
      <alignment horizontal="center" vertical="center"/>
    </xf>
    <xf numFmtId="4" fontId="1" fillId="0" borderId="0" xfId="0" applyNumberFormat="1" applyFont="1" applyAlignment="1">
      <alignment horizontal="center" vertical="center"/>
    </xf>
    <xf numFmtId="3" fontId="9" fillId="2" borderId="1" xfId="0" quotePrefix="1" applyNumberFormat="1" applyFont="1" applyFill="1" applyBorder="1" applyAlignment="1">
      <alignment horizontal="center" vertical="center" wrapText="1"/>
    </xf>
    <xf numFmtId="0" fontId="0" fillId="0" borderId="0" xfId="0" applyAlignment="1">
      <alignment wrapText="1"/>
    </xf>
    <xf numFmtId="0" fontId="34" fillId="0" borderId="2" xfId="0" applyFont="1" applyBorder="1" applyAlignment="1">
      <alignment horizontal="center" vertical="center" wrapText="1"/>
    </xf>
    <xf numFmtId="0" fontId="34" fillId="0" borderId="9" xfId="0" applyFont="1" applyBorder="1" applyAlignment="1">
      <alignment horizontal="center" vertical="center" wrapText="1"/>
    </xf>
    <xf numFmtId="0" fontId="34" fillId="5" borderId="9" xfId="0" applyFont="1" applyFill="1" applyBorder="1" applyAlignment="1">
      <alignment horizontal="center" vertical="center" wrapText="1"/>
    </xf>
    <xf numFmtId="171" fontId="4" fillId="0" borderId="0" xfId="0" applyNumberFormat="1" applyFont="1"/>
    <xf numFmtId="10" fontId="8" fillId="0" borderId="0" xfId="0" applyNumberFormat="1" applyFont="1" applyAlignment="1">
      <alignment horizontal="center" vertical="center"/>
    </xf>
    <xf numFmtId="10" fontId="8" fillId="0" borderId="34" xfId="9" applyNumberFormat="1" applyFont="1" applyBorder="1" applyAlignment="1">
      <alignment horizontal="center" vertical="center"/>
    </xf>
    <xf numFmtId="10" fontId="8" fillId="0" borderId="9" xfId="9" applyNumberFormat="1" applyFont="1" applyBorder="1" applyAlignment="1">
      <alignment horizontal="center" vertical="center"/>
    </xf>
    <xf numFmtId="0" fontId="3" fillId="0" borderId="4" xfId="0" applyFont="1" applyBorder="1" applyAlignment="1">
      <alignment horizontal="center" vertical="center"/>
    </xf>
    <xf numFmtId="4" fontId="8" fillId="0" borderId="34" xfId="0" applyNumberFormat="1" applyFont="1" applyBorder="1" applyAlignment="1">
      <alignment horizontal="center" vertical="center"/>
    </xf>
    <xf numFmtId="0" fontId="8" fillId="0" borderId="34" xfId="0" applyFont="1" applyBorder="1" applyAlignment="1">
      <alignment horizontal="left" vertical="center" wrapText="1"/>
    </xf>
    <xf numFmtId="10" fontId="8" fillId="0" borderId="34" xfId="0" applyNumberFormat="1" applyFont="1" applyBorder="1" applyAlignment="1">
      <alignment horizontal="center" vertical="center"/>
    </xf>
    <xf numFmtId="10" fontId="8" fillId="0" borderId="0" xfId="9" applyNumberFormat="1" applyFont="1" applyBorder="1" applyAlignment="1">
      <alignment horizontal="center" vertical="center"/>
    </xf>
    <xf numFmtId="10" fontId="8" fillId="0" borderId="5" xfId="9" applyNumberFormat="1" applyFont="1" applyBorder="1" applyAlignment="1">
      <alignment horizontal="center" vertical="center"/>
    </xf>
    <xf numFmtId="4" fontId="4" fillId="0" borderId="0" xfId="0" applyNumberFormat="1" applyFont="1" applyAlignment="1">
      <alignment horizontal="center" vertical="center"/>
    </xf>
    <xf numFmtId="10" fontId="3" fillId="0" borderId="12" xfId="0" applyNumberFormat="1" applyFont="1" applyBorder="1" applyAlignment="1">
      <alignment horizontal="center" vertical="center"/>
    </xf>
    <xf numFmtId="10" fontId="14" fillId="0" borderId="0" xfId="0" applyNumberFormat="1" applyFont="1"/>
    <xf numFmtId="0" fontId="9" fillId="0" borderId="1" xfId="0" applyFont="1" applyBorder="1" applyAlignment="1">
      <alignment horizontal="center" vertical="center"/>
    </xf>
    <xf numFmtId="0" fontId="9" fillId="8" borderId="6" xfId="0" applyFont="1" applyFill="1" applyBorder="1" applyAlignment="1">
      <alignment horizontal="center" vertical="center"/>
    </xf>
    <xf numFmtId="0" fontId="9" fillId="8" borderId="7"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7" fillId="0" borderId="0" xfId="0" applyFont="1" applyAlignment="1">
      <alignment horizontal="center" vertical="center"/>
    </xf>
    <xf numFmtId="3" fontId="9" fillId="2" borderId="1" xfId="0" applyNumberFormat="1" applyFont="1" applyFill="1" applyBorder="1" applyAlignment="1">
      <alignment horizontal="center" vertical="center" wrapText="1"/>
    </xf>
    <xf numFmtId="0" fontId="7" fillId="0" borderId="7" xfId="0" applyFont="1" applyBorder="1" applyAlignment="1">
      <alignment horizontal="center" vertical="center"/>
    </xf>
    <xf numFmtId="0" fontId="7" fillId="0" borderId="7" xfId="0" applyFont="1" applyBorder="1" applyAlignment="1">
      <alignment horizontal="righ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5" fillId="0" borderId="0" xfId="0" applyFont="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0" borderId="10" xfId="0" applyFont="1" applyBorder="1" applyAlignment="1">
      <alignment horizontal="center"/>
    </xf>
    <xf numFmtId="0" fontId="7" fillId="0" borderId="12" xfId="0" applyFont="1" applyBorder="1" applyAlignment="1">
      <alignment horizontal="center"/>
    </xf>
    <xf numFmtId="0" fontId="7" fillId="0" borderId="10" xfId="0" applyFont="1" applyBorder="1" applyAlignment="1">
      <alignment horizontal="center" vertical="center"/>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21" fillId="0" borderId="0" xfId="1" applyFont="1" applyAlignment="1">
      <alignment horizontal="left" vertical="center" wrapText="1"/>
    </xf>
    <xf numFmtId="0" fontId="18" fillId="0" borderId="0" xfId="1" applyAlignment="1">
      <alignment horizontal="center" vertical="center"/>
    </xf>
    <xf numFmtId="0" fontId="21" fillId="0" borderId="16" xfId="1" applyFont="1" applyBorder="1" applyAlignment="1">
      <alignment horizontal="center" vertical="center"/>
    </xf>
    <xf numFmtId="0" fontId="19" fillId="0" borderId="19" xfId="1" applyFont="1" applyBorder="1" applyAlignment="1">
      <alignment horizontal="center" vertical="center"/>
    </xf>
    <xf numFmtId="0" fontId="21" fillId="0" borderId="0" xfId="1" applyFont="1" applyAlignment="1">
      <alignment horizontal="center" vertical="center"/>
    </xf>
    <xf numFmtId="167" fontId="22" fillId="9" borderId="6" xfId="2" applyNumberFormat="1" applyFont="1" applyFill="1" applyBorder="1" applyAlignment="1" applyProtection="1">
      <alignment horizontal="left" vertical="center" wrapText="1"/>
      <protection locked="0"/>
    </xf>
    <xf numFmtId="167" fontId="22" fillId="9" borderId="7" xfId="2" applyNumberFormat="1" applyFont="1" applyFill="1" applyBorder="1" applyAlignment="1" applyProtection="1">
      <alignment horizontal="left" vertical="center" wrapText="1"/>
      <protection locked="0"/>
    </xf>
    <xf numFmtId="167" fontId="22" fillId="9" borderId="8" xfId="2" applyNumberFormat="1" applyFont="1" applyFill="1" applyBorder="1" applyAlignment="1" applyProtection="1">
      <alignment horizontal="left" vertical="center" wrapText="1"/>
      <protection locked="0"/>
    </xf>
    <xf numFmtId="0" fontId="18" fillId="10" borderId="26" xfId="1" applyFill="1" applyBorder="1" applyAlignment="1">
      <alignment horizontal="left" vertical="top" wrapText="1"/>
    </xf>
    <xf numFmtId="0" fontId="18" fillId="10" borderId="27" xfId="1" applyFill="1" applyBorder="1" applyAlignment="1">
      <alignment horizontal="left" vertical="top" wrapText="1"/>
    </xf>
    <xf numFmtId="0" fontId="18" fillId="10" borderId="28" xfId="1" applyFill="1" applyBorder="1" applyAlignment="1">
      <alignment horizontal="left" vertical="top" wrapText="1"/>
    </xf>
    <xf numFmtId="0" fontId="21" fillId="9" borderId="1" xfId="1" applyFont="1" applyFill="1" applyBorder="1" applyAlignment="1" applyProtection="1">
      <alignment horizontal="center" vertical="center"/>
      <protection locked="0"/>
    </xf>
    <xf numFmtId="0" fontId="21" fillId="0" borderId="0" xfId="1" applyFont="1" applyAlignment="1">
      <alignment horizontal="center" vertical="center" wrapText="1"/>
    </xf>
    <xf numFmtId="10" fontId="22" fillId="9" borderId="1" xfId="3" applyNumberFormat="1" applyFont="1" applyFill="1" applyBorder="1" applyAlignment="1" applyProtection="1">
      <alignment horizontal="center" vertical="center" wrapText="1"/>
      <protection locked="0"/>
    </xf>
    <xf numFmtId="0" fontId="21" fillId="0" borderId="0" xfId="1" applyFont="1" applyAlignment="1">
      <alignment horizontal="center"/>
    </xf>
    <xf numFmtId="0" fontId="18" fillId="0" borderId="0" xfId="1" applyAlignment="1">
      <alignment horizontal="left" vertical="center" wrapText="1"/>
    </xf>
    <xf numFmtId="0" fontId="18" fillId="0" borderId="16" xfId="1" applyBorder="1" applyAlignment="1">
      <alignment horizontal="center"/>
    </xf>
    <xf numFmtId="10" fontId="25" fillId="0" borderId="0" xfId="3" applyNumberFormat="1" applyFont="1" applyBorder="1" applyAlignment="1" applyProtection="1">
      <alignment horizontal="center"/>
    </xf>
    <xf numFmtId="0" fontId="23" fillId="0" borderId="0" xfId="1" applyFont="1" applyAlignment="1">
      <alignment horizontal="center"/>
    </xf>
    <xf numFmtId="0" fontId="29" fillId="0" borderId="0" xfId="1" applyFont="1" applyAlignment="1">
      <alignment vertical="center" wrapText="1"/>
    </xf>
    <xf numFmtId="10" fontId="30" fillId="0" borderId="0" xfId="3" applyNumberFormat="1" applyFont="1" applyBorder="1" applyAlignment="1" applyProtection="1">
      <alignment horizontal="center" vertical="center"/>
    </xf>
    <xf numFmtId="0" fontId="31" fillId="0" borderId="0" xfId="1" applyFont="1" applyAlignment="1">
      <alignment horizontal="center"/>
    </xf>
    <xf numFmtId="0" fontId="18" fillId="0" borderId="21" xfId="1" applyBorder="1" applyAlignment="1">
      <alignment horizontal="center"/>
    </xf>
    <xf numFmtId="0" fontId="18" fillId="0" borderId="0" xfId="1" applyAlignment="1">
      <alignment horizontal="center"/>
    </xf>
    <xf numFmtId="0" fontId="18" fillId="0" borderId="22" xfId="1" applyBorder="1" applyAlignment="1">
      <alignment horizontal="center"/>
    </xf>
    <xf numFmtId="0" fontId="18" fillId="0" borderId="21" xfId="1" applyBorder="1" applyAlignment="1">
      <alignment horizontal="center" wrapText="1"/>
    </xf>
    <xf numFmtId="0" fontId="18" fillId="0" borderId="29" xfId="1" applyBorder="1" applyAlignment="1">
      <alignment horizontal="center"/>
    </xf>
    <xf numFmtId="0" fontId="18" fillId="0" borderId="30" xfId="1" applyBorder="1" applyAlignment="1">
      <alignment horizontal="center"/>
    </xf>
    <xf numFmtId="0" fontId="21" fillId="0" borderId="23" xfId="1" applyFont="1" applyBorder="1" applyAlignment="1">
      <alignment horizontal="center"/>
    </xf>
    <xf numFmtId="0" fontId="21" fillId="0" borderId="24" xfId="1" applyFont="1" applyBorder="1" applyAlignment="1">
      <alignment horizontal="center"/>
    </xf>
    <xf numFmtId="0" fontId="21" fillId="0" borderId="25" xfId="1" applyFont="1" applyBorder="1" applyAlignment="1">
      <alignment horizontal="center"/>
    </xf>
    <xf numFmtId="0" fontId="18" fillId="0" borderId="21" xfId="1" applyBorder="1" applyAlignment="1">
      <alignment horizontal="left" wrapText="1"/>
    </xf>
    <xf numFmtId="0" fontId="18" fillId="0" borderId="0" xfId="1" applyAlignment="1">
      <alignment horizontal="left" wrapText="1"/>
    </xf>
    <xf numFmtId="0" fontId="18" fillId="0" borderId="22" xfId="1" applyBorder="1" applyAlignment="1">
      <alignment horizontal="left" wrapText="1"/>
    </xf>
    <xf numFmtId="0" fontId="5" fillId="14" borderId="1" xfId="0" applyFont="1" applyFill="1" applyBorder="1" applyAlignment="1">
      <alignment horizontal="center" vertical="center" textRotation="90" wrapText="1"/>
    </xf>
    <xf numFmtId="0" fontId="7" fillId="0" borderId="1" xfId="0" applyFont="1" applyBorder="1" applyAlignment="1">
      <alignment horizontal="center" vertical="center"/>
    </xf>
    <xf numFmtId="0" fontId="9" fillId="2" borderId="1" xfId="0" applyFont="1" applyFill="1" applyBorder="1" applyAlignment="1">
      <alignment horizontal="center" vertical="center"/>
    </xf>
    <xf numFmtId="0" fontId="21" fillId="14" borderId="34" xfId="0" applyFont="1" applyFill="1" applyBorder="1" applyAlignment="1">
      <alignment horizontal="center" vertical="center" textRotation="90" wrapText="1"/>
    </xf>
    <xf numFmtId="0" fontId="21" fillId="14" borderId="9" xfId="0" applyFont="1" applyFill="1" applyBorder="1" applyAlignment="1">
      <alignment horizontal="center" vertical="center" textRotation="90" wrapText="1"/>
    </xf>
    <xf numFmtId="0" fontId="21" fillId="14" borderId="3" xfId="0" applyFont="1" applyFill="1" applyBorder="1" applyAlignment="1">
      <alignment horizontal="center" vertical="center" textRotation="90"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2" borderId="34"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14" borderId="1" xfId="0" applyFont="1" applyFill="1" applyBorder="1" applyAlignment="1">
      <alignment horizontal="center" vertical="center" textRotation="90" wrapText="1"/>
    </xf>
    <xf numFmtId="4" fontId="9"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0" fontId="9" fillId="2" borderId="8" xfId="0" applyFont="1" applyFill="1" applyBorder="1" applyAlignment="1">
      <alignment horizontal="center" vertical="center"/>
    </xf>
    <xf numFmtId="0" fontId="8" fillId="0" borderId="8" xfId="0" applyFont="1" applyBorder="1" applyAlignment="1">
      <alignment horizontal="center" vertical="center"/>
    </xf>
    <xf numFmtId="0" fontId="5" fillId="0" borderId="5" xfId="0" applyFont="1" applyBorder="1" applyAlignment="1">
      <alignment horizontal="center" vertical="center"/>
    </xf>
    <xf numFmtId="0" fontId="9" fillId="6" borderId="1"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5" fillId="14" borderId="2" xfId="0" applyFont="1" applyFill="1" applyBorder="1" applyAlignment="1">
      <alignment horizontal="center" vertical="center" textRotation="90" wrapText="1"/>
    </xf>
    <xf numFmtId="0" fontId="5" fillId="14" borderId="9" xfId="0" applyFont="1" applyFill="1" applyBorder="1" applyAlignment="1">
      <alignment horizontal="center" vertical="center" textRotation="90" wrapText="1"/>
    </xf>
    <xf numFmtId="0" fontId="5" fillId="14" borderId="3" xfId="0" applyFont="1" applyFill="1" applyBorder="1" applyAlignment="1">
      <alignment horizontal="center" vertical="center" textRotation="90"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8" xfId="0" applyFont="1" applyFill="1" applyBorder="1" applyAlignment="1">
      <alignment horizontal="center" vertical="center" wrapText="1"/>
    </xf>
    <xf numFmtId="3" fontId="8" fillId="0" borderId="1" xfId="0" applyNumberFormat="1" applyFont="1" applyBorder="1" applyAlignment="1">
      <alignment horizontal="center" vertical="center"/>
    </xf>
    <xf numFmtId="0" fontId="9" fillId="14" borderId="2" xfId="0" applyFont="1" applyFill="1" applyBorder="1" applyAlignment="1">
      <alignment horizontal="center" vertical="center" textRotation="90" wrapText="1"/>
    </xf>
    <xf numFmtId="0" fontId="9" fillId="14" borderId="9" xfId="0" applyFont="1" applyFill="1" applyBorder="1" applyAlignment="1">
      <alignment horizontal="center" vertical="center" textRotation="90" wrapText="1"/>
    </xf>
    <xf numFmtId="0" fontId="9" fillId="14" borderId="3" xfId="0" applyFont="1" applyFill="1" applyBorder="1" applyAlignment="1">
      <alignment horizontal="center" vertical="center" textRotation="90" wrapText="1"/>
    </xf>
    <xf numFmtId="0" fontId="9" fillId="2" borderId="2"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4" xfId="0" applyFont="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9" fillId="0" borderId="6" xfId="0" applyFont="1" applyBorder="1" applyAlignment="1">
      <alignment horizontal="right" vertical="center"/>
    </xf>
    <xf numFmtId="0" fontId="9" fillId="0" borderId="7" xfId="0" applyFont="1" applyBorder="1" applyAlignment="1">
      <alignment horizontal="right" vertical="center"/>
    </xf>
    <xf numFmtId="0" fontId="9" fillId="0" borderId="8" xfId="0" applyFont="1" applyBorder="1" applyAlignment="1">
      <alignment horizontal="right" vertical="center"/>
    </xf>
    <xf numFmtId="0" fontId="9" fillId="2" borderId="11"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5" xfId="0" applyFont="1" applyFill="1" applyBorder="1" applyAlignment="1">
      <alignment horizontal="center" vertical="center"/>
    </xf>
    <xf numFmtId="4" fontId="8" fillId="0" borderId="2" xfId="0" applyNumberFormat="1" applyFont="1" applyBorder="1" applyAlignment="1">
      <alignment horizontal="center" vertical="center"/>
    </xf>
    <xf numFmtId="4" fontId="8" fillId="0" borderId="3" xfId="0" applyNumberFormat="1" applyFont="1" applyBorder="1" applyAlignment="1">
      <alignment horizontal="center" vertical="center"/>
    </xf>
    <xf numFmtId="4" fontId="8" fillId="0" borderId="9" xfId="0" applyNumberFormat="1" applyFont="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165" fontId="8" fillId="0" borderId="2" xfId="0" applyNumberFormat="1" applyFont="1" applyBorder="1" applyAlignment="1">
      <alignment horizontal="center" vertical="center"/>
    </xf>
    <xf numFmtId="164" fontId="8" fillId="0" borderId="9" xfId="0" applyNumberFormat="1" applyFont="1" applyBorder="1" applyAlignment="1">
      <alignment horizontal="center" vertical="center"/>
    </xf>
    <xf numFmtId="4" fontId="11" fillId="0" borderId="2" xfId="0" applyNumberFormat="1" applyFont="1" applyBorder="1" applyAlignment="1">
      <alignment horizontal="center" vertical="center"/>
    </xf>
    <xf numFmtId="164" fontId="8" fillId="0" borderId="2" xfId="0" applyNumberFormat="1" applyFont="1" applyBorder="1" applyAlignment="1">
      <alignment horizontal="center" vertical="center"/>
    </xf>
    <xf numFmtId="170" fontId="8" fillId="0" borderId="2" xfId="0" applyNumberFormat="1" applyFont="1" applyBorder="1" applyAlignment="1">
      <alignment horizontal="center" vertical="center"/>
    </xf>
    <xf numFmtId="4" fontId="8" fillId="13" borderId="9" xfId="0" applyNumberFormat="1" applyFont="1" applyFill="1" applyBorder="1" applyAlignment="1">
      <alignment horizontal="center" vertical="center"/>
    </xf>
    <xf numFmtId="4" fontId="8" fillId="13" borderId="2" xfId="0" applyNumberFormat="1" applyFont="1" applyFill="1" applyBorder="1" applyAlignment="1">
      <alignment horizontal="center" vertical="center"/>
    </xf>
    <xf numFmtId="165" fontId="8"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34"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wrapText="1"/>
    </xf>
    <xf numFmtId="0" fontId="9" fillId="2" borderId="14" xfId="0" applyFont="1" applyFill="1" applyBorder="1" applyAlignment="1">
      <alignment horizontal="center" vertical="center" wrapText="1"/>
    </xf>
  </cellXfs>
  <cellStyles count="10">
    <cellStyle name="Estilo 1" xfId="4" xr:uid="{00000000-0005-0000-0000-000000000000}"/>
    <cellStyle name="Normal" xfId="0" builtinId="0"/>
    <cellStyle name="Normal 2" xfId="1" xr:uid="{00000000-0005-0000-0000-000002000000}"/>
    <cellStyle name="Normal 3 57" xfId="6" xr:uid="{00000000-0005-0000-0000-000003000000}"/>
    <cellStyle name="Porcentagem" xfId="9" builtinId="5"/>
    <cellStyle name="Porcentagem 2" xfId="3" xr:uid="{00000000-0005-0000-0000-000004000000}"/>
    <cellStyle name="Vírgula 2" xfId="2" xr:uid="{00000000-0005-0000-0000-000005000000}"/>
    <cellStyle name="Vírgula 2 2" xfId="5" xr:uid="{00000000-0005-0000-0000-000006000000}"/>
    <cellStyle name="Vírgula 2 2 2" xfId="8" xr:uid="{00000000-0005-0000-0000-000007000000}"/>
    <cellStyle name="Vírgula 2 3" xfId="7" xr:uid="{00000000-0005-0000-0000-000008000000}"/>
  </cellStyles>
  <dxfs count="2">
    <dxf>
      <font>
        <b/>
        <i val="0"/>
        <condense val="0"/>
        <extend val="0"/>
        <color indexed="57"/>
      </font>
      <fill>
        <patternFill patternType="solid">
          <bgColor indexed="26"/>
        </patternFill>
      </fill>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w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80</xdr:col>
          <xdr:colOff>0</xdr:colOff>
          <xdr:row>239</xdr:row>
          <xdr:rowOff>0</xdr:rowOff>
        </xdr:from>
        <xdr:to>
          <xdr:col>80</xdr:col>
          <xdr:colOff>0</xdr:colOff>
          <xdr:row>240</xdr:row>
          <xdr:rowOff>76200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id="{00000000-0008-0000-03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44</xdr:row>
          <xdr:rowOff>133350</xdr:rowOff>
        </xdr:from>
        <xdr:to>
          <xdr:col>6</xdr:col>
          <xdr:colOff>695325</xdr:colOff>
          <xdr:row>48</xdr:row>
          <xdr:rowOff>0</xdr:rowOff>
        </xdr:to>
        <xdr:sp macro="" textlink="">
          <xdr:nvSpPr>
            <xdr:cNvPr id="115714" name="Object 2" hidden="1">
              <a:extLst>
                <a:ext uri="{63B3BB69-23CF-44E3-9099-C40C66FF867C}">
                  <a14:compatExt spid="_x0000_s115714"/>
                </a:ext>
                <a:ext uri="{FF2B5EF4-FFF2-40B4-BE49-F238E27FC236}">
                  <a16:creationId xmlns:a16="http://schemas.microsoft.com/office/drawing/2014/main" id="{00000000-0008-0000-0300-000002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6</xdr:row>
          <xdr:rowOff>0</xdr:rowOff>
        </xdr:from>
        <xdr:to>
          <xdr:col>13</xdr:col>
          <xdr:colOff>762000</xdr:colOff>
          <xdr:row>7</xdr:row>
          <xdr:rowOff>0</xdr:rowOff>
        </xdr:to>
        <xdr:sp macro="" textlink="">
          <xdr:nvSpPr>
            <xdr:cNvPr id="115715" name="CommandButton1" hidden="1">
              <a:extLst>
                <a:ext uri="{63B3BB69-23CF-44E3-9099-C40C66FF867C}">
                  <a14:compatExt spid="_x0000_s115715"/>
                </a:ext>
                <a:ext uri="{FF2B5EF4-FFF2-40B4-BE49-F238E27FC236}">
                  <a16:creationId xmlns:a16="http://schemas.microsoft.com/office/drawing/2014/main" id="{00000000-0008-0000-0300-000003C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MENSAL\PM%20APARECIDA%20DO%20TABOADO\INFRAESTRUTURA\BAIRRO%20PRIMAVERA\1&#170;%20ETAPA\Projetos\Planilhas\Planilha%20Multipla\Or&#231;amento%20-%20Bairro%20Primavera%20-%201&#170;%20Etapa.xlsm" TargetMode="External"/><Relationship Id="rId1" Type="http://schemas.openxmlformats.org/officeDocument/2006/relationships/externalLinkPath" Target="/MENSAL/PM%20APARECIDA%20DO%20TABOADO/INFRAESTRUTURA/BAIRRO%20PRIMAVERA/1&#170;%20ETAPA/Projetos/Planilhas/Planilha%20Multipla/Or&#231;amento%20-%20Bairro%20Primavera%20-%201&#170;%20Etap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4">
          <cell r="O4">
            <v>1</v>
          </cell>
        </row>
      </sheetData>
      <sheetData sheetId="1" refreshError="1"/>
      <sheetData sheetId="2" refreshError="1"/>
      <sheetData sheetId="3" refreshError="1"/>
      <sheetData sheetId="4" refreshError="1"/>
      <sheetData sheetId="5">
        <row r="12">
          <cell r="A12" t="str">
            <v>Manual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oleObject" Target="../embeddings/oleObject2.bin"/><Relationship Id="rId5" Type="http://schemas.openxmlformats.org/officeDocument/2006/relationships/image" Target="../media/image2.w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17"/>
  <sheetViews>
    <sheetView showGridLines="0" view="pageBreakPreview" zoomScaleNormal="100" zoomScaleSheetLayoutView="100" workbookViewId="0">
      <selection activeCell="B2" sqref="B2:C2"/>
    </sheetView>
  </sheetViews>
  <sheetFormatPr defaultRowHeight="15" x14ac:dyDescent="0.25"/>
  <cols>
    <col min="1" max="1" width="1.7109375" customWidth="1"/>
    <col min="2" max="2" width="30.7109375" customWidth="1"/>
    <col min="3" max="3" width="60.7109375" customWidth="1"/>
    <col min="6" max="6" width="15.7109375" customWidth="1"/>
  </cols>
  <sheetData>
    <row r="1" spans="2:3" ht="5.0999999999999996" customHeight="1" x14ac:dyDescent="0.25"/>
    <row r="2" spans="2:3" ht="15" customHeight="1" x14ac:dyDescent="0.25">
      <c r="B2" s="277" t="s">
        <v>384</v>
      </c>
      <c r="C2" s="278"/>
    </row>
    <row r="3" spans="2:3" ht="14.1" customHeight="1" x14ac:dyDescent="0.25">
      <c r="B3" s="53" t="s">
        <v>385</v>
      </c>
      <c r="C3" s="53" t="s">
        <v>569</v>
      </c>
    </row>
    <row r="4" spans="2:3" ht="14.1" customHeight="1" x14ac:dyDescent="0.25">
      <c r="B4" s="53" t="s">
        <v>386</v>
      </c>
      <c r="C4" s="53" t="s">
        <v>570</v>
      </c>
    </row>
    <row r="5" spans="2:3" ht="5.0999999999999996" customHeight="1" x14ac:dyDescent="0.25">
      <c r="C5" s="120"/>
    </row>
    <row r="6" spans="2:3" ht="14.1" customHeight="1" x14ac:dyDescent="0.25">
      <c r="B6" s="277" t="s">
        <v>387</v>
      </c>
      <c r="C6" s="278"/>
    </row>
    <row r="7" spans="2:3" ht="14.1" customHeight="1" x14ac:dyDescent="0.25">
      <c r="B7" s="53" t="s">
        <v>388</v>
      </c>
      <c r="C7" s="53" t="s">
        <v>390</v>
      </c>
    </row>
    <row r="8" spans="2:3" ht="14.1" customHeight="1" x14ac:dyDescent="0.25">
      <c r="B8" s="53" t="s">
        <v>389</v>
      </c>
      <c r="C8" s="53" t="s">
        <v>571</v>
      </c>
    </row>
    <row r="9" spans="2:3" ht="14.1" customHeight="1" x14ac:dyDescent="0.25">
      <c r="B9" s="276" t="s">
        <v>398</v>
      </c>
      <c r="C9" s="53" t="s">
        <v>10</v>
      </c>
    </row>
    <row r="10" spans="2:3" ht="14.1" customHeight="1" x14ac:dyDescent="0.25">
      <c r="B10" s="276"/>
      <c r="C10" s="279" t="s">
        <v>567</v>
      </c>
    </row>
    <row r="11" spans="2:3" ht="14.1" customHeight="1" x14ac:dyDescent="0.25">
      <c r="B11" s="276"/>
      <c r="C11" s="281"/>
    </row>
    <row r="12" spans="2:3" ht="14.1" customHeight="1" x14ac:dyDescent="0.25">
      <c r="B12" s="276"/>
      <c r="C12" s="279" t="s">
        <v>614</v>
      </c>
    </row>
    <row r="13" spans="2:3" ht="14.1" customHeight="1" x14ac:dyDescent="0.25">
      <c r="B13" s="276"/>
      <c r="C13" s="280"/>
    </row>
    <row r="14" spans="2:3" ht="14.1" customHeight="1" x14ac:dyDescent="0.25">
      <c r="B14" s="276"/>
      <c r="C14" s="53" t="s">
        <v>572</v>
      </c>
    </row>
    <row r="15" spans="2:3" ht="14.1" customHeight="1" x14ac:dyDescent="0.25">
      <c r="B15" s="53" t="s">
        <v>514</v>
      </c>
      <c r="C15" s="106">
        <f>'BDI SERVIÇO'!$F$50</f>
        <v>0.24030000000000001</v>
      </c>
    </row>
    <row r="16" spans="2:3" ht="14.1" customHeight="1" x14ac:dyDescent="0.25"/>
    <row r="17" ht="14.1" customHeight="1" x14ac:dyDescent="0.25"/>
  </sheetData>
  <mergeCells count="5">
    <mergeCell ref="B9:B14"/>
    <mergeCell ref="B2:C2"/>
    <mergeCell ref="B6:C6"/>
    <mergeCell ref="C12:C13"/>
    <mergeCell ref="C10:C1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20"/>
  <sheetViews>
    <sheetView showGridLines="0" view="pageBreakPreview" zoomScaleNormal="100" zoomScaleSheetLayoutView="100" workbookViewId="0">
      <pane ySplit="11" topLeftCell="A12" activePane="bottomLeft" state="frozen"/>
      <selection activeCell="E43" sqref="E43:F43"/>
      <selection pane="bottomLeft" activeCell="B2" sqref="B2"/>
    </sheetView>
  </sheetViews>
  <sheetFormatPr defaultRowHeight="15" x14ac:dyDescent="0.25"/>
  <cols>
    <col min="1" max="1" width="1.7109375" customWidth="1"/>
    <col min="2" max="2" width="18.7109375" customWidth="1"/>
    <col min="3" max="4" width="28.7109375" customWidth="1"/>
    <col min="5" max="5" width="15.7109375" customWidth="1"/>
  </cols>
  <sheetData>
    <row r="1" spans="2:5" ht="5.0999999999999996" customHeight="1" x14ac:dyDescent="0.25"/>
    <row r="2" spans="2:5" ht="14.1" customHeight="1" x14ac:dyDescent="0.25">
      <c r="B2" s="102" t="str">
        <f>DADOS!$B$3</f>
        <v>CLIENTE:</v>
      </c>
      <c r="C2" s="80" t="str">
        <f>DADOS!$C$3</f>
        <v>PREFEITURA MUNICIPAL DE APARECIDA DO TABOADO / MS</v>
      </c>
      <c r="D2" s="36"/>
      <c r="E2" s="40"/>
    </row>
    <row r="3" spans="2:5" ht="14.1" customHeight="1" x14ac:dyDescent="0.25">
      <c r="B3" s="103" t="str">
        <f>DADOS!$B$4</f>
        <v>ENDEREÇO:</v>
      </c>
      <c r="C3" s="81" t="str">
        <f>DADOS!$C$4</f>
        <v>RUA ELIAS TOLENTINO DE ALMEIDA, Nº 4.098 - JD. SÃO BENTO</v>
      </c>
      <c r="D3" s="4"/>
      <c r="E3" s="41"/>
    </row>
    <row r="4" spans="2:5" ht="14.1" customHeight="1" x14ac:dyDescent="0.25">
      <c r="B4" s="82"/>
      <c r="C4" s="81"/>
      <c r="D4" s="4"/>
      <c r="E4" s="41"/>
    </row>
    <row r="5" spans="2:5" ht="14.1" customHeight="1" x14ac:dyDescent="0.25">
      <c r="B5" s="103" t="str">
        <f>DADOS!$B$7</f>
        <v>OBRA:</v>
      </c>
      <c r="C5" s="81" t="str">
        <f>DADOS!$C$7</f>
        <v>PAVIMENTAÇÃO ASFÁLTICA E DRENAGEM DE ÁGUAS PLUVIAIS</v>
      </c>
      <c r="D5" s="4"/>
      <c r="E5" s="41"/>
    </row>
    <row r="6" spans="2:5" ht="14.1" customHeight="1" x14ac:dyDescent="0.25">
      <c r="B6" s="83" t="str">
        <f>DADOS!$B$8</f>
        <v>LOCAL:</v>
      </c>
      <c r="C6" s="84" t="str">
        <f>DADOS!$C$8</f>
        <v>DIVERSAS RUAS NO BAIRRO PRIMAVERA, APARECIDA DO TABOADO / MS</v>
      </c>
      <c r="D6" s="42"/>
      <c r="E6" s="43"/>
    </row>
    <row r="7" spans="2:5" ht="5.0999999999999996" customHeight="1" x14ac:dyDescent="0.25"/>
    <row r="8" spans="2:5" s="4" customFormat="1" ht="15" customHeight="1" x14ac:dyDescent="0.25">
      <c r="B8" s="282" t="s">
        <v>542</v>
      </c>
      <c r="C8" s="282"/>
      <c r="D8" s="282"/>
      <c r="E8" s="282"/>
    </row>
    <row r="9" spans="2:5" ht="5.0999999999999996" customHeight="1" x14ac:dyDescent="0.25"/>
    <row r="10" spans="2:5" ht="20.100000000000001" customHeight="1" x14ac:dyDescent="0.25">
      <c r="B10" s="283" t="s">
        <v>543</v>
      </c>
      <c r="C10" s="283" t="s">
        <v>512</v>
      </c>
      <c r="D10" s="283" t="s">
        <v>513</v>
      </c>
      <c r="E10" s="283" t="s">
        <v>556</v>
      </c>
    </row>
    <row r="11" spans="2:5" ht="20.100000000000001" customHeight="1" x14ac:dyDescent="0.25">
      <c r="B11" s="283"/>
      <c r="C11" s="283"/>
      <c r="D11" s="283"/>
      <c r="E11" s="283"/>
    </row>
    <row r="12" spans="2:5" ht="5.0999999999999996" customHeight="1" x14ac:dyDescent="0.25">
      <c r="B12" s="214"/>
      <c r="C12" s="214"/>
      <c r="D12" s="214"/>
    </row>
    <row r="13" spans="2:5" ht="14.1" customHeight="1" x14ac:dyDescent="0.25">
      <c r="B13" s="215" t="s">
        <v>272</v>
      </c>
      <c r="C13" s="15" t="s">
        <v>512</v>
      </c>
      <c r="D13" s="15" t="s">
        <v>585</v>
      </c>
      <c r="E13" s="27">
        <v>6.4</v>
      </c>
    </row>
    <row r="14" spans="2:5" ht="14.1" customHeight="1" x14ac:dyDescent="0.25">
      <c r="B14" s="215" t="s">
        <v>547</v>
      </c>
      <c r="C14" s="15" t="s">
        <v>586</v>
      </c>
      <c r="D14" s="15" t="s">
        <v>587</v>
      </c>
      <c r="E14" s="27">
        <v>49</v>
      </c>
    </row>
    <row r="15" spans="2:5" ht="14.1" customHeight="1" x14ac:dyDescent="0.25">
      <c r="B15" s="215" t="s">
        <v>273</v>
      </c>
      <c r="C15" s="15" t="s">
        <v>622</v>
      </c>
      <c r="D15" s="15" t="s">
        <v>447</v>
      </c>
      <c r="E15" s="27">
        <v>460</v>
      </c>
    </row>
    <row r="16" spans="2:5" ht="14.1" customHeight="1" x14ac:dyDescent="0.25">
      <c r="B16" s="215" t="s">
        <v>546</v>
      </c>
      <c r="C16" s="15" t="s">
        <v>512</v>
      </c>
      <c r="D16" s="15" t="s">
        <v>585</v>
      </c>
      <c r="E16" s="27">
        <v>11.5</v>
      </c>
    </row>
    <row r="17" spans="2:5" ht="14.1" customHeight="1" x14ac:dyDescent="0.25">
      <c r="B17" s="215" t="s">
        <v>537</v>
      </c>
      <c r="C17" s="15" t="s">
        <v>536</v>
      </c>
      <c r="D17" s="15" t="s">
        <v>447</v>
      </c>
      <c r="E17" s="27">
        <v>487</v>
      </c>
    </row>
    <row r="18" spans="2:5" ht="14.1" customHeight="1" x14ac:dyDescent="0.25">
      <c r="B18" s="215" t="s">
        <v>545</v>
      </c>
      <c r="C18" s="15" t="s">
        <v>536</v>
      </c>
      <c r="D18" s="15" t="s">
        <v>447</v>
      </c>
      <c r="E18" s="27">
        <v>487</v>
      </c>
    </row>
    <row r="19" spans="2:5" ht="14.1" customHeight="1" x14ac:dyDescent="0.25">
      <c r="B19" s="215" t="s">
        <v>544</v>
      </c>
      <c r="C19" s="15" t="s">
        <v>588</v>
      </c>
      <c r="D19" s="15" t="s">
        <v>587</v>
      </c>
      <c r="E19" s="27">
        <v>49.5</v>
      </c>
    </row>
    <row r="20" spans="2:5" ht="14.1" customHeight="1" x14ac:dyDescent="0.25">
      <c r="B20" s="215" t="s">
        <v>51</v>
      </c>
      <c r="C20" s="15" t="s">
        <v>589</v>
      </c>
      <c r="D20" s="15" t="s">
        <v>590</v>
      </c>
      <c r="E20" s="27">
        <v>129</v>
      </c>
    </row>
  </sheetData>
  <mergeCells count="5">
    <mergeCell ref="B8:E8"/>
    <mergeCell ref="B10:B11"/>
    <mergeCell ref="C10:C11"/>
    <mergeCell ref="D10:D11"/>
    <mergeCell ref="E10:E11"/>
  </mergeCells>
  <printOptions horizontalCentered="1"/>
  <pageMargins left="0.39370078740157483" right="0.39370078740157483" top="0.39370078740157483" bottom="0.39370078740157483" header="0.31496062992125984" footer="0.31496062992125984"/>
  <pageSetup paperSize="9" fitToHeight="11"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dimension ref="A1:U194"/>
  <sheetViews>
    <sheetView showGridLines="0" tabSelected="1" view="pageBreakPreview" zoomScaleSheetLayoutView="100" workbookViewId="0">
      <pane ySplit="11" topLeftCell="A12" activePane="bottomLeft" state="frozen"/>
      <selection activeCell="E43" sqref="E43:F43"/>
      <selection pane="bottomLeft" activeCell="B9" sqref="B9"/>
    </sheetView>
  </sheetViews>
  <sheetFormatPr defaultRowHeight="12.75" x14ac:dyDescent="0.2"/>
  <cols>
    <col min="1" max="1" width="1.7109375" style="1" customWidth="1"/>
    <col min="2" max="2" width="10.7109375" style="1" customWidth="1"/>
    <col min="3" max="3" width="6.7109375" style="1" customWidth="1"/>
    <col min="4" max="4" width="60.7109375" style="1" customWidth="1"/>
    <col min="5" max="6" width="6.7109375" style="1" customWidth="1"/>
    <col min="7" max="7" width="9.7109375" style="1" customWidth="1"/>
    <col min="8" max="8" width="10.7109375" style="1" customWidth="1"/>
    <col min="9" max="9" width="8.7109375" style="1" customWidth="1"/>
    <col min="10" max="10" width="10.7109375" style="1" customWidth="1"/>
    <col min="11" max="11" width="13.7109375" style="1" customWidth="1"/>
    <col min="12" max="12" width="8.7109375" style="1" customWidth="1"/>
    <col min="13" max="16384" width="9.140625" style="1"/>
  </cols>
  <sheetData>
    <row r="1" spans="2:12" ht="5.0999999999999996" customHeight="1" x14ac:dyDescent="0.2"/>
    <row r="2" spans="2:12" ht="14.1" customHeight="1" x14ac:dyDescent="0.2">
      <c r="B2" s="102" t="str">
        <f>DADOS!$B$3</f>
        <v>CLIENTE:</v>
      </c>
      <c r="C2" s="80" t="str">
        <f>DADOS!$C$3</f>
        <v>PREFEITURA MUNICIPAL DE APARECIDA DO TABOADO / MS</v>
      </c>
      <c r="D2" s="6"/>
      <c r="E2" s="6"/>
      <c r="F2" s="6"/>
      <c r="G2" s="6"/>
      <c r="H2" s="293" t="s">
        <v>446</v>
      </c>
      <c r="I2" s="293"/>
      <c r="J2" s="293"/>
      <c r="K2" s="291" t="s">
        <v>445</v>
      </c>
      <c r="L2" s="292"/>
    </row>
    <row r="3" spans="2:12" ht="14.1" customHeight="1" x14ac:dyDescent="0.2">
      <c r="B3" s="103" t="str">
        <f>DADOS!$B$4</f>
        <v>ENDEREÇO:</v>
      </c>
      <c r="C3" s="81" t="str">
        <f>DADOS!$C$4</f>
        <v>RUA ELIAS TOLENTINO DE ALMEIDA, Nº 4.098 - JD. SÃO BENTO</v>
      </c>
      <c r="D3" s="3"/>
      <c r="H3" s="294" t="str">
        <f>DADOS!$C$9</f>
        <v>SEM DESONERAÇÃO</v>
      </c>
      <c r="I3" s="294"/>
      <c r="J3" s="294"/>
      <c r="K3" s="294" t="str">
        <f>DADOS!$C$12</f>
        <v>COMPOSIÇÃO MS: 09/2024
INSUMO MS: 09/2024</v>
      </c>
      <c r="L3" s="295"/>
    </row>
    <row r="4" spans="2:12" ht="14.1" customHeight="1" x14ac:dyDescent="0.2">
      <c r="B4" s="82"/>
      <c r="C4" s="81"/>
      <c r="D4" s="3"/>
      <c r="H4" s="294" t="str">
        <f>DADOS!$C$10</f>
        <v>HORISTA:  106,76%
MENSALISTA:  64,39%</v>
      </c>
      <c r="I4" s="294"/>
      <c r="J4" s="294"/>
      <c r="K4" s="294"/>
      <c r="L4" s="295"/>
    </row>
    <row r="5" spans="2:12" ht="14.1" customHeight="1" x14ac:dyDescent="0.2">
      <c r="B5" s="103" t="str">
        <f>DADOS!$B$7</f>
        <v>OBRA:</v>
      </c>
      <c r="C5" s="81" t="str">
        <f>DADOS!$C$7</f>
        <v>PAVIMENTAÇÃO ASFÁLTICA E DRENAGEM DE ÁGUAS PLUVIAIS</v>
      </c>
      <c r="D5" s="3"/>
      <c r="H5" s="294"/>
      <c r="I5" s="294"/>
      <c r="J5" s="294"/>
      <c r="K5" s="294"/>
      <c r="L5" s="295"/>
    </row>
    <row r="6" spans="2:12" ht="14.1" customHeight="1" x14ac:dyDescent="0.2">
      <c r="B6" s="83" t="str">
        <f>DADOS!$B$8</f>
        <v>LOCAL:</v>
      </c>
      <c r="C6" s="84" t="str">
        <f>DADOS!$C$8</f>
        <v>DIVERSAS RUAS NO BAIRRO PRIMAVERA, APARECIDA DO TABOADO / MS</v>
      </c>
      <c r="D6" s="7"/>
      <c r="E6" s="8"/>
      <c r="F6" s="8"/>
      <c r="G6" s="8"/>
      <c r="H6" s="8"/>
      <c r="I6" s="8"/>
      <c r="J6" s="8"/>
      <c r="K6" s="222" t="str">
        <f>DADOS!$B$15</f>
        <v>BDI SERVIÇO:</v>
      </c>
      <c r="L6" s="119">
        <f>DADOS!$C$15</f>
        <v>0.24030000000000001</v>
      </c>
    </row>
    <row r="7" spans="2:12" ht="5.0999999999999996" customHeight="1" x14ac:dyDescent="0.2"/>
    <row r="8" spans="2:12" s="2" customFormat="1" ht="15" customHeight="1" x14ac:dyDescent="0.2">
      <c r="B8" s="288" t="s">
        <v>9</v>
      </c>
      <c r="C8" s="288"/>
      <c r="D8" s="288"/>
      <c r="E8" s="288"/>
      <c r="F8" s="288"/>
      <c r="G8" s="288"/>
      <c r="H8" s="288"/>
      <c r="I8" s="288"/>
      <c r="J8" s="288"/>
      <c r="K8" s="288"/>
      <c r="L8" s="288"/>
    </row>
    <row r="9" spans="2:12" ht="5.0999999999999996" customHeight="1" x14ac:dyDescent="0.2"/>
    <row r="10" spans="2:12" ht="14.1" customHeight="1" x14ac:dyDescent="0.2">
      <c r="B10" s="290" t="s">
        <v>8</v>
      </c>
      <c r="C10" s="289" t="s">
        <v>0</v>
      </c>
      <c r="D10" s="289" t="s">
        <v>1</v>
      </c>
      <c r="E10" s="289" t="s">
        <v>2</v>
      </c>
      <c r="F10" s="289" t="s">
        <v>3</v>
      </c>
      <c r="G10" s="289" t="s">
        <v>4</v>
      </c>
      <c r="H10" s="289" t="s">
        <v>6</v>
      </c>
      <c r="I10" s="289"/>
      <c r="J10" s="289"/>
      <c r="K10" s="289"/>
      <c r="L10" s="289" t="s">
        <v>7</v>
      </c>
    </row>
    <row r="11" spans="2:12" ht="27.95" customHeight="1" x14ac:dyDescent="0.2">
      <c r="B11" s="290"/>
      <c r="C11" s="289"/>
      <c r="D11" s="289"/>
      <c r="E11" s="289"/>
      <c r="F11" s="289"/>
      <c r="G11" s="289"/>
      <c r="H11" s="54" t="s">
        <v>366</v>
      </c>
      <c r="I11" s="54" t="s">
        <v>364</v>
      </c>
      <c r="J11" s="54" t="s">
        <v>365</v>
      </c>
      <c r="K11" s="52" t="s">
        <v>5</v>
      </c>
      <c r="L11" s="289"/>
    </row>
    <row r="12" spans="2:12" ht="5.0999999999999996" customHeight="1" x14ac:dyDescent="0.2"/>
    <row r="13" spans="2:12" s="60" customFormat="1" ht="15" customHeight="1" x14ac:dyDescent="0.2">
      <c r="B13" s="55"/>
      <c r="C13" s="56">
        <v>1</v>
      </c>
      <c r="D13" s="57" t="s">
        <v>11</v>
      </c>
      <c r="E13" s="58"/>
      <c r="F13" s="58"/>
      <c r="G13" s="58"/>
      <c r="H13" s="58"/>
      <c r="I13" s="58"/>
      <c r="J13" s="58"/>
      <c r="K13" s="58"/>
      <c r="L13" s="59"/>
    </row>
    <row r="14" spans="2:12" ht="26.1" customHeight="1" x14ac:dyDescent="0.2">
      <c r="B14" s="109">
        <v>103689</v>
      </c>
      <c r="C14" s="95">
        <f>IF(G14&gt;0,C13+0.01,C13)</f>
        <v>1.01</v>
      </c>
      <c r="D14" s="105" t="s">
        <v>557</v>
      </c>
      <c r="E14" s="95"/>
      <c r="F14" s="94" t="s">
        <v>13</v>
      </c>
      <c r="G14" s="62">
        <f>'Serv. Preliminares'!J11</f>
        <v>8</v>
      </c>
      <c r="H14" s="62">
        <v>455.87</v>
      </c>
      <c r="I14" s="62">
        <f>ROUND((H14*$L$6),2)</f>
        <v>109.55</v>
      </c>
      <c r="J14" s="62">
        <f>H14+I14</f>
        <v>565.41999999999996</v>
      </c>
      <c r="K14" s="62">
        <f>ROUND((G14*J14),2)</f>
        <v>4523.3599999999997</v>
      </c>
      <c r="L14" s="96">
        <f>K14/$K$178</f>
        <v>2.3442525443680166E-3</v>
      </c>
    </row>
    <row r="15" spans="2:12" ht="26.1" customHeight="1" x14ac:dyDescent="0.2">
      <c r="B15" s="63" t="s">
        <v>615</v>
      </c>
      <c r="C15" s="64">
        <f t="shared" ref="C15" si="0">IF(G15&gt;0,C14+0.01,C14)</f>
        <v>1.02</v>
      </c>
      <c r="D15" s="65" t="s">
        <v>616</v>
      </c>
      <c r="E15" s="64"/>
      <c r="F15" s="66" t="s">
        <v>617</v>
      </c>
      <c r="G15" s="67">
        <f>'Serv. Preliminares'!J14</f>
        <v>9</v>
      </c>
      <c r="H15" s="67">
        <v>650.39</v>
      </c>
      <c r="I15" s="67">
        <f>ROUND((H15*$L$6),2)</f>
        <v>156.29</v>
      </c>
      <c r="J15" s="67">
        <f t="shared" ref="J15" si="1">H15+I15</f>
        <v>806.68</v>
      </c>
      <c r="K15" s="67">
        <f>ROUND((G15*J15),2)</f>
        <v>7260.12</v>
      </c>
      <c r="L15" s="68">
        <f>K15/$K$178</f>
        <v>3.7625912557075107E-3</v>
      </c>
    </row>
    <row r="16" spans="2:12" s="60" customFormat="1" ht="15" customHeight="1" x14ac:dyDescent="0.2">
      <c r="B16" s="86"/>
      <c r="C16" s="86"/>
      <c r="D16" s="86"/>
      <c r="E16" s="285" t="str">
        <f>CONCATENATE("SUBTOTAL ",C13)</f>
        <v>SUBTOTAL 1</v>
      </c>
      <c r="F16" s="285"/>
      <c r="G16" s="285"/>
      <c r="H16" s="223"/>
      <c r="I16" s="284"/>
      <c r="J16" s="284"/>
      <c r="K16" s="224">
        <f>SUM(K13:K15)</f>
        <v>11783.48</v>
      </c>
      <c r="L16" s="88">
        <f>SUM(L13:L15)</f>
        <v>6.1068438000755274E-3</v>
      </c>
    </row>
    <row r="17" spans="2:12" ht="5.0999999999999996" customHeight="1" x14ac:dyDescent="0.2"/>
    <row r="18" spans="2:12" s="60" customFormat="1" ht="15" customHeight="1" x14ac:dyDescent="0.2">
      <c r="B18" s="55"/>
      <c r="C18" s="56">
        <v>2</v>
      </c>
      <c r="D18" s="57" t="s">
        <v>20</v>
      </c>
      <c r="E18" s="58"/>
      <c r="F18" s="58"/>
      <c r="G18" s="58"/>
      <c r="H18" s="58"/>
      <c r="I18" s="58"/>
      <c r="J18" s="58"/>
      <c r="K18" s="58"/>
      <c r="L18" s="59"/>
    </row>
    <row r="19" spans="2:12" ht="12.95" customHeight="1" x14ac:dyDescent="0.2">
      <c r="B19" s="94"/>
      <c r="C19" s="95"/>
      <c r="D19" s="61"/>
      <c r="E19" s="95"/>
      <c r="F19" s="94"/>
      <c r="G19" s="62"/>
      <c r="H19" s="62"/>
      <c r="I19" s="62"/>
      <c r="J19" s="62"/>
      <c r="K19" s="62"/>
      <c r="L19" s="96"/>
    </row>
    <row r="20" spans="2:12" ht="12.95" customHeight="1" x14ac:dyDescent="0.2">
      <c r="B20" s="66"/>
      <c r="C20" s="64"/>
      <c r="D20" s="97" t="s">
        <v>21</v>
      </c>
      <c r="E20" s="64"/>
      <c r="F20" s="66"/>
      <c r="G20" s="67"/>
      <c r="H20" s="67"/>
      <c r="I20" s="67"/>
      <c r="J20" s="67"/>
      <c r="K20" s="67"/>
      <c r="L20" s="68"/>
    </row>
    <row r="21" spans="2:12" ht="51.95" customHeight="1" x14ac:dyDescent="0.2">
      <c r="B21" s="66">
        <v>102278</v>
      </c>
      <c r="C21" s="64">
        <f>IF(G21&gt;0,C18+0.01,C18)</f>
        <v>2.0099999999999998</v>
      </c>
      <c r="D21" s="65" t="s">
        <v>434</v>
      </c>
      <c r="E21" s="64"/>
      <c r="F21" s="66" t="s">
        <v>16</v>
      </c>
      <c r="G21" s="67">
        <f>'Dre-Terraplenagem'!Q45</f>
        <v>2631.46</v>
      </c>
      <c r="H21" s="67">
        <v>8.57</v>
      </c>
      <c r="I21" s="67">
        <f>ROUND((H21*$L$6),2)</f>
        <v>2.06</v>
      </c>
      <c r="J21" s="67">
        <f t="shared" ref="J21" si="2">H21+I21</f>
        <v>10.63</v>
      </c>
      <c r="K21" s="67">
        <f>ROUND((G21*J21),2)</f>
        <v>27972.42</v>
      </c>
      <c r="L21" s="68">
        <f>K21/$K$178</f>
        <v>1.4496837916312386E-2</v>
      </c>
    </row>
    <row r="22" spans="2:12" ht="15" customHeight="1" x14ac:dyDescent="0.2">
      <c r="B22" s="66">
        <v>93358</v>
      </c>
      <c r="C22" s="64">
        <f t="shared" ref="C22" si="3">IF(G22&gt;0,C21+0.01,C21)</f>
        <v>2.0199999999999996</v>
      </c>
      <c r="D22" s="71" t="s">
        <v>43</v>
      </c>
      <c r="E22" s="64"/>
      <c r="F22" s="66" t="s">
        <v>16</v>
      </c>
      <c r="G22" s="67">
        <f>'Dre-Terraplenagem'!Q50</f>
        <v>138.47</v>
      </c>
      <c r="H22" s="67">
        <v>82.91</v>
      </c>
      <c r="I22" s="67">
        <f>ROUND((H22*$L$6),2)</f>
        <v>19.920000000000002</v>
      </c>
      <c r="J22" s="67">
        <f t="shared" ref="J22" si="4">H22+I22</f>
        <v>102.83</v>
      </c>
      <c r="K22" s="67">
        <f>ROUND((G22*J22),2)</f>
        <v>14238.87</v>
      </c>
      <c r="L22" s="68">
        <f>K22/$K$178</f>
        <v>7.3793611886795269E-3</v>
      </c>
    </row>
    <row r="23" spans="2:12" ht="12.95" customHeight="1" x14ac:dyDescent="0.2">
      <c r="B23" s="66"/>
      <c r="C23" s="64"/>
      <c r="D23" s="71"/>
      <c r="E23" s="64"/>
      <c r="F23" s="70"/>
      <c r="G23" s="67"/>
      <c r="H23" s="216"/>
      <c r="I23" s="67"/>
      <c r="J23" s="67"/>
      <c r="K23" s="67"/>
      <c r="L23" s="68"/>
    </row>
    <row r="24" spans="2:12" ht="12.95" customHeight="1" x14ac:dyDescent="0.2">
      <c r="B24" s="66"/>
      <c r="C24" s="64"/>
      <c r="D24" s="97" t="s">
        <v>22</v>
      </c>
      <c r="E24" s="64"/>
      <c r="F24" s="66"/>
      <c r="G24" s="67"/>
      <c r="H24" s="216"/>
      <c r="I24" s="67"/>
      <c r="J24" s="67"/>
      <c r="K24" s="67"/>
      <c r="L24" s="68"/>
    </row>
    <row r="25" spans="2:12" ht="12.95" customHeight="1" x14ac:dyDescent="0.2">
      <c r="B25" s="66">
        <v>101616</v>
      </c>
      <c r="C25" s="64">
        <f>IF(G25&gt;0,C22+0.01,C22)</f>
        <v>2.0299999999999994</v>
      </c>
      <c r="D25" s="65" t="s">
        <v>370</v>
      </c>
      <c r="E25" s="64"/>
      <c r="F25" s="66" t="s">
        <v>13</v>
      </c>
      <c r="G25" s="67">
        <f>'Dre-Terraplenagem'!Q60</f>
        <v>682.12</v>
      </c>
      <c r="H25" s="67">
        <v>6.08</v>
      </c>
      <c r="I25" s="67">
        <f t="shared" ref="I25:I28" si="5">ROUND((H25*$L$6),2)</f>
        <v>1.46</v>
      </c>
      <c r="J25" s="67">
        <f t="shared" ref="J25" si="6">H25+I25</f>
        <v>7.54</v>
      </c>
      <c r="K25" s="67">
        <f t="shared" ref="K25:K28" si="7">ROUND((G25*J25),2)</f>
        <v>5143.18</v>
      </c>
      <c r="L25" s="68">
        <f>K25/$K$178</f>
        <v>2.6654771676679939E-3</v>
      </c>
    </row>
    <row r="26" spans="2:12" ht="26.1" customHeight="1" x14ac:dyDescent="0.2">
      <c r="B26" s="66">
        <v>101617</v>
      </c>
      <c r="C26" s="64">
        <f t="shared" ref="C26" si="8">IF(G26&gt;0,C25+0.01,C25)</f>
        <v>2.0399999999999991</v>
      </c>
      <c r="D26" s="65" t="s">
        <v>623</v>
      </c>
      <c r="E26" s="64"/>
      <c r="F26" s="66" t="s">
        <v>13</v>
      </c>
      <c r="G26" s="67">
        <f>'Dre-Terraplenagem'!Q61</f>
        <v>343.77</v>
      </c>
      <c r="H26" s="67">
        <v>3</v>
      </c>
      <c r="I26" s="67">
        <f t="shared" si="5"/>
        <v>0.72</v>
      </c>
      <c r="J26" s="67">
        <f t="shared" ref="J26" si="9">H26+I26</f>
        <v>3.7199999999999998</v>
      </c>
      <c r="K26" s="67">
        <f t="shared" si="7"/>
        <v>1278.82</v>
      </c>
      <c r="L26" s="68">
        <f>K26/$K$178</f>
        <v>6.6275446543912202E-4</v>
      </c>
    </row>
    <row r="27" spans="2:12" ht="26.1" customHeight="1" x14ac:dyDescent="0.2">
      <c r="B27" s="66">
        <v>101573</v>
      </c>
      <c r="C27" s="64">
        <f>IF(G27&gt;0,C26+0.01,C26)</f>
        <v>2.0499999999999989</v>
      </c>
      <c r="D27" s="65" t="s">
        <v>404</v>
      </c>
      <c r="E27" s="64"/>
      <c r="F27" s="66" t="s">
        <v>13</v>
      </c>
      <c r="G27" s="67">
        <f>'Dre-Terraplenagem'!Q64</f>
        <v>643.33000000000004</v>
      </c>
      <c r="H27" s="67">
        <v>26.87</v>
      </c>
      <c r="I27" s="67">
        <f t="shared" si="5"/>
        <v>6.46</v>
      </c>
      <c r="J27" s="67">
        <f t="shared" ref="J27" si="10">H27+I27</f>
        <v>33.33</v>
      </c>
      <c r="K27" s="67">
        <f t="shared" si="7"/>
        <v>21442.19</v>
      </c>
      <c r="L27" s="68">
        <f>K27/$K$178</f>
        <v>1.1112515577871856E-2</v>
      </c>
    </row>
    <row r="28" spans="2:12" ht="26.1" customHeight="1" x14ac:dyDescent="0.2">
      <c r="B28" s="66">
        <v>101579</v>
      </c>
      <c r="C28" s="64">
        <f t="shared" ref="C28" si="11">IF(G28&gt;0,C27+0.01,C27)</f>
        <v>2.0599999999999987</v>
      </c>
      <c r="D28" s="65" t="s">
        <v>403</v>
      </c>
      <c r="E28" s="64"/>
      <c r="F28" s="66" t="s">
        <v>13</v>
      </c>
      <c r="G28" s="67">
        <f>'Dre-Terraplenagem'!Q66</f>
        <v>583.54999999999995</v>
      </c>
      <c r="H28" s="67">
        <v>46.01</v>
      </c>
      <c r="I28" s="67">
        <f t="shared" si="5"/>
        <v>11.06</v>
      </c>
      <c r="J28" s="67">
        <f t="shared" ref="J28" si="12">H28+I28</f>
        <v>57.07</v>
      </c>
      <c r="K28" s="67">
        <f t="shared" si="7"/>
        <v>33303.199999999997</v>
      </c>
      <c r="L28" s="68">
        <f>K28/$K$178</f>
        <v>1.7259539664231219E-2</v>
      </c>
    </row>
    <row r="29" spans="2:12" ht="12.95" customHeight="1" x14ac:dyDescent="0.2">
      <c r="B29" s="66"/>
      <c r="C29" s="64"/>
      <c r="D29" s="71"/>
      <c r="E29" s="64"/>
      <c r="F29" s="70"/>
      <c r="G29" s="67"/>
      <c r="H29" s="216"/>
      <c r="I29" s="67"/>
      <c r="J29" s="67"/>
      <c r="K29" s="67"/>
      <c r="L29" s="68"/>
    </row>
    <row r="30" spans="2:12" ht="12.95" customHeight="1" x14ac:dyDescent="0.2">
      <c r="B30" s="66"/>
      <c r="C30" s="64"/>
      <c r="D30" s="97" t="s">
        <v>23</v>
      </c>
      <c r="E30" s="64"/>
      <c r="F30" s="66"/>
      <c r="G30" s="67"/>
      <c r="H30" s="216"/>
      <c r="I30" s="67"/>
      <c r="J30" s="67"/>
      <c r="K30" s="67"/>
      <c r="L30" s="68"/>
    </row>
    <row r="31" spans="2:12" ht="39" customHeight="1" x14ac:dyDescent="0.2">
      <c r="B31" s="66">
        <v>93369</v>
      </c>
      <c r="C31" s="64">
        <f>IF(G31&gt;0,C28+0.01,C28)</f>
        <v>2.0699999999999985</v>
      </c>
      <c r="D31" s="65" t="s">
        <v>558</v>
      </c>
      <c r="E31" s="64"/>
      <c r="F31" s="66" t="s">
        <v>16</v>
      </c>
      <c r="G31" s="67">
        <f>'Dre-Terraplenagem'!Q75</f>
        <v>2444.25</v>
      </c>
      <c r="H31" s="67">
        <v>16.36</v>
      </c>
      <c r="I31" s="67">
        <f>ROUND((H31*$L$6),2)</f>
        <v>3.93</v>
      </c>
      <c r="J31" s="67">
        <f t="shared" ref="J31" si="13">H31+I31</f>
        <v>20.29</v>
      </c>
      <c r="K31" s="67">
        <f>ROUND((G31*J31),2)</f>
        <v>49593.83</v>
      </c>
      <c r="L31" s="68">
        <f>K31/$K$178</f>
        <v>2.5702235100114712E-2</v>
      </c>
    </row>
    <row r="32" spans="2:12" ht="12.95" customHeight="1" x14ac:dyDescent="0.2">
      <c r="B32" s="63"/>
      <c r="C32" s="64"/>
      <c r="D32" s="71"/>
      <c r="E32" s="64"/>
      <c r="F32" s="70"/>
      <c r="G32" s="67"/>
      <c r="H32" s="216"/>
      <c r="I32" s="67"/>
      <c r="J32" s="67"/>
      <c r="K32" s="67"/>
      <c r="L32" s="68"/>
    </row>
    <row r="33" spans="2:12" ht="12.95" customHeight="1" x14ac:dyDescent="0.2">
      <c r="B33" s="63"/>
      <c r="C33" s="64"/>
      <c r="D33" s="97" t="s">
        <v>24</v>
      </c>
      <c r="E33" s="64"/>
      <c r="F33" s="66"/>
      <c r="G33" s="67"/>
      <c r="H33" s="216"/>
      <c r="I33" s="67"/>
      <c r="J33" s="67"/>
      <c r="K33" s="67"/>
      <c r="L33" s="68"/>
    </row>
    <row r="34" spans="2:12" ht="26.1" customHeight="1" x14ac:dyDescent="0.2">
      <c r="B34" s="63">
        <v>100978</v>
      </c>
      <c r="C34" s="64">
        <f>IF(G34&gt;0,C31+0.01,C31)</f>
        <v>2.0799999999999983</v>
      </c>
      <c r="D34" s="65" t="s">
        <v>371</v>
      </c>
      <c r="E34" s="64"/>
      <c r="F34" s="66" t="s">
        <v>16</v>
      </c>
      <c r="G34" s="67">
        <f>'Dre-Terraplenagem'!Q79</f>
        <v>423.32999999999993</v>
      </c>
      <c r="H34" s="67">
        <v>6.8</v>
      </c>
      <c r="I34" s="67">
        <f>ROUND((H34*$L$6),2)</f>
        <v>1.63</v>
      </c>
      <c r="J34" s="67">
        <f t="shared" ref="J34:J36" si="14">H34+I34</f>
        <v>8.43</v>
      </c>
      <c r="K34" s="67">
        <f t="shared" ref="K34:K36" si="15">ROUND((G34*J34),2)</f>
        <v>3568.67</v>
      </c>
      <c r="L34" s="68">
        <f>K34/$K$178</f>
        <v>1.8494799723015216E-3</v>
      </c>
    </row>
    <row r="35" spans="2:12" ht="26.1" customHeight="1" x14ac:dyDescent="0.2">
      <c r="B35" s="66">
        <v>95875</v>
      </c>
      <c r="C35" s="64">
        <f t="shared" ref="C35" si="16">IF(G35&gt;0,C34+0.01,C34)</f>
        <v>2.0899999999999981</v>
      </c>
      <c r="D35" s="65" t="s">
        <v>408</v>
      </c>
      <c r="E35" s="64">
        <f>'Dre-Terraplenagem'!$E$80</f>
        <v>6.4</v>
      </c>
      <c r="F35" s="66" t="s">
        <v>17</v>
      </c>
      <c r="G35" s="67">
        <f>'Dre-Terraplenagem'!Q80</f>
        <v>2709.29</v>
      </c>
      <c r="H35" s="67">
        <v>2.4300000000000002</v>
      </c>
      <c r="I35" s="67">
        <f t="shared" ref="I35:I36" si="17">ROUND((H35*$L$6),2)</f>
        <v>0.57999999999999996</v>
      </c>
      <c r="J35" s="67">
        <f t="shared" si="14"/>
        <v>3.0100000000000002</v>
      </c>
      <c r="K35" s="67">
        <f t="shared" si="15"/>
        <v>8154.96</v>
      </c>
      <c r="L35" s="68">
        <f>K35/$K$178</f>
        <v>4.2263462844477117E-3</v>
      </c>
    </row>
    <row r="36" spans="2:12" ht="12.95" customHeight="1" x14ac:dyDescent="0.2">
      <c r="B36" s="63">
        <v>100574</v>
      </c>
      <c r="C36" s="64">
        <f t="shared" ref="C36" si="18">IF(G36&gt;0,C35+0.01,C35)</f>
        <v>2.0999999999999979</v>
      </c>
      <c r="D36" s="65" t="s">
        <v>351</v>
      </c>
      <c r="E36" s="64"/>
      <c r="F36" s="66" t="s">
        <v>16</v>
      </c>
      <c r="G36" s="67">
        <f>'Dre-Terraplenagem'!Q81</f>
        <v>423.32999999999993</v>
      </c>
      <c r="H36" s="67">
        <v>1.35</v>
      </c>
      <c r="I36" s="67">
        <f t="shared" si="17"/>
        <v>0.32</v>
      </c>
      <c r="J36" s="67">
        <f t="shared" si="14"/>
        <v>1.6700000000000002</v>
      </c>
      <c r="K36" s="67">
        <f t="shared" si="15"/>
        <v>706.96</v>
      </c>
      <c r="L36" s="68">
        <f>K36/$K$178</f>
        <v>3.6638533717555386E-4</v>
      </c>
    </row>
    <row r="37" spans="2:12" ht="12.95" customHeight="1" x14ac:dyDescent="0.2">
      <c r="B37" s="99"/>
      <c r="C37" s="74"/>
      <c r="D37" s="100"/>
      <c r="E37" s="74"/>
      <c r="F37" s="75"/>
      <c r="G37" s="76"/>
      <c r="H37" s="76"/>
      <c r="I37" s="76"/>
      <c r="J37" s="76"/>
      <c r="K37" s="76"/>
      <c r="L37" s="101"/>
    </row>
    <row r="38" spans="2:12" s="60" customFormat="1" ht="15" customHeight="1" x14ac:dyDescent="0.2">
      <c r="B38" s="86"/>
      <c r="C38" s="86"/>
      <c r="D38" s="86"/>
      <c r="E38" s="285" t="str">
        <f>CONCATENATE("SUBTOTAL ",C18)</f>
        <v>SUBTOTAL 2</v>
      </c>
      <c r="F38" s="285"/>
      <c r="G38" s="285"/>
      <c r="H38" s="223"/>
      <c r="I38" s="284"/>
      <c r="J38" s="284"/>
      <c r="K38" s="224">
        <f>SUM(K18:K37)</f>
        <v>165403.1</v>
      </c>
      <c r="L38" s="88">
        <f>SUM(L18:L37)</f>
        <v>8.5720932674241593E-2</v>
      </c>
    </row>
    <row r="39" spans="2:12" ht="5.0999999999999996" customHeight="1" x14ac:dyDescent="0.2"/>
    <row r="40" spans="2:12" s="60" customFormat="1" ht="15" customHeight="1" x14ac:dyDescent="0.2">
      <c r="B40" s="89"/>
      <c r="C40" s="90">
        <v>3</v>
      </c>
      <c r="D40" s="91" t="s">
        <v>606</v>
      </c>
      <c r="E40" s="92"/>
      <c r="F40" s="92"/>
      <c r="G40" s="92"/>
      <c r="H40" s="92"/>
      <c r="I40" s="92"/>
      <c r="J40" s="92"/>
      <c r="K40" s="92"/>
      <c r="L40" s="93"/>
    </row>
    <row r="41" spans="2:12" ht="12.95" customHeight="1" x14ac:dyDescent="0.2">
      <c r="B41" s="94"/>
      <c r="C41" s="95"/>
      <c r="D41" s="61"/>
      <c r="E41" s="95"/>
      <c r="F41" s="94"/>
      <c r="G41" s="62"/>
      <c r="H41" s="62"/>
      <c r="I41" s="62"/>
      <c r="J41" s="62"/>
      <c r="K41" s="62"/>
      <c r="L41" s="96"/>
    </row>
    <row r="42" spans="2:12" ht="12.95" customHeight="1" x14ac:dyDescent="0.2">
      <c r="B42" s="66"/>
      <c r="C42" s="64"/>
      <c r="D42" s="97" t="s">
        <v>25</v>
      </c>
      <c r="E42" s="64"/>
      <c r="F42" s="66"/>
      <c r="G42" s="67"/>
      <c r="H42" s="67"/>
      <c r="I42" s="67"/>
      <c r="J42" s="67"/>
      <c r="K42" s="67"/>
      <c r="L42" s="68"/>
    </row>
    <row r="43" spans="2:12" ht="26.1" customHeight="1" x14ac:dyDescent="0.2">
      <c r="B43" s="63" t="s">
        <v>26</v>
      </c>
      <c r="C43" s="64">
        <f>IF(G43&gt;0,C40+0.01,C40)</f>
        <v>3.01</v>
      </c>
      <c r="D43" s="65" t="s">
        <v>373</v>
      </c>
      <c r="E43" s="64"/>
      <c r="F43" s="66" t="s">
        <v>14</v>
      </c>
      <c r="G43" s="67">
        <f>'Dre-Disp. Estruturais'!O23</f>
        <v>690</v>
      </c>
      <c r="H43" s="67">
        <v>73.260000000000005</v>
      </c>
      <c r="I43" s="67">
        <f>ROUND((H43*$L$6),2)</f>
        <v>17.600000000000001</v>
      </c>
      <c r="J43" s="67">
        <f t="shared" ref="J43:J44" si="19">H43+I43</f>
        <v>90.860000000000014</v>
      </c>
      <c r="K43" s="67">
        <f>ROUND((G43*J43),2)</f>
        <v>62693.4</v>
      </c>
      <c r="L43" s="68">
        <f>K43/$K$178</f>
        <v>3.2491148718006485E-2</v>
      </c>
    </row>
    <row r="44" spans="2:12" ht="26.1" customHeight="1" x14ac:dyDescent="0.2">
      <c r="B44" s="63" t="s">
        <v>27</v>
      </c>
      <c r="C44" s="64">
        <f t="shared" ref="C44:C56" si="20">IF(G44&gt;0,C43+0.01,C43)</f>
        <v>3.0199999999999996</v>
      </c>
      <c r="D44" s="65" t="s">
        <v>372</v>
      </c>
      <c r="E44" s="64"/>
      <c r="F44" s="66" t="s">
        <v>14</v>
      </c>
      <c r="G44" s="67">
        <f>'Dre-Disp. Estruturais'!O24</f>
        <v>108.44</v>
      </c>
      <c r="H44" s="67">
        <v>130.53</v>
      </c>
      <c r="I44" s="67">
        <f t="shared" ref="I44:I46" si="21">ROUND((H44*$L$6),2)</f>
        <v>31.37</v>
      </c>
      <c r="J44" s="67">
        <f t="shared" si="19"/>
        <v>161.9</v>
      </c>
      <c r="K44" s="67">
        <f t="shared" ref="K44:K46" si="22">ROUND((G44*J44),2)</f>
        <v>17556.439999999999</v>
      </c>
      <c r="L44" s="68">
        <f>K44/$K$178</f>
        <v>9.0987074077774968E-3</v>
      </c>
    </row>
    <row r="45" spans="2:12" ht="26.1" customHeight="1" x14ac:dyDescent="0.2">
      <c r="B45" s="63" t="s">
        <v>28</v>
      </c>
      <c r="C45" s="64">
        <f t="shared" si="20"/>
        <v>3.0299999999999994</v>
      </c>
      <c r="D45" s="65" t="s">
        <v>374</v>
      </c>
      <c r="E45" s="64"/>
      <c r="F45" s="66" t="s">
        <v>14</v>
      </c>
      <c r="G45" s="67">
        <f>'Dre-Disp. Estruturais'!O25</f>
        <v>202.36</v>
      </c>
      <c r="H45" s="67">
        <v>414.3</v>
      </c>
      <c r="I45" s="67">
        <f t="shared" si="21"/>
        <v>99.56</v>
      </c>
      <c r="J45" s="67">
        <f t="shared" ref="J45:J46" si="23">H45+I45</f>
        <v>513.86</v>
      </c>
      <c r="K45" s="67">
        <f t="shared" si="22"/>
        <v>103984.71</v>
      </c>
      <c r="L45" s="68">
        <f>K45/$K$178</f>
        <v>5.3890563871297086E-2</v>
      </c>
    </row>
    <row r="46" spans="2:12" ht="26.1" customHeight="1" x14ac:dyDescent="0.2">
      <c r="B46" s="63" t="s">
        <v>29</v>
      </c>
      <c r="C46" s="64">
        <f t="shared" si="20"/>
        <v>3.0399999999999991</v>
      </c>
      <c r="D46" s="65" t="s">
        <v>375</v>
      </c>
      <c r="E46" s="64"/>
      <c r="F46" s="66" t="s">
        <v>14</v>
      </c>
      <c r="G46" s="67">
        <f>'Dre-Disp. Estruturais'!O26</f>
        <v>10</v>
      </c>
      <c r="H46" s="67">
        <v>485.44</v>
      </c>
      <c r="I46" s="67">
        <f t="shared" si="21"/>
        <v>116.65</v>
      </c>
      <c r="J46" s="67">
        <f t="shared" si="23"/>
        <v>602.09</v>
      </c>
      <c r="K46" s="67">
        <f t="shared" si="22"/>
        <v>6020.9</v>
      </c>
      <c r="L46" s="68">
        <f>K46/$K$178</f>
        <v>3.1203596760782672E-3</v>
      </c>
    </row>
    <row r="47" spans="2:12" ht="12.95" customHeight="1" x14ac:dyDescent="0.2">
      <c r="B47" s="66"/>
      <c r="C47" s="64"/>
      <c r="D47" s="71"/>
      <c r="E47" s="64"/>
      <c r="F47" s="70"/>
      <c r="G47" s="67"/>
      <c r="H47" s="216"/>
      <c r="I47" s="67"/>
      <c r="J47" s="67"/>
      <c r="K47" s="67"/>
      <c r="L47" s="68"/>
    </row>
    <row r="48" spans="2:12" ht="12.95" customHeight="1" x14ac:dyDescent="0.2">
      <c r="B48" s="66"/>
      <c r="C48" s="64"/>
      <c r="D48" s="97" t="s">
        <v>30</v>
      </c>
      <c r="E48" s="64"/>
      <c r="F48" s="66"/>
      <c r="G48" s="67"/>
      <c r="H48" s="216"/>
      <c r="I48" s="67"/>
      <c r="J48" s="67"/>
      <c r="K48" s="67"/>
      <c r="L48" s="68"/>
    </row>
    <row r="49" spans="2:12" ht="39" customHeight="1" x14ac:dyDescent="0.2">
      <c r="B49" s="66">
        <v>92821</v>
      </c>
      <c r="C49" s="64">
        <f>IF(G49&gt;0,C46+0.01,C46)</f>
        <v>3.0499999999999989</v>
      </c>
      <c r="D49" s="65" t="s">
        <v>550</v>
      </c>
      <c r="E49" s="64"/>
      <c r="F49" s="66" t="s">
        <v>14</v>
      </c>
      <c r="G49" s="67">
        <f>'Dre-Disp. Estruturais'!O28</f>
        <v>690</v>
      </c>
      <c r="H49" s="67">
        <v>35.44</v>
      </c>
      <c r="I49" s="67">
        <f t="shared" ref="I49:I52" si="24">ROUND((H49*$L$6),2)</f>
        <v>8.52</v>
      </c>
      <c r="J49" s="67">
        <f t="shared" ref="J49:J52" si="25">H49+I49</f>
        <v>43.959999999999994</v>
      </c>
      <c r="K49" s="67">
        <f t="shared" ref="K49:K52" si="26">ROUND((G49*J49),2)</f>
        <v>30332.400000000001</v>
      </c>
      <c r="L49" s="68">
        <f>K49/$K$178</f>
        <v>1.5719908624736576E-2</v>
      </c>
    </row>
    <row r="50" spans="2:12" ht="39" customHeight="1" x14ac:dyDescent="0.2">
      <c r="B50" s="66">
        <v>92824</v>
      </c>
      <c r="C50" s="64">
        <f t="shared" si="20"/>
        <v>3.0599999999999987</v>
      </c>
      <c r="D50" s="65" t="s">
        <v>551</v>
      </c>
      <c r="E50" s="64"/>
      <c r="F50" s="66" t="s">
        <v>14</v>
      </c>
      <c r="G50" s="67">
        <f>'Dre-Disp. Estruturais'!O29</f>
        <v>108.44</v>
      </c>
      <c r="H50" s="67">
        <v>56.35</v>
      </c>
      <c r="I50" s="67">
        <f t="shared" si="24"/>
        <v>13.54</v>
      </c>
      <c r="J50" s="67">
        <f t="shared" si="25"/>
        <v>69.89</v>
      </c>
      <c r="K50" s="67">
        <f t="shared" si="26"/>
        <v>7578.87</v>
      </c>
      <c r="L50" s="68">
        <f>K50/$K$178</f>
        <v>3.9277849388362701E-3</v>
      </c>
    </row>
    <row r="51" spans="2:12" ht="39" customHeight="1" x14ac:dyDescent="0.2">
      <c r="B51" s="66">
        <v>92826</v>
      </c>
      <c r="C51" s="64">
        <f t="shared" si="20"/>
        <v>3.0699999999999985</v>
      </c>
      <c r="D51" s="65" t="s">
        <v>552</v>
      </c>
      <c r="E51" s="64"/>
      <c r="F51" s="66" t="s">
        <v>14</v>
      </c>
      <c r="G51" s="67">
        <f>'Dre-Disp. Estruturais'!O30</f>
        <v>202.36</v>
      </c>
      <c r="H51" s="67">
        <v>78.23</v>
      </c>
      <c r="I51" s="67">
        <f t="shared" si="24"/>
        <v>18.8</v>
      </c>
      <c r="J51" s="67">
        <f t="shared" si="25"/>
        <v>97.03</v>
      </c>
      <c r="K51" s="67">
        <f t="shared" si="26"/>
        <v>19634.990000000002</v>
      </c>
      <c r="L51" s="68">
        <f>K51/$K$178</f>
        <v>1.0175925698184662E-2</v>
      </c>
    </row>
    <row r="52" spans="2:12" ht="39" customHeight="1" x14ac:dyDescent="0.2">
      <c r="B52" s="66">
        <v>92828</v>
      </c>
      <c r="C52" s="64">
        <f t="shared" si="20"/>
        <v>3.0799999999999983</v>
      </c>
      <c r="D52" s="65" t="s">
        <v>553</v>
      </c>
      <c r="E52" s="64"/>
      <c r="F52" s="66" t="s">
        <v>14</v>
      </c>
      <c r="G52" s="67">
        <f>'Dre-Disp. Estruturais'!O31</f>
        <v>10</v>
      </c>
      <c r="H52" s="67">
        <v>101.13</v>
      </c>
      <c r="I52" s="67">
        <f t="shared" si="24"/>
        <v>24.3</v>
      </c>
      <c r="J52" s="67">
        <f t="shared" si="25"/>
        <v>125.42999999999999</v>
      </c>
      <c r="K52" s="67">
        <f t="shared" si="26"/>
        <v>1254.3</v>
      </c>
      <c r="L52" s="68">
        <f>K52/$K$178</f>
        <v>6.5004686038714656E-4</v>
      </c>
    </row>
    <row r="53" spans="2:12" ht="12.95" customHeight="1" x14ac:dyDescent="0.2">
      <c r="B53" s="66"/>
      <c r="C53" s="64"/>
      <c r="D53" s="71"/>
      <c r="E53" s="64"/>
      <c r="F53" s="70"/>
      <c r="G53" s="67"/>
      <c r="H53" s="216"/>
      <c r="I53" s="67"/>
      <c r="J53" s="67"/>
      <c r="K53" s="67"/>
      <c r="L53" s="68"/>
    </row>
    <row r="54" spans="2:12" ht="12.95" customHeight="1" x14ac:dyDescent="0.2">
      <c r="B54" s="66"/>
      <c r="C54" s="64"/>
      <c r="D54" s="97" t="s">
        <v>376</v>
      </c>
      <c r="E54" s="64"/>
      <c r="F54" s="66"/>
      <c r="G54" s="67"/>
      <c r="H54" s="216"/>
      <c r="I54" s="67"/>
      <c r="J54" s="67"/>
      <c r="K54" s="67"/>
      <c r="L54" s="68"/>
    </row>
    <row r="55" spans="2:12" ht="26.1" customHeight="1" x14ac:dyDescent="0.2">
      <c r="B55" s="66">
        <v>100947</v>
      </c>
      <c r="C55" s="64">
        <f>IF(G55&gt;0,C52+0.01,C52)</f>
        <v>3.0899999999999981</v>
      </c>
      <c r="D55" s="65" t="s">
        <v>391</v>
      </c>
      <c r="E55" s="64">
        <f>'Dre-Disp. Estruturais'!E38</f>
        <v>30</v>
      </c>
      <c r="F55" s="66" t="s">
        <v>31</v>
      </c>
      <c r="G55" s="67">
        <f>'Dre-Disp. Estruturais'!O38</f>
        <v>8942.4</v>
      </c>
      <c r="H55" s="67">
        <v>2.1800000000000002</v>
      </c>
      <c r="I55" s="67">
        <f t="shared" ref="I55:I56" si="27">ROUND((H55*$L$6),2)</f>
        <v>0.52</v>
      </c>
      <c r="J55" s="67">
        <f t="shared" ref="J55" si="28">H55+I55</f>
        <v>2.7</v>
      </c>
      <c r="K55" s="67">
        <f t="shared" ref="K55:K56" si="29">ROUND((G55*J55),2)</f>
        <v>24144.48</v>
      </c>
      <c r="L55" s="68">
        <f>K55/$K$178</f>
        <v>1.2512990049972297E-2</v>
      </c>
    </row>
    <row r="56" spans="2:12" ht="26.1" customHeight="1" x14ac:dyDescent="0.2">
      <c r="B56" s="66">
        <v>100948</v>
      </c>
      <c r="C56" s="64">
        <f t="shared" si="20"/>
        <v>3.0999999999999979</v>
      </c>
      <c r="D56" s="65" t="s">
        <v>392</v>
      </c>
      <c r="E56" s="64">
        <f>'Dre-Disp. Estruturais'!E39</f>
        <v>430</v>
      </c>
      <c r="F56" s="66" t="s">
        <v>31</v>
      </c>
      <c r="G56" s="67">
        <f>'Dre-Disp. Estruturais'!O39</f>
        <v>128174.39999999999</v>
      </c>
      <c r="H56" s="67">
        <v>0.87</v>
      </c>
      <c r="I56" s="67">
        <f t="shared" si="27"/>
        <v>0.21</v>
      </c>
      <c r="J56" s="67">
        <f t="shared" ref="J56" si="30">H56+I56</f>
        <v>1.08</v>
      </c>
      <c r="K56" s="67">
        <f t="shared" si="29"/>
        <v>138428.35</v>
      </c>
      <c r="L56" s="68">
        <f>K56/$K$178</f>
        <v>7.1741141916665127E-2</v>
      </c>
    </row>
    <row r="57" spans="2:12" ht="12.95" customHeight="1" x14ac:dyDescent="0.2">
      <c r="B57" s="66"/>
      <c r="C57" s="64"/>
      <c r="D57" s="71"/>
      <c r="E57" s="64"/>
      <c r="F57" s="70"/>
      <c r="G57" s="67"/>
      <c r="H57" s="216"/>
      <c r="I57" s="67"/>
      <c r="J57" s="67"/>
      <c r="K57" s="67"/>
      <c r="L57" s="68"/>
    </row>
    <row r="58" spans="2:12" ht="12.95" customHeight="1" x14ac:dyDescent="0.2">
      <c r="B58" s="66"/>
      <c r="C58" s="64"/>
      <c r="D58" s="97" t="s">
        <v>32</v>
      </c>
      <c r="E58" s="64"/>
      <c r="F58" s="66"/>
      <c r="G58" s="67"/>
      <c r="H58" s="216"/>
      <c r="I58" s="67"/>
      <c r="J58" s="67"/>
      <c r="K58" s="67"/>
      <c r="L58" s="68"/>
    </row>
    <row r="59" spans="2:12" ht="65.099999999999994" customHeight="1" x14ac:dyDescent="0.2">
      <c r="B59" s="69" t="str">
        <f>'DR-05 - Comp. PV-1'!B11</f>
        <v>DR-05</v>
      </c>
      <c r="C59" s="64">
        <f>IF(G59&gt;0,C56+0.01,C56)</f>
        <v>3.1099999999999977</v>
      </c>
      <c r="D59" s="65" t="str">
        <f>'DR-05 - Comp. PV-1'!$C$11</f>
        <v>PV-1 - Poço de visita em alvenaria, 2,32m x 2,32m, em alvenaria de tijolo comum de 1 vez assentadae revestida internamente com argamassa de cimento e areia 1:3, lastro de brita 12cm, berço 18cm em concreto fck = 15MPa, laje de 12cm em concreto armado fck = 20MPa, incluindo forma, escavação manual e reaterro apiloado, conforme projeto tipo, exclusive pescoço e tampão</v>
      </c>
      <c r="E59" s="64"/>
      <c r="F59" s="66" t="str">
        <f>'DR-05 - Comp. PV-1'!$G$11</f>
        <v>un.</v>
      </c>
      <c r="G59" s="67">
        <f>'Dre-Disp. Estruturais'!O45</f>
        <v>5</v>
      </c>
      <c r="H59" s="67">
        <f>'DR-05 - Comp. PV-1'!$I$52</f>
        <v>4952.6600000000008</v>
      </c>
      <c r="I59" s="67">
        <f t="shared" ref="I59:I62" si="31">ROUND((H59*$L$6),2)</f>
        <v>1190.1199999999999</v>
      </c>
      <c r="J59" s="67">
        <f t="shared" ref="J59" si="32">H59+I59</f>
        <v>6142.7800000000007</v>
      </c>
      <c r="K59" s="67">
        <f>ROUND((G59*J59),2)</f>
        <v>30713.9</v>
      </c>
      <c r="L59" s="68">
        <f>K59/$K$178</f>
        <v>1.5917622789798917E-2</v>
      </c>
    </row>
    <row r="60" spans="2:12" ht="26.1" customHeight="1" x14ac:dyDescent="0.2">
      <c r="B60" s="63">
        <v>100978</v>
      </c>
      <c r="C60" s="64">
        <f t="shared" ref="C60" si="33">IF(G60&gt;0,C59+0.01,C59)</f>
        <v>3.1199999999999974</v>
      </c>
      <c r="D60" s="65" t="s">
        <v>371</v>
      </c>
      <c r="E60" s="64"/>
      <c r="F60" s="66" t="s">
        <v>16</v>
      </c>
      <c r="G60" s="67">
        <f>'Dre-Disp. Estruturais'!O49</f>
        <v>12.5</v>
      </c>
      <c r="H60" s="67">
        <v>6.8</v>
      </c>
      <c r="I60" s="67">
        <f t="shared" si="31"/>
        <v>1.63</v>
      </c>
      <c r="J60" s="67">
        <f t="shared" ref="J60:J62" si="34">H60+I60</f>
        <v>8.43</v>
      </c>
      <c r="K60" s="67">
        <f t="shared" ref="K60:K62" si="35">ROUND((G60*J60),2)</f>
        <v>105.38</v>
      </c>
      <c r="L60" s="68">
        <f>K60/$K$178</f>
        <v>5.4613679460733087E-5</v>
      </c>
    </row>
    <row r="61" spans="2:12" ht="26.1" customHeight="1" x14ac:dyDescent="0.2">
      <c r="B61" s="66">
        <v>95875</v>
      </c>
      <c r="C61" s="64">
        <f t="shared" ref="C61:C62" si="36">IF(G61&gt;0,C60+0.01,C60)</f>
        <v>3.1299999999999972</v>
      </c>
      <c r="D61" s="65" t="s">
        <v>409</v>
      </c>
      <c r="E61" s="64">
        <f>'Dre-Disp. Estruturais'!E50</f>
        <v>30</v>
      </c>
      <c r="F61" s="66" t="s">
        <v>17</v>
      </c>
      <c r="G61" s="67">
        <f>'Dre-Disp. Estruturais'!O50</f>
        <v>375</v>
      </c>
      <c r="H61" s="67">
        <v>2.4300000000000002</v>
      </c>
      <c r="I61" s="67">
        <f t="shared" si="31"/>
        <v>0.57999999999999996</v>
      </c>
      <c r="J61" s="67">
        <f t="shared" si="34"/>
        <v>3.0100000000000002</v>
      </c>
      <c r="K61" s="67">
        <f t="shared" si="35"/>
        <v>1128.75</v>
      </c>
      <c r="L61" s="68">
        <f>K61/$K$178</f>
        <v>5.8497998378537175E-4</v>
      </c>
    </row>
    <row r="62" spans="2:12" ht="26.1" customHeight="1" x14ac:dyDescent="0.2">
      <c r="B62" s="66">
        <v>93590</v>
      </c>
      <c r="C62" s="64">
        <f t="shared" si="36"/>
        <v>3.139999999999997</v>
      </c>
      <c r="D62" s="65" t="s">
        <v>410</v>
      </c>
      <c r="E62" s="64">
        <f>'Dre-Disp. Estruturais'!E51</f>
        <v>19</v>
      </c>
      <c r="F62" s="66" t="s">
        <v>17</v>
      </c>
      <c r="G62" s="67">
        <f>'Dre-Disp. Estruturais'!O51</f>
        <v>237.5</v>
      </c>
      <c r="H62" s="67">
        <v>0.95</v>
      </c>
      <c r="I62" s="67">
        <f t="shared" si="31"/>
        <v>0.23</v>
      </c>
      <c r="J62" s="67">
        <f t="shared" si="34"/>
        <v>1.18</v>
      </c>
      <c r="K62" s="67">
        <f t="shared" si="35"/>
        <v>280.25</v>
      </c>
      <c r="L62" s="68">
        <f>K62/$K$178</f>
        <v>1.4524087748026614E-4</v>
      </c>
    </row>
    <row r="63" spans="2:12" ht="12.95" customHeight="1" x14ac:dyDescent="0.2">
      <c r="B63" s="99"/>
      <c r="C63" s="74"/>
      <c r="D63" s="100"/>
      <c r="E63" s="74"/>
      <c r="F63" s="75"/>
      <c r="G63" s="76"/>
      <c r="H63" s="76"/>
      <c r="I63" s="76"/>
      <c r="J63" s="76"/>
      <c r="K63" s="76"/>
      <c r="L63" s="101"/>
    </row>
    <row r="64" spans="2:12" s="60" customFormat="1" ht="15" customHeight="1" x14ac:dyDescent="0.2">
      <c r="B64" s="86"/>
      <c r="C64" s="86"/>
      <c r="D64" s="86"/>
      <c r="E64" s="285" t="str">
        <f>CONCATENATE("SUBTOTAL ",C40)</f>
        <v>SUBTOTAL 3</v>
      </c>
      <c r="F64" s="285"/>
      <c r="G64" s="285"/>
      <c r="H64" s="223"/>
      <c r="I64" s="284"/>
      <c r="J64" s="284"/>
      <c r="K64" s="224">
        <f>SUM(K40:K63)</f>
        <v>443857.12</v>
      </c>
      <c r="L64" s="88">
        <f>SUM(L40:L63)</f>
        <v>0.23003103509246672</v>
      </c>
    </row>
    <row r="65" spans="2:12" ht="5.0999999999999996" customHeight="1" x14ac:dyDescent="0.2"/>
    <row r="66" spans="2:12" s="60" customFormat="1" ht="15" customHeight="1" x14ac:dyDescent="0.2">
      <c r="B66" s="89"/>
      <c r="C66" s="90">
        <v>4</v>
      </c>
      <c r="D66" s="91" t="s">
        <v>607</v>
      </c>
      <c r="E66" s="92"/>
      <c r="F66" s="92"/>
      <c r="G66" s="92"/>
      <c r="H66" s="92"/>
      <c r="I66" s="92"/>
      <c r="J66" s="92"/>
      <c r="K66" s="92"/>
      <c r="L66" s="93"/>
    </row>
    <row r="67" spans="2:12" ht="12.95" customHeight="1" x14ac:dyDescent="0.2">
      <c r="B67" s="94"/>
      <c r="C67" s="95"/>
      <c r="D67" s="61"/>
      <c r="E67" s="95"/>
      <c r="F67" s="94"/>
      <c r="G67" s="62"/>
      <c r="H67" s="62"/>
      <c r="I67" s="62"/>
      <c r="J67" s="62"/>
      <c r="K67" s="62"/>
      <c r="L67" s="96"/>
    </row>
    <row r="68" spans="2:12" ht="12.95" customHeight="1" x14ac:dyDescent="0.2">
      <c r="B68" s="66"/>
      <c r="C68" s="64"/>
      <c r="D68" s="97" t="s">
        <v>33</v>
      </c>
      <c r="E68" s="64"/>
      <c r="F68" s="66"/>
      <c r="G68" s="67"/>
      <c r="H68" s="216"/>
      <c r="I68" s="67"/>
      <c r="J68" s="67"/>
      <c r="K68" s="67"/>
      <c r="L68" s="68"/>
    </row>
    <row r="69" spans="2:12" ht="26.1" customHeight="1" x14ac:dyDescent="0.2">
      <c r="B69" s="66">
        <v>98051</v>
      </c>
      <c r="C69" s="64">
        <f>IF(G69&gt;0,C66+0.01,C66)</f>
        <v>4.01</v>
      </c>
      <c r="D69" s="65" t="s">
        <v>45</v>
      </c>
      <c r="E69" s="64"/>
      <c r="F69" s="66" t="s">
        <v>14</v>
      </c>
      <c r="G69" s="67">
        <f>'Dre-Disp. Estruturais'!O52</f>
        <v>5</v>
      </c>
      <c r="H69" s="67">
        <v>971.57</v>
      </c>
      <c r="I69" s="67">
        <f t="shared" ref="I69:I70" si="37">ROUND((H69*$L$6),2)</f>
        <v>233.47</v>
      </c>
      <c r="J69" s="67">
        <f t="shared" ref="J69:J70" si="38">H69+I69</f>
        <v>1205.04</v>
      </c>
      <c r="K69" s="67">
        <f>ROUND((G69*J69),2)</f>
        <v>6025.2</v>
      </c>
      <c r="L69" s="68">
        <f>K69/$K$178</f>
        <v>3.1225881712545929E-3</v>
      </c>
    </row>
    <row r="70" spans="2:12" ht="12.95" customHeight="1" x14ac:dyDescent="0.2">
      <c r="B70" s="66">
        <v>98114</v>
      </c>
      <c r="C70" s="64">
        <f t="shared" ref="C70" si="39">IF(G70&gt;0,C69+0.01,C69)</f>
        <v>4.0199999999999996</v>
      </c>
      <c r="D70" s="65" t="s">
        <v>406</v>
      </c>
      <c r="E70" s="64"/>
      <c r="F70" s="70" t="s">
        <v>15</v>
      </c>
      <c r="G70" s="67">
        <f>'Dre-Disp. Estruturais'!O53</f>
        <v>5</v>
      </c>
      <c r="H70" s="67">
        <v>684.18</v>
      </c>
      <c r="I70" s="67">
        <f t="shared" si="37"/>
        <v>164.41</v>
      </c>
      <c r="J70" s="67">
        <f t="shared" si="38"/>
        <v>848.58999999999992</v>
      </c>
      <c r="K70" s="67">
        <f>ROUND((G70*J70),1)</f>
        <v>4243</v>
      </c>
      <c r="L70" s="68">
        <f>K70/$K$178</f>
        <v>2.1989546588716121E-3</v>
      </c>
    </row>
    <row r="71" spans="2:12" ht="12.95" customHeight="1" x14ac:dyDescent="0.2">
      <c r="B71" s="66"/>
      <c r="C71" s="64"/>
      <c r="D71" s="71"/>
      <c r="E71" s="64"/>
      <c r="F71" s="70"/>
      <c r="G71" s="67"/>
      <c r="H71" s="216"/>
      <c r="I71" s="67"/>
      <c r="J71" s="67"/>
      <c r="K71" s="67"/>
      <c r="L71" s="68"/>
    </row>
    <row r="72" spans="2:12" ht="12.95" customHeight="1" x14ac:dyDescent="0.2">
      <c r="B72" s="66"/>
      <c r="C72" s="64"/>
      <c r="D72" s="97" t="s">
        <v>34</v>
      </c>
      <c r="E72" s="64"/>
      <c r="F72" s="66"/>
      <c r="G72" s="67"/>
      <c r="H72" s="216"/>
      <c r="I72" s="67"/>
      <c r="J72" s="67"/>
      <c r="K72" s="67"/>
      <c r="L72" s="68"/>
    </row>
    <row r="73" spans="2:12" ht="26.1" customHeight="1" x14ac:dyDescent="0.2">
      <c r="B73" s="69" t="str">
        <f>'DR-17 - Comp. BLSC'!$B$11</f>
        <v>DR-17</v>
      </c>
      <c r="C73" s="64">
        <f>IF(G73&gt;0,C70+0.01,C70)</f>
        <v>4.0299999999999994</v>
      </c>
      <c r="D73" s="65" t="str">
        <f>'DR-17 - Comp. BLSC'!$C$11</f>
        <v>BLSC - Boca de lobo simples, em concreto simples fck = 20MPa, incluindo forma, escavação, calçamento ao redor e grelha em FºFº tipo pesada, conforme projeto tipo</v>
      </c>
      <c r="E73" s="64"/>
      <c r="F73" s="66" t="str">
        <f>'DR-17 - Comp. BLSC'!$G$11</f>
        <v>un.</v>
      </c>
      <c r="G73" s="67">
        <f>'Dre-Disp. Estruturais'!O56</f>
        <v>42</v>
      </c>
      <c r="H73" s="67">
        <f>'DR-17 - Comp. BLSC'!$I$49</f>
        <v>1490.5399999999997</v>
      </c>
      <c r="I73" s="67">
        <f t="shared" ref="I73:I76" si="40">ROUND((H73*$L$6),2)</f>
        <v>358.18</v>
      </c>
      <c r="J73" s="67">
        <f t="shared" ref="J73" si="41">H73+I73</f>
        <v>1848.7199999999998</v>
      </c>
      <c r="K73" s="67">
        <f>ROUND((G73*J73),1)</f>
        <v>77646.2</v>
      </c>
      <c r="L73" s="68">
        <f>K73/$K$178</f>
        <v>4.0240507479065983E-2</v>
      </c>
    </row>
    <row r="74" spans="2:12" ht="39" customHeight="1" x14ac:dyDescent="0.2">
      <c r="B74" s="63">
        <v>100978</v>
      </c>
      <c r="C74" s="64">
        <f>IF(G74&gt;0,C73+0.01,C73)</f>
        <v>4.0399999999999991</v>
      </c>
      <c r="D74" s="65" t="s">
        <v>371</v>
      </c>
      <c r="E74" s="64"/>
      <c r="F74" s="66" t="s">
        <v>16</v>
      </c>
      <c r="G74" s="67">
        <f>'Dre-Disp. Estruturais'!O58</f>
        <v>17.960000000000004</v>
      </c>
      <c r="H74" s="67">
        <v>6.8</v>
      </c>
      <c r="I74" s="67">
        <f t="shared" si="40"/>
        <v>1.63</v>
      </c>
      <c r="J74" s="67">
        <f t="shared" ref="J74:J76" si="42">H74+I74</f>
        <v>8.43</v>
      </c>
      <c r="K74" s="67">
        <f>ROUND((G74*J74),2)</f>
        <v>151.4</v>
      </c>
      <c r="L74" s="68">
        <f>K74/$K$178</f>
        <v>7.8463760394334694E-5</v>
      </c>
    </row>
    <row r="75" spans="2:12" ht="26.1" customHeight="1" x14ac:dyDescent="0.2">
      <c r="B75" s="66">
        <v>95875</v>
      </c>
      <c r="C75" s="64">
        <f t="shared" ref="C75:C76" si="43">IF(G75&gt;0,C74+0.01,C74)</f>
        <v>4.0499999999999989</v>
      </c>
      <c r="D75" s="65" t="s">
        <v>411</v>
      </c>
      <c r="E75" s="64">
        <f>'Dre-Disp. Estruturais'!E59</f>
        <v>30</v>
      </c>
      <c r="F75" s="66" t="s">
        <v>17</v>
      </c>
      <c r="G75" s="67">
        <f>'Dre-Disp. Estruturais'!O59</f>
        <v>538.79999999999995</v>
      </c>
      <c r="H75" s="67">
        <v>2.4300000000000002</v>
      </c>
      <c r="I75" s="67">
        <f t="shared" si="40"/>
        <v>0.57999999999999996</v>
      </c>
      <c r="J75" s="67">
        <f t="shared" si="42"/>
        <v>3.0100000000000002</v>
      </c>
      <c r="K75" s="67">
        <f>ROUND((G75*J75),2)</f>
        <v>1621.79</v>
      </c>
      <c r="L75" s="68">
        <f>K75/$K$178</f>
        <v>8.4050027721220642E-4</v>
      </c>
    </row>
    <row r="76" spans="2:12" ht="26.1" customHeight="1" x14ac:dyDescent="0.2">
      <c r="B76" s="66">
        <v>93590</v>
      </c>
      <c r="C76" s="64">
        <f t="shared" si="43"/>
        <v>4.0599999999999987</v>
      </c>
      <c r="D76" s="65" t="s">
        <v>412</v>
      </c>
      <c r="E76" s="64">
        <f>'Dre-Disp. Estruturais'!E60</f>
        <v>19</v>
      </c>
      <c r="F76" s="66" t="s">
        <v>17</v>
      </c>
      <c r="G76" s="67">
        <f>'Dre-Disp. Estruturais'!O60</f>
        <v>341.24</v>
      </c>
      <c r="H76" s="67">
        <v>0.95</v>
      </c>
      <c r="I76" s="67">
        <f t="shared" si="40"/>
        <v>0.23</v>
      </c>
      <c r="J76" s="67">
        <f t="shared" si="42"/>
        <v>1.18</v>
      </c>
      <c r="K76" s="67">
        <f t="shared" ref="K76" si="44">ROUND((G76*J76),1)</f>
        <v>402.7</v>
      </c>
      <c r="L76" s="68">
        <f>K76/$K$178</f>
        <v>2.0870116453631821E-4</v>
      </c>
    </row>
    <row r="77" spans="2:12" ht="12.95" customHeight="1" x14ac:dyDescent="0.2">
      <c r="B77" s="99"/>
      <c r="C77" s="74"/>
      <c r="D77" s="100"/>
      <c r="E77" s="74"/>
      <c r="F77" s="75"/>
      <c r="G77" s="76"/>
      <c r="H77" s="76"/>
      <c r="I77" s="76"/>
      <c r="J77" s="76"/>
      <c r="K77" s="76"/>
      <c r="L77" s="101"/>
    </row>
    <row r="78" spans="2:12" s="60" customFormat="1" ht="15" customHeight="1" x14ac:dyDescent="0.2">
      <c r="B78" s="86"/>
      <c r="C78" s="86"/>
      <c r="D78" s="86"/>
      <c r="E78" s="285" t="str">
        <f>CONCATENATE("SUBTOTAL ",C66)</f>
        <v>SUBTOTAL 4</v>
      </c>
      <c r="F78" s="285"/>
      <c r="G78" s="285"/>
      <c r="H78" s="223"/>
      <c r="I78" s="284"/>
      <c r="J78" s="284"/>
      <c r="K78" s="224">
        <f>SUM(K66:K77)</f>
        <v>90090.289999999979</v>
      </c>
      <c r="L78" s="88">
        <f>SUM(L66:L77)</f>
        <v>4.6689715511335043E-2</v>
      </c>
    </row>
    <row r="79" spans="2:12" ht="5.0999999999999996" customHeight="1" x14ac:dyDescent="0.2"/>
    <row r="80" spans="2:12" s="60" customFormat="1" ht="15" customHeight="1" x14ac:dyDescent="0.2">
      <c r="B80" s="89"/>
      <c r="C80" s="90">
        <v>5</v>
      </c>
      <c r="D80" s="91" t="s">
        <v>38</v>
      </c>
      <c r="E80" s="92"/>
      <c r="F80" s="92"/>
      <c r="G80" s="92"/>
      <c r="H80" s="92"/>
      <c r="I80" s="92"/>
      <c r="J80" s="92"/>
      <c r="K80" s="92"/>
      <c r="L80" s="93"/>
    </row>
    <row r="81" spans="2:17" ht="12.95" customHeight="1" x14ac:dyDescent="0.2">
      <c r="B81" s="94"/>
      <c r="C81" s="95"/>
      <c r="D81" s="61"/>
      <c r="E81" s="95"/>
      <c r="F81" s="94"/>
      <c r="G81" s="62"/>
      <c r="H81" s="62"/>
      <c r="I81" s="62"/>
      <c r="J81" s="62"/>
      <c r="K81" s="62"/>
      <c r="L81" s="96"/>
    </row>
    <row r="82" spans="2:17" ht="12.95" customHeight="1" x14ac:dyDescent="0.2">
      <c r="B82" s="66"/>
      <c r="C82" s="64"/>
      <c r="D82" s="97" t="s">
        <v>591</v>
      </c>
      <c r="E82" s="64"/>
      <c r="F82" s="66"/>
      <c r="G82" s="67"/>
      <c r="H82" s="67"/>
      <c r="I82" s="67"/>
      <c r="J82" s="67"/>
      <c r="K82" s="67"/>
      <c r="L82" s="68"/>
    </row>
    <row r="83" spans="2:17" ht="26.1" customHeight="1" x14ac:dyDescent="0.2">
      <c r="B83" s="66">
        <v>101115</v>
      </c>
      <c r="C83" s="64">
        <f>IF(G83&gt;0,C80+0.01,C80)</f>
        <v>5.01</v>
      </c>
      <c r="D83" s="65" t="s">
        <v>379</v>
      </c>
      <c r="E83" s="64"/>
      <c r="F83" s="66" t="s">
        <v>16</v>
      </c>
      <c r="G83" s="67">
        <f>'Pav-Terrapl'!P20</f>
        <v>2513.2199999999998</v>
      </c>
      <c r="H83" s="67">
        <v>3.61</v>
      </c>
      <c r="I83" s="67">
        <f t="shared" ref="I83:I86" si="45">ROUND((H83*$L$6),2)</f>
        <v>0.87</v>
      </c>
      <c r="J83" s="67">
        <f t="shared" ref="J83:J86" si="46">H83+I83</f>
        <v>4.4799999999999995</v>
      </c>
      <c r="K83" s="67">
        <f t="shared" ref="K83:K86" si="47">ROUND((G83*J83),2)</f>
        <v>11259.23</v>
      </c>
      <c r="L83" s="68">
        <f>K83/$K$178</f>
        <v>5.8351487777061088E-3</v>
      </c>
    </row>
    <row r="84" spans="2:17" ht="26.1" customHeight="1" x14ac:dyDescent="0.2">
      <c r="B84" s="63">
        <v>100978</v>
      </c>
      <c r="C84" s="64">
        <f t="shared" ref="C84:C86" si="48">IF(G84&gt;0,C83+0.01,C83)</f>
        <v>5.0199999999999996</v>
      </c>
      <c r="D84" s="65" t="s">
        <v>371</v>
      </c>
      <c r="E84" s="64"/>
      <c r="F84" s="66" t="s">
        <v>16</v>
      </c>
      <c r="G84" s="67">
        <f>'Pav-Terrapl'!P21</f>
        <v>3267.1400000000003</v>
      </c>
      <c r="H84" s="67">
        <v>6.8</v>
      </c>
      <c r="I84" s="67">
        <f t="shared" si="45"/>
        <v>1.63</v>
      </c>
      <c r="J84" s="67">
        <f t="shared" si="46"/>
        <v>8.43</v>
      </c>
      <c r="K84" s="67">
        <f t="shared" si="47"/>
        <v>27541.99</v>
      </c>
      <c r="L84" s="68">
        <f>K84/$K$178</f>
        <v>1.4273765549162234E-2</v>
      </c>
    </row>
    <row r="85" spans="2:17" ht="26.1" customHeight="1" x14ac:dyDescent="0.2">
      <c r="B85" s="66">
        <v>95875</v>
      </c>
      <c r="C85" s="64">
        <f t="shared" si="48"/>
        <v>5.0299999999999994</v>
      </c>
      <c r="D85" s="65" t="s">
        <v>408</v>
      </c>
      <c r="E85" s="64">
        <f>'Pav-Terrapl'!$E$22</f>
        <v>6.4</v>
      </c>
      <c r="F85" s="66" t="s">
        <v>17</v>
      </c>
      <c r="G85" s="67">
        <f>'Pav-Terrapl'!P22</f>
        <v>20909.669999999995</v>
      </c>
      <c r="H85" s="67">
        <v>2.4300000000000002</v>
      </c>
      <c r="I85" s="67">
        <f t="shared" si="45"/>
        <v>0.57999999999999996</v>
      </c>
      <c r="J85" s="67">
        <f t="shared" si="46"/>
        <v>3.0100000000000002</v>
      </c>
      <c r="K85" s="67">
        <f t="shared" si="47"/>
        <v>62938.11</v>
      </c>
      <c r="L85" s="68">
        <f>K85/$K$178</f>
        <v>3.2617970823727083E-2</v>
      </c>
    </row>
    <row r="86" spans="2:17" ht="12.95" customHeight="1" x14ac:dyDescent="0.2">
      <c r="B86" s="66">
        <v>100574</v>
      </c>
      <c r="C86" s="64">
        <f t="shared" si="48"/>
        <v>5.0399999999999991</v>
      </c>
      <c r="D86" s="65" t="s">
        <v>351</v>
      </c>
      <c r="E86" s="64"/>
      <c r="F86" s="66" t="s">
        <v>16</v>
      </c>
      <c r="G86" s="67">
        <f>'Pav-Terrapl'!P23</f>
        <v>3267.1400000000003</v>
      </c>
      <c r="H86" s="67">
        <v>1.35</v>
      </c>
      <c r="I86" s="67">
        <f t="shared" si="45"/>
        <v>0.32</v>
      </c>
      <c r="J86" s="67">
        <f t="shared" si="46"/>
        <v>1.6700000000000002</v>
      </c>
      <c r="K86" s="67">
        <f t="shared" si="47"/>
        <v>5456.12</v>
      </c>
      <c r="L86" s="68">
        <f>K86/$K$178</f>
        <v>2.8276597910352535E-3</v>
      </c>
    </row>
    <row r="87" spans="2:17" ht="12.95" customHeight="1" x14ac:dyDescent="0.2">
      <c r="B87" s="99"/>
      <c r="C87" s="74"/>
      <c r="D87" s="100"/>
      <c r="E87" s="74"/>
      <c r="F87" s="75"/>
      <c r="G87" s="76"/>
      <c r="H87" s="76"/>
      <c r="I87" s="76"/>
      <c r="J87" s="76"/>
      <c r="K87" s="76"/>
      <c r="L87" s="101"/>
    </row>
    <row r="88" spans="2:17" s="60" customFormat="1" ht="15" customHeight="1" x14ac:dyDescent="0.2">
      <c r="B88" s="86"/>
      <c r="C88" s="86"/>
      <c r="D88" s="86"/>
      <c r="E88" s="285" t="str">
        <f>CONCATENATE("SUBTOTAL ",C80)</f>
        <v>SUBTOTAL 5</v>
      </c>
      <c r="F88" s="285"/>
      <c r="G88" s="285"/>
      <c r="H88" s="223"/>
      <c r="I88" s="284"/>
      <c r="J88" s="284"/>
      <c r="K88" s="224">
        <f>SUM(K80:K87)</f>
        <v>107195.45</v>
      </c>
      <c r="L88" s="88">
        <f>SUM(L80:L87)</f>
        <v>5.5554544941630681E-2</v>
      </c>
    </row>
    <row r="89" spans="2:17" ht="5.0999999999999996" customHeight="1" x14ac:dyDescent="0.2"/>
    <row r="90" spans="2:17" s="60" customFormat="1" ht="15" customHeight="1" x14ac:dyDescent="0.2">
      <c r="B90" s="89"/>
      <c r="C90" s="90">
        <v>6</v>
      </c>
      <c r="D90" s="91" t="s">
        <v>39</v>
      </c>
      <c r="E90" s="92"/>
      <c r="F90" s="92"/>
      <c r="G90" s="92"/>
      <c r="H90" s="92"/>
      <c r="I90" s="92"/>
      <c r="J90" s="92"/>
      <c r="K90" s="92"/>
      <c r="L90" s="93"/>
    </row>
    <row r="91" spans="2:17" ht="12.95" customHeight="1" x14ac:dyDescent="0.2">
      <c r="B91" s="94"/>
      <c r="C91" s="95"/>
      <c r="D91" s="61"/>
      <c r="E91" s="95"/>
      <c r="F91" s="94"/>
      <c r="G91" s="62"/>
      <c r="H91" s="62"/>
      <c r="I91" s="62"/>
      <c r="J91" s="62"/>
      <c r="K91" s="62"/>
      <c r="L91" s="96"/>
    </row>
    <row r="92" spans="2:17" ht="12.95" customHeight="1" x14ac:dyDescent="0.2">
      <c r="B92" s="66"/>
      <c r="C92" s="64"/>
      <c r="D92" s="97" t="s">
        <v>35</v>
      </c>
      <c r="E92" s="64"/>
      <c r="F92" s="66"/>
      <c r="G92" s="67"/>
      <c r="H92" s="67"/>
      <c r="I92" s="67"/>
      <c r="J92" s="67"/>
      <c r="K92" s="67"/>
      <c r="L92" s="68"/>
    </row>
    <row r="93" spans="2:17" ht="12.95" customHeight="1" x14ac:dyDescent="0.2">
      <c r="B93" s="66">
        <v>100576</v>
      </c>
      <c r="C93" s="64">
        <f>IF(G93&gt;0,C90+0.01,C90)</f>
        <v>6.01</v>
      </c>
      <c r="D93" s="65" t="s">
        <v>413</v>
      </c>
      <c r="E93" s="64"/>
      <c r="F93" s="66" t="s">
        <v>13</v>
      </c>
      <c r="G93" s="67">
        <f>'Pav-Pavimento'!Q21</f>
        <v>8493.0899999999983</v>
      </c>
      <c r="H93" s="67">
        <v>2.02</v>
      </c>
      <c r="I93" s="67">
        <f t="shared" ref="I93" si="49">ROUND((H93*$L$6),2)</f>
        <v>0.49</v>
      </c>
      <c r="J93" s="67">
        <f t="shared" ref="J93" si="50">H93+I93</f>
        <v>2.5099999999999998</v>
      </c>
      <c r="K93" s="67">
        <f t="shared" ref="K93" si="51">ROUND((G93*J93),2)</f>
        <v>21317.66</v>
      </c>
      <c r="L93" s="68">
        <f>K93/$K$178</f>
        <v>1.1047977321056095E-2</v>
      </c>
      <c r="Q93" s="132"/>
    </row>
    <row r="94" spans="2:17" ht="12.95" customHeight="1" x14ac:dyDescent="0.2">
      <c r="B94" s="66"/>
      <c r="C94" s="64"/>
      <c r="D94" s="71"/>
      <c r="E94" s="64"/>
      <c r="F94" s="70"/>
      <c r="G94" s="67"/>
      <c r="H94" s="67"/>
      <c r="I94" s="67"/>
      <c r="J94" s="67"/>
      <c r="K94" s="67"/>
      <c r="L94" s="68"/>
    </row>
    <row r="95" spans="2:17" ht="12.95" customHeight="1" x14ac:dyDescent="0.2">
      <c r="B95" s="66"/>
      <c r="C95" s="64"/>
      <c r="D95" s="97" t="s">
        <v>36</v>
      </c>
      <c r="E95" s="64"/>
      <c r="F95" s="66"/>
      <c r="G95" s="67"/>
      <c r="H95" s="216"/>
      <c r="I95" s="67"/>
      <c r="J95" s="67"/>
      <c r="K95" s="67"/>
      <c r="L95" s="68"/>
    </row>
    <row r="96" spans="2:17" ht="39" customHeight="1" x14ac:dyDescent="0.2">
      <c r="B96" s="66">
        <v>96388</v>
      </c>
      <c r="C96" s="64">
        <f>IF(G96&gt;0,C93+0.01,C93)</f>
        <v>6.02</v>
      </c>
      <c r="D96" s="65" t="s">
        <v>402</v>
      </c>
      <c r="E96" s="64"/>
      <c r="F96" s="66" t="s">
        <v>16</v>
      </c>
      <c r="G96" s="67">
        <f>'Pav-Pavimento'!Q25</f>
        <v>1261.67</v>
      </c>
      <c r="H96" s="67">
        <v>8.91</v>
      </c>
      <c r="I96" s="67">
        <f t="shared" ref="I96" si="52">ROUND((H96*$L$6),2)</f>
        <v>2.14</v>
      </c>
      <c r="J96" s="67">
        <f t="shared" ref="J96" si="53">H96+I96</f>
        <v>11.05</v>
      </c>
      <c r="K96" s="67">
        <f t="shared" ref="K96" si="54">ROUND((G96*J96),2)</f>
        <v>13941.45</v>
      </c>
      <c r="L96" s="68">
        <f>K96/$K$178</f>
        <v>7.2252218781347251E-3</v>
      </c>
      <c r="Q96" s="132"/>
    </row>
    <row r="97" spans="2:17" ht="12.95" customHeight="1" x14ac:dyDescent="0.2">
      <c r="B97" s="66"/>
      <c r="C97" s="64"/>
      <c r="D97" s="71"/>
      <c r="E97" s="64"/>
      <c r="F97" s="70"/>
      <c r="G97" s="67"/>
      <c r="H97" s="216"/>
      <c r="I97" s="67"/>
      <c r="J97" s="67"/>
      <c r="K97" s="67"/>
      <c r="L97" s="68"/>
    </row>
    <row r="98" spans="2:17" ht="12.95" customHeight="1" x14ac:dyDescent="0.2">
      <c r="B98" s="66"/>
      <c r="C98" s="64"/>
      <c r="D98" s="97" t="s">
        <v>235</v>
      </c>
      <c r="E98" s="64"/>
      <c r="F98" s="66"/>
      <c r="G98" s="67"/>
      <c r="H98" s="216"/>
      <c r="I98" s="67"/>
      <c r="J98" s="67"/>
      <c r="K98" s="67"/>
      <c r="L98" s="68"/>
    </row>
    <row r="99" spans="2:17" ht="26.1" customHeight="1" x14ac:dyDescent="0.2">
      <c r="B99" s="66">
        <v>101114</v>
      </c>
      <c r="C99" s="64">
        <f>IF(G99&gt;0,C96+0.01,C96)</f>
        <v>6.0299999999999994</v>
      </c>
      <c r="D99" s="65" t="s">
        <v>378</v>
      </c>
      <c r="E99" s="64"/>
      <c r="F99" s="66" t="s">
        <v>16</v>
      </c>
      <c r="G99" s="67">
        <f>'Pav-Pavimento'!Q26</f>
        <v>1261.67</v>
      </c>
      <c r="H99" s="67">
        <v>4.29</v>
      </c>
      <c r="I99" s="67">
        <f t="shared" ref="I99" si="55">ROUND((H99*$L$6),2)</f>
        <v>1.03</v>
      </c>
      <c r="J99" s="67">
        <f t="shared" ref="J99" si="56">H99+I99</f>
        <v>5.32</v>
      </c>
      <c r="K99" s="67">
        <f>ROUND((G99*J99),1)</f>
        <v>6712.1</v>
      </c>
      <c r="L99" s="68">
        <f>K99/$K$178</f>
        <v>3.4785773193052433E-3</v>
      </c>
      <c r="Q99" s="132"/>
    </row>
    <row r="100" spans="2:17" ht="12.95" customHeight="1" x14ac:dyDescent="0.2">
      <c r="B100" s="66"/>
      <c r="C100" s="64"/>
      <c r="D100" s="71"/>
      <c r="E100" s="64"/>
      <c r="F100" s="70"/>
      <c r="G100" s="67"/>
      <c r="H100" s="216"/>
      <c r="I100" s="67"/>
      <c r="J100" s="67"/>
      <c r="K100" s="67"/>
      <c r="L100" s="68"/>
    </row>
    <row r="101" spans="2:17" x14ac:dyDescent="0.2">
      <c r="B101" s="66"/>
      <c r="C101" s="64"/>
      <c r="D101" s="97" t="s">
        <v>234</v>
      </c>
      <c r="E101" s="64"/>
      <c r="F101" s="66"/>
      <c r="G101" s="67"/>
      <c r="H101" s="216"/>
      <c r="I101" s="67"/>
      <c r="J101" s="67"/>
      <c r="K101" s="67"/>
      <c r="L101" s="68"/>
    </row>
    <row r="102" spans="2:17" ht="26.1" customHeight="1" x14ac:dyDescent="0.2">
      <c r="B102" s="63" t="s">
        <v>619</v>
      </c>
      <c r="C102" s="64">
        <f>IF(G102&gt;0,C99+0.01,C99)</f>
        <v>6.0399999999999991</v>
      </c>
      <c r="D102" s="65" t="s">
        <v>271</v>
      </c>
      <c r="E102" s="64"/>
      <c r="F102" s="66" t="s">
        <v>16</v>
      </c>
      <c r="G102" s="67">
        <f>'Pav-Pavimento'!Q27</f>
        <v>1261.67</v>
      </c>
      <c r="H102" s="67">
        <v>55.96</v>
      </c>
      <c r="I102" s="67">
        <f t="shared" ref="I102" si="57">ROUND((H102*$L$6),2)</f>
        <v>13.45</v>
      </c>
      <c r="J102" s="67">
        <f t="shared" ref="J102" si="58">H102+I102</f>
        <v>69.41</v>
      </c>
      <c r="K102" s="67">
        <f t="shared" ref="K102" si="59">ROUND((G102*J102),2)</f>
        <v>87572.51</v>
      </c>
      <c r="L102" s="68">
        <f>K102/$K$178</f>
        <v>4.5384864212486643E-2</v>
      </c>
      <c r="Q102" s="132"/>
    </row>
    <row r="103" spans="2:17" ht="12.95" customHeight="1" x14ac:dyDescent="0.2">
      <c r="B103" s="66"/>
      <c r="C103" s="64"/>
      <c r="D103" s="71"/>
      <c r="E103" s="64"/>
      <c r="F103" s="70"/>
      <c r="G103" s="67"/>
      <c r="H103" s="216"/>
      <c r="I103" s="67"/>
      <c r="J103" s="67"/>
      <c r="K103" s="67"/>
      <c r="L103" s="68"/>
    </row>
    <row r="104" spans="2:17" ht="12.95" customHeight="1" x14ac:dyDescent="0.2">
      <c r="B104" s="66"/>
      <c r="C104" s="64"/>
      <c r="D104" s="97" t="s">
        <v>236</v>
      </c>
      <c r="E104" s="64"/>
      <c r="F104" s="66"/>
      <c r="G104" s="67"/>
      <c r="H104" s="216"/>
      <c r="I104" s="67"/>
      <c r="J104" s="67"/>
      <c r="K104" s="67"/>
      <c r="L104" s="68"/>
    </row>
    <row r="105" spans="2:17" ht="26.1" customHeight="1" x14ac:dyDescent="0.2">
      <c r="B105" s="66">
        <v>95875</v>
      </c>
      <c r="C105" s="64">
        <f>IF(G105&gt;0,C102+0.01,C102)</f>
        <v>6.0499999999999989</v>
      </c>
      <c r="D105" s="65" t="s">
        <v>415</v>
      </c>
      <c r="E105" s="64">
        <f>'Pav-Pavimento'!$F$28</f>
        <v>11.5</v>
      </c>
      <c r="F105" s="66" t="s">
        <v>17</v>
      </c>
      <c r="G105" s="67">
        <f>'Pav-Pavimento'!Q28</f>
        <v>18861.929999999997</v>
      </c>
      <c r="H105" s="67">
        <v>2.4300000000000002</v>
      </c>
      <c r="I105" s="67">
        <f t="shared" ref="I105" si="60">ROUND((H105*$L$6),2)</f>
        <v>0.57999999999999996</v>
      </c>
      <c r="J105" s="67">
        <f t="shared" ref="J105" si="61">H105+I105</f>
        <v>3.0100000000000002</v>
      </c>
      <c r="K105" s="67">
        <f t="shared" ref="K105" si="62">ROUND((G105*J105),2)</f>
        <v>56774.41</v>
      </c>
      <c r="L105" s="68">
        <f>K105/$K$178</f>
        <v>2.9423604377607129E-2</v>
      </c>
      <c r="Q105" s="132"/>
    </row>
    <row r="106" spans="2:17" ht="12.95" customHeight="1" x14ac:dyDescent="0.2">
      <c r="B106" s="66"/>
      <c r="C106" s="64"/>
      <c r="D106" s="71"/>
      <c r="E106" s="64"/>
      <c r="F106" s="70"/>
      <c r="G106" s="67"/>
      <c r="H106" s="216"/>
      <c r="I106" s="67"/>
      <c r="J106" s="67"/>
      <c r="K106" s="67"/>
      <c r="L106" s="68"/>
    </row>
    <row r="107" spans="2:17" ht="12.95" customHeight="1" x14ac:dyDescent="0.2">
      <c r="B107" s="66"/>
      <c r="C107" s="64"/>
      <c r="D107" s="97" t="s">
        <v>109</v>
      </c>
      <c r="E107" s="64"/>
      <c r="F107" s="66"/>
      <c r="G107" s="67"/>
      <c r="H107" s="216"/>
      <c r="I107" s="67"/>
      <c r="J107" s="67"/>
      <c r="K107" s="67"/>
      <c r="L107" s="68"/>
    </row>
    <row r="108" spans="2:17" ht="26.1" customHeight="1" x14ac:dyDescent="0.2">
      <c r="B108" s="98" t="str">
        <f>'IM-01 - Comp. Imprimação'!$B$11</f>
        <v>IM-01</v>
      </c>
      <c r="C108" s="64">
        <f>IF(G108&gt;0,C105+0.01,C105)</f>
        <v>6.0599999999999987</v>
      </c>
      <c r="D108" s="65" t="str">
        <f>'IM-01 - Comp. Imprimação'!$C$11</f>
        <v>Execução de imprimação com emulsão asfáltica a base d'água, exclusive material betuminoso</v>
      </c>
      <c r="E108" s="64"/>
      <c r="F108" s="66" t="str">
        <f>'IM-01 - Comp. Imprimação'!$G$11</f>
        <v>m²</v>
      </c>
      <c r="G108" s="67">
        <f>'Pav-Pavimento'!Q30</f>
        <v>7643.4500000000007</v>
      </c>
      <c r="H108" s="67">
        <f>'IM-01 - Comp. Imprimação'!$I$43</f>
        <v>0.65</v>
      </c>
      <c r="I108" s="67">
        <f t="shared" ref="I108:I111" si="63">ROUND((H108*$L$6),2)</f>
        <v>0.16</v>
      </c>
      <c r="J108" s="67">
        <f t="shared" ref="J108:J111" si="64">H108+I108</f>
        <v>0.81</v>
      </c>
      <c r="K108" s="67">
        <f t="shared" ref="K108:K111" si="65">ROUND((G108*J108),2)</f>
        <v>6191.19</v>
      </c>
      <c r="L108" s="68">
        <f>K108/$K$178</f>
        <v>3.2086132676076681E-3</v>
      </c>
      <c r="Q108" s="132"/>
    </row>
    <row r="109" spans="2:17" ht="26.1" customHeight="1" x14ac:dyDescent="0.2">
      <c r="B109" s="63" t="s">
        <v>620</v>
      </c>
      <c r="C109" s="64">
        <f t="shared" ref="C109" si="66">IF(G109&gt;0,C108+0.01,C108)</f>
        <v>6.0699999999999985</v>
      </c>
      <c r="D109" s="65" t="s">
        <v>518</v>
      </c>
      <c r="E109" s="64"/>
      <c r="F109" s="66" t="s">
        <v>525</v>
      </c>
      <c r="G109" s="67">
        <f>'Pav-Pavimento'!Q32</f>
        <v>9.889999999999997</v>
      </c>
      <c r="H109" s="67">
        <v>4205</v>
      </c>
      <c r="I109" s="67">
        <f t="shared" si="63"/>
        <v>1010.46</v>
      </c>
      <c r="J109" s="67">
        <f t="shared" si="64"/>
        <v>5215.46</v>
      </c>
      <c r="K109" s="67">
        <f t="shared" si="65"/>
        <v>51580.9</v>
      </c>
      <c r="L109" s="68">
        <f>K109/$K$178</f>
        <v>2.6732043451282286E-2</v>
      </c>
      <c r="Q109" s="132"/>
    </row>
    <row r="110" spans="2:17" ht="26.1" customHeight="1" x14ac:dyDescent="0.2">
      <c r="B110" s="66">
        <v>102332</v>
      </c>
      <c r="C110" s="64">
        <f t="shared" ref="C110" si="67">IF(G110&gt;0,C109+0.01,C109)</f>
        <v>6.0799999999999983</v>
      </c>
      <c r="D110" s="65" t="s">
        <v>538</v>
      </c>
      <c r="E110" s="64">
        <f>'Pav-Pavimento'!$F$33</f>
        <v>30</v>
      </c>
      <c r="F110" s="66" t="s">
        <v>31</v>
      </c>
      <c r="G110" s="67">
        <f>'Pav-Pavimento'!Q33</f>
        <v>296.69999999999987</v>
      </c>
      <c r="H110" s="67">
        <v>1.83</v>
      </c>
      <c r="I110" s="67">
        <f t="shared" si="63"/>
        <v>0.44</v>
      </c>
      <c r="J110" s="67">
        <f t="shared" si="64"/>
        <v>2.27</v>
      </c>
      <c r="K110" s="67">
        <f t="shared" si="65"/>
        <v>673.51</v>
      </c>
      <c r="L110" s="68">
        <f>K110/$K$178</f>
        <v>3.4904971772251227E-4</v>
      </c>
      <c r="Q110" s="132"/>
    </row>
    <row r="111" spans="2:17" ht="26.1" customHeight="1" x14ac:dyDescent="0.2">
      <c r="B111" s="66">
        <v>102333</v>
      </c>
      <c r="C111" s="64">
        <f t="shared" ref="C111" si="68">IF(G111&gt;0,C110+0.01,C110)</f>
        <v>6.0899999999999981</v>
      </c>
      <c r="D111" s="65" t="s">
        <v>539</v>
      </c>
      <c r="E111" s="64">
        <f>'Pav-Pavimento'!$F$34</f>
        <v>457</v>
      </c>
      <c r="F111" s="66" t="s">
        <v>31</v>
      </c>
      <c r="G111" s="67">
        <f>'Pav-Pavimento'!Q34</f>
        <v>4519.7300000000014</v>
      </c>
      <c r="H111" s="67">
        <v>0.73</v>
      </c>
      <c r="I111" s="67">
        <f t="shared" si="63"/>
        <v>0.18</v>
      </c>
      <c r="J111" s="67">
        <f t="shared" si="64"/>
        <v>0.90999999999999992</v>
      </c>
      <c r="K111" s="67">
        <f t="shared" si="65"/>
        <v>4112.95</v>
      </c>
      <c r="L111" s="68">
        <f>K111/$K$178</f>
        <v>2.1315556361550781E-3</v>
      </c>
      <c r="Q111" s="132"/>
    </row>
    <row r="112" spans="2:17" ht="12.95" customHeight="1" x14ac:dyDescent="0.2">
      <c r="B112" s="66"/>
      <c r="C112" s="64"/>
      <c r="D112" s="71"/>
      <c r="E112" s="64"/>
      <c r="F112" s="70"/>
      <c r="G112" s="67"/>
      <c r="H112" s="216"/>
      <c r="I112" s="67"/>
      <c r="J112" s="67"/>
      <c r="K112" s="67"/>
      <c r="L112" s="68"/>
      <c r="Q112" s="132"/>
    </row>
    <row r="113" spans="2:17" ht="12.95" customHeight="1" x14ac:dyDescent="0.2">
      <c r="B113" s="66"/>
      <c r="C113" s="64"/>
      <c r="D113" s="97" t="s">
        <v>110</v>
      </c>
      <c r="E113" s="64"/>
      <c r="F113" s="66"/>
      <c r="G113" s="67"/>
      <c r="H113" s="216"/>
      <c r="I113" s="67"/>
      <c r="J113" s="67"/>
      <c r="K113" s="67"/>
      <c r="L113" s="68"/>
    </row>
    <row r="114" spans="2:17" ht="26.1" customHeight="1" x14ac:dyDescent="0.2">
      <c r="B114" s="63">
        <v>95995</v>
      </c>
      <c r="C114" s="64">
        <f>IF(G114&gt;0,C111+0.01,C111)</f>
        <v>6.0999999999999979</v>
      </c>
      <c r="D114" s="65" t="s">
        <v>621</v>
      </c>
      <c r="E114" s="64"/>
      <c r="F114" s="66" t="s">
        <v>16</v>
      </c>
      <c r="G114" s="67">
        <f>'Pav-Pavimento'!Q37</f>
        <v>229.27</v>
      </c>
      <c r="H114" s="67">
        <v>1700.24</v>
      </c>
      <c r="I114" s="67">
        <f t="shared" ref="I114:I117" si="69">ROUND((H114*$L$6),2)</f>
        <v>408.57</v>
      </c>
      <c r="J114" s="67">
        <f t="shared" ref="J114:J115" si="70">H114+I114</f>
        <v>2108.81</v>
      </c>
      <c r="K114" s="67">
        <f t="shared" ref="K114:K117" si="71">ROUND((G114*J114),2)</f>
        <v>483486.87</v>
      </c>
      <c r="L114" s="68">
        <f>K114/$K$178</f>
        <v>0.25056933897943751</v>
      </c>
      <c r="Q114" s="132"/>
    </row>
    <row r="115" spans="2:17" ht="39" customHeight="1" x14ac:dyDescent="0.2">
      <c r="B115" s="63">
        <v>100974</v>
      </c>
      <c r="C115" s="64">
        <f t="shared" ref="C115" si="72">IF(G115&gt;0,C114+0.01,C114)</f>
        <v>6.1099999999999977</v>
      </c>
      <c r="D115" s="65" t="s">
        <v>526</v>
      </c>
      <c r="E115" s="64"/>
      <c r="F115" s="66" t="s">
        <v>16</v>
      </c>
      <c r="G115" s="67">
        <f>'Pav-Pavimento'!Q38</f>
        <v>229.27</v>
      </c>
      <c r="H115" s="67">
        <v>8.4</v>
      </c>
      <c r="I115" s="67">
        <f t="shared" si="69"/>
        <v>2.02</v>
      </c>
      <c r="J115" s="67">
        <f t="shared" si="70"/>
        <v>10.42</v>
      </c>
      <c r="K115" s="67">
        <f t="shared" si="71"/>
        <v>2388.9899999999998</v>
      </c>
      <c r="L115" s="68">
        <f>K115/$K$178</f>
        <v>1.2381052770439999E-3</v>
      </c>
      <c r="Q115" s="132"/>
    </row>
    <row r="116" spans="2:17" ht="26.1" customHeight="1" x14ac:dyDescent="0.2">
      <c r="B116" s="66">
        <v>95875</v>
      </c>
      <c r="C116" s="64">
        <f t="shared" ref="C116:C117" si="73">IF(G116&gt;0,C115+0.01,C115)</f>
        <v>6.1199999999999974</v>
      </c>
      <c r="D116" s="65" t="s">
        <v>401</v>
      </c>
      <c r="E116" s="64">
        <f>'Pav-Pavimento'!$F$39</f>
        <v>30</v>
      </c>
      <c r="F116" s="66" t="s">
        <v>17</v>
      </c>
      <c r="G116" s="67">
        <f>'Pav-Pavimento'!Q39</f>
        <v>6878.0999999999995</v>
      </c>
      <c r="H116" s="67">
        <v>2.4300000000000002</v>
      </c>
      <c r="I116" s="67">
        <f t="shared" si="69"/>
        <v>0.57999999999999996</v>
      </c>
      <c r="J116" s="67">
        <f>H116+I116</f>
        <v>3.0100000000000002</v>
      </c>
      <c r="K116" s="67">
        <f>ROUND((G116*J116),1)</f>
        <v>20703.099999999999</v>
      </c>
      <c r="L116" s="68">
        <f>K116/$K$178</f>
        <v>1.0729478717436925E-2</v>
      </c>
      <c r="Q116" s="132"/>
    </row>
    <row r="117" spans="2:17" ht="26.1" customHeight="1" x14ac:dyDescent="0.2">
      <c r="B117" s="66">
        <v>93590</v>
      </c>
      <c r="C117" s="64">
        <f t="shared" si="73"/>
        <v>6.1299999999999972</v>
      </c>
      <c r="D117" s="65" t="s">
        <v>414</v>
      </c>
      <c r="E117" s="64">
        <f>'Pav-Pavimento'!$F$40</f>
        <v>19.5</v>
      </c>
      <c r="F117" s="66" t="s">
        <v>17</v>
      </c>
      <c r="G117" s="67">
        <f>'Pav-Pavimento'!Q40</f>
        <v>4470.7299999999996</v>
      </c>
      <c r="H117" s="67">
        <v>0.95</v>
      </c>
      <c r="I117" s="67">
        <f t="shared" si="69"/>
        <v>0.23</v>
      </c>
      <c r="J117" s="67">
        <f>H117+I117</f>
        <v>1.18</v>
      </c>
      <c r="K117" s="67">
        <f t="shared" si="71"/>
        <v>5275.46</v>
      </c>
      <c r="L117" s="68">
        <f>K117/$K$178</f>
        <v>2.734031898348064E-3</v>
      </c>
      <c r="Q117" s="132"/>
    </row>
    <row r="118" spans="2:17" ht="12.95" customHeight="1" x14ac:dyDescent="0.2">
      <c r="B118" s="99"/>
      <c r="C118" s="74"/>
      <c r="D118" s="100"/>
      <c r="E118" s="74"/>
      <c r="F118" s="75"/>
      <c r="G118" s="76"/>
      <c r="H118" s="217"/>
      <c r="I118" s="76"/>
      <c r="J118" s="76"/>
      <c r="K118" s="76"/>
      <c r="L118" s="101"/>
    </row>
    <row r="119" spans="2:17" s="60" customFormat="1" ht="15" customHeight="1" x14ac:dyDescent="0.2">
      <c r="B119" s="86"/>
      <c r="C119" s="86"/>
      <c r="D119" s="86"/>
      <c r="E119" s="285" t="str">
        <f>CONCATENATE("SUBTOTAL ",C90)</f>
        <v>SUBTOTAL 6</v>
      </c>
      <c r="F119" s="285"/>
      <c r="G119" s="285"/>
      <c r="H119" s="223"/>
      <c r="I119" s="284"/>
      <c r="J119" s="284"/>
      <c r="K119" s="224">
        <f>SUM(K90:K118)</f>
        <v>760731.1</v>
      </c>
      <c r="L119" s="88">
        <f>SUM(L90:L118)</f>
        <v>0.39425246205362391</v>
      </c>
    </row>
    <row r="120" spans="2:17" ht="5.0999999999999996" customHeight="1" x14ac:dyDescent="0.2"/>
    <row r="121" spans="2:17" s="60" customFormat="1" ht="15" customHeight="1" x14ac:dyDescent="0.2">
      <c r="B121" s="89"/>
      <c r="C121" s="90">
        <v>7</v>
      </c>
      <c r="D121" s="91" t="s">
        <v>40</v>
      </c>
      <c r="E121" s="92"/>
      <c r="F121" s="92"/>
      <c r="G121" s="92"/>
      <c r="H121" s="92"/>
      <c r="I121" s="92"/>
      <c r="J121" s="92"/>
      <c r="K121" s="92"/>
      <c r="L121" s="93"/>
    </row>
    <row r="122" spans="2:17" ht="12.95" customHeight="1" x14ac:dyDescent="0.2">
      <c r="B122" s="94"/>
      <c r="C122" s="95"/>
      <c r="D122" s="61"/>
      <c r="E122" s="95"/>
      <c r="F122" s="94"/>
      <c r="G122" s="62"/>
      <c r="H122" s="62"/>
      <c r="I122" s="62"/>
      <c r="J122" s="62"/>
      <c r="K122" s="62"/>
      <c r="L122" s="96"/>
    </row>
    <row r="123" spans="2:17" ht="12.95" customHeight="1" x14ac:dyDescent="0.2">
      <c r="B123" s="66"/>
      <c r="C123" s="64"/>
      <c r="D123" s="97" t="s">
        <v>48</v>
      </c>
      <c r="E123" s="64"/>
      <c r="F123" s="66"/>
      <c r="G123" s="67"/>
      <c r="H123" s="67"/>
      <c r="I123" s="67"/>
      <c r="J123" s="67"/>
      <c r="K123" s="67"/>
      <c r="L123" s="68"/>
    </row>
    <row r="124" spans="2:17" ht="26.1" customHeight="1" x14ac:dyDescent="0.2">
      <c r="B124" s="98" t="str">
        <f>'SC-01 - Comp. MF com Sarj'!$B$11</f>
        <v>SC-01</v>
      </c>
      <c r="C124" s="64">
        <f>IF(G124&gt;0,C121+0.01,C121)</f>
        <v>7.01</v>
      </c>
      <c r="D124" s="65" t="str">
        <f>'SC-01 - Comp. MF com Sarj'!$C$11</f>
        <v>Meio fio com sarjeta, concreto fck = 15MPa, seção 615cm², moldado no local, inclusive escavação e pintura a cal em uma demão</v>
      </c>
      <c r="E124" s="64"/>
      <c r="F124" s="70" t="str">
        <f>'SC-01 - Comp. MF com Sarj'!$G$11</f>
        <v>m</v>
      </c>
      <c r="G124" s="67">
        <f>'Serv. Complementares'!P10</f>
        <v>1253.6599999999999</v>
      </c>
      <c r="H124" s="67">
        <f>'SC-01 - Comp. MF com Sarj'!$I$46</f>
        <v>66.02</v>
      </c>
      <c r="I124" s="67">
        <f>ROUND((H124*$L$6),2)</f>
        <v>15.86</v>
      </c>
      <c r="J124" s="67">
        <f t="shared" ref="J124" si="74">H124+I124</f>
        <v>81.88</v>
      </c>
      <c r="K124" s="67">
        <f t="shared" ref="K124:K128" si="75">ROUND((G124*J124),2)</f>
        <v>102649.68</v>
      </c>
      <c r="L124" s="68">
        <f>K124/$K$178</f>
        <v>5.3198678309611155E-2</v>
      </c>
    </row>
    <row r="125" spans="2:17" ht="26.1" customHeight="1" x14ac:dyDescent="0.2">
      <c r="B125" s="98" t="str">
        <f>'SC-04 - Comp. Tento'!$B$11</f>
        <v>SC-04</v>
      </c>
      <c r="C125" s="64">
        <f t="shared" ref="C125" si="76">IF(G125&gt;0,C124+0.01,C124)</f>
        <v>7.02</v>
      </c>
      <c r="D125" s="65" t="str">
        <f>'SC-04 - Comp. Tento'!$C$11</f>
        <v>Tento (acabamento de limpa rodas) em concreto, seção 330cm², moldado no local, inclusive escavação</v>
      </c>
      <c r="E125" s="64"/>
      <c r="F125" s="70" t="str">
        <f>'SC-04 - Comp. Tento'!$G$11</f>
        <v>m</v>
      </c>
      <c r="G125" s="67">
        <f>'Serv. Complementares'!P12</f>
        <v>85.2</v>
      </c>
      <c r="H125" s="67">
        <f>'SC-04 - Comp. Tento'!$I$45</f>
        <v>36.93</v>
      </c>
      <c r="I125" s="67">
        <f t="shared" ref="I125:I128" si="77">ROUND((H125*$L$6),2)</f>
        <v>8.8699999999999992</v>
      </c>
      <c r="J125" s="67">
        <f t="shared" ref="J125:J128" si="78">H125+I125</f>
        <v>45.8</v>
      </c>
      <c r="K125" s="67">
        <f t="shared" si="75"/>
        <v>3902.16</v>
      </c>
      <c r="L125" s="68">
        <f>K125/$K$178</f>
        <v>2.0223127295928471E-3</v>
      </c>
    </row>
    <row r="126" spans="2:17" ht="26.1" customHeight="1" x14ac:dyDescent="0.2">
      <c r="B126" s="63">
        <v>100978</v>
      </c>
      <c r="C126" s="64">
        <f t="shared" ref="C126:C128" si="79">IF(G126&gt;0,C125+0.01,C125)</f>
        <v>7.0299999999999994</v>
      </c>
      <c r="D126" s="65" t="s">
        <v>371</v>
      </c>
      <c r="E126" s="64"/>
      <c r="F126" s="66" t="s">
        <v>16</v>
      </c>
      <c r="G126" s="67">
        <f>'Serv. Complementares'!P15</f>
        <v>46.249999999999993</v>
      </c>
      <c r="H126" s="67">
        <v>6.8</v>
      </c>
      <c r="I126" s="67">
        <f t="shared" si="77"/>
        <v>1.63</v>
      </c>
      <c r="J126" s="67">
        <f t="shared" si="78"/>
        <v>8.43</v>
      </c>
      <c r="K126" s="67">
        <f t="shared" si="75"/>
        <v>389.89</v>
      </c>
      <c r="L126" s="68">
        <f>K126/$K$178</f>
        <v>2.0206232192963771E-4</v>
      </c>
    </row>
    <row r="127" spans="2:17" ht="26.1" customHeight="1" x14ac:dyDescent="0.2">
      <c r="B127" s="66">
        <v>95875</v>
      </c>
      <c r="C127" s="64">
        <f t="shared" si="79"/>
        <v>7.0399999999999991</v>
      </c>
      <c r="D127" s="65" t="s">
        <v>416</v>
      </c>
      <c r="E127" s="64">
        <f>'Serv. Complementares'!$E$16</f>
        <v>30</v>
      </c>
      <c r="F127" s="66" t="s">
        <v>17</v>
      </c>
      <c r="G127" s="67">
        <f>'Serv. Complementares'!P16</f>
        <v>1387.5</v>
      </c>
      <c r="H127" s="67">
        <v>2.4300000000000002</v>
      </c>
      <c r="I127" s="67">
        <f t="shared" si="77"/>
        <v>0.57999999999999996</v>
      </c>
      <c r="J127" s="67">
        <f t="shared" si="78"/>
        <v>3.0100000000000002</v>
      </c>
      <c r="K127" s="67">
        <f t="shared" si="75"/>
        <v>4176.38</v>
      </c>
      <c r="L127" s="68">
        <f>K127/$K$178</f>
        <v>2.1644285312793364E-3</v>
      </c>
    </row>
    <row r="128" spans="2:17" ht="26.1" customHeight="1" x14ac:dyDescent="0.2">
      <c r="B128" s="66">
        <v>93590</v>
      </c>
      <c r="C128" s="64">
        <f t="shared" si="79"/>
        <v>7.0499999999999989</v>
      </c>
      <c r="D128" s="65" t="s">
        <v>417</v>
      </c>
      <c r="E128" s="64">
        <f>'Serv. Complementares'!$E$17</f>
        <v>19</v>
      </c>
      <c r="F128" s="66" t="s">
        <v>17</v>
      </c>
      <c r="G128" s="67">
        <f>'Serv. Complementares'!P17</f>
        <v>878.75000000000023</v>
      </c>
      <c r="H128" s="67">
        <v>0.95</v>
      </c>
      <c r="I128" s="67">
        <f t="shared" si="77"/>
        <v>0.23</v>
      </c>
      <c r="J128" s="67">
        <f t="shared" si="78"/>
        <v>1.18</v>
      </c>
      <c r="K128" s="67">
        <f t="shared" si="75"/>
        <v>1036.93</v>
      </c>
      <c r="L128" s="68">
        <f>K128/$K$178</f>
        <v>5.3739383795044563E-4</v>
      </c>
    </row>
    <row r="129" spans="2:18" ht="12.95" customHeight="1" x14ac:dyDescent="0.2">
      <c r="B129" s="99"/>
      <c r="C129" s="74"/>
      <c r="D129" s="100"/>
      <c r="E129" s="74"/>
      <c r="F129" s="75"/>
      <c r="G129" s="76"/>
      <c r="H129" s="76"/>
      <c r="I129" s="76"/>
      <c r="J129" s="76"/>
      <c r="K129" s="76"/>
      <c r="L129" s="101"/>
    </row>
    <row r="130" spans="2:18" s="60" customFormat="1" ht="15" customHeight="1" x14ac:dyDescent="0.2">
      <c r="B130" s="86"/>
      <c r="C130" s="86"/>
      <c r="D130" s="86"/>
      <c r="E130" s="285" t="str">
        <f>CONCATENATE("SUBTOTAL ",C121)</f>
        <v>SUBTOTAL 7</v>
      </c>
      <c r="F130" s="285"/>
      <c r="G130" s="285"/>
      <c r="H130" s="223"/>
      <c r="I130" s="284"/>
      <c r="J130" s="284"/>
      <c r="K130" s="224">
        <f>SUM(K121:K129)</f>
        <v>112155.04</v>
      </c>
      <c r="L130" s="88">
        <f>SUM(L121:L129)</f>
        <v>5.8124875730363422E-2</v>
      </c>
    </row>
    <row r="131" spans="2:18" ht="5.0999999999999996" customHeight="1" x14ac:dyDescent="0.2"/>
    <row r="132" spans="2:18" s="60" customFormat="1" ht="15" customHeight="1" x14ac:dyDescent="0.2">
      <c r="B132" s="89"/>
      <c r="C132" s="90">
        <v>8</v>
      </c>
      <c r="D132" s="91" t="s">
        <v>41</v>
      </c>
      <c r="E132" s="92"/>
      <c r="F132" s="92"/>
      <c r="G132" s="92"/>
      <c r="H132" s="92"/>
      <c r="I132" s="92"/>
      <c r="J132" s="92"/>
      <c r="K132" s="92"/>
      <c r="L132" s="93"/>
    </row>
    <row r="133" spans="2:18" ht="12.95" customHeight="1" x14ac:dyDescent="0.2">
      <c r="B133" s="94"/>
      <c r="C133" s="95"/>
      <c r="D133" s="61"/>
      <c r="E133" s="95"/>
      <c r="F133" s="94"/>
      <c r="G133" s="62"/>
      <c r="H133" s="62"/>
      <c r="I133" s="62"/>
      <c r="J133" s="62"/>
      <c r="K133" s="62"/>
      <c r="L133" s="96"/>
    </row>
    <row r="134" spans="2:18" ht="12.95" customHeight="1" x14ac:dyDescent="0.2">
      <c r="B134" s="66"/>
      <c r="C134" s="64"/>
      <c r="D134" s="97" t="s">
        <v>35</v>
      </c>
      <c r="E134" s="64"/>
      <c r="F134" s="66"/>
      <c r="G134" s="67"/>
      <c r="H134" s="67"/>
      <c r="I134" s="67"/>
      <c r="J134" s="67"/>
      <c r="K134" s="67"/>
      <c r="L134" s="68"/>
    </row>
    <row r="135" spans="2:18" ht="12.95" customHeight="1" x14ac:dyDescent="0.2">
      <c r="B135" s="69" t="str">
        <f>'AC-01 - Comp. Prep. Manual'!$B$11</f>
        <v>AC-01</v>
      </c>
      <c r="C135" s="64">
        <f>IF(G135&gt;0,C132+0.01,C132)</f>
        <v>8.01</v>
      </c>
      <c r="D135" s="71" t="s">
        <v>568</v>
      </c>
      <c r="E135" s="64"/>
      <c r="F135" s="66" t="str">
        <f>'AC-01 - Comp. Prep. Manual'!$G$11</f>
        <v>m²</v>
      </c>
      <c r="G135" s="67">
        <f>'Passeio com Acessibilidade'!P10</f>
        <v>1319.9200000000003</v>
      </c>
      <c r="H135" s="67">
        <f>'AC-01 - Comp. Prep. Manual'!$I$40</f>
        <v>8.3800000000000008</v>
      </c>
      <c r="I135" s="67">
        <f t="shared" ref="I135" si="80">ROUND((H135*$L$6),2)</f>
        <v>2.0099999999999998</v>
      </c>
      <c r="J135" s="67">
        <f t="shared" ref="J135" si="81">H135+I135</f>
        <v>10.39</v>
      </c>
      <c r="K135" s="67">
        <f t="shared" ref="K135" si="82">ROUND((G135*J135),2)</f>
        <v>13713.97</v>
      </c>
      <c r="L135" s="68">
        <f>K135/$K$178</f>
        <v>7.1073293007601979E-3</v>
      </c>
    </row>
    <row r="136" spans="2:18" ht="12.95" customHeight="1" x14ac:dyDescent="0.2">
      <c r="B136" s="66"/>
      <c r="C136" s="64"/>
      <c r="D136" s="71"/>
      <c r="E136" s="64"/>
      <c r="F136" s="70"/>
      <c r="G136" s="67"/>
      <c r="H136" s="216"/>
      <c r="I136" s="67"/>
      <c r="J136" s="67"/>
      <c r="K136" s="67"/>
      <c r="L136" s="68"/>
    </row>
    <row r="137" spans="2:18" ht="12.95" customHeight="1" x14ac:dyDescent="0.2">
      <c r="B137" s="66"/>
      <c r="C137" s="64"/>
      <c r="D137" s="97" t="s">
        <v>49</v>
      </c>
      <c r="E137" s="64"/>
      <c r="F137" s="66"/>
      <c r="G137" s="67"/>
      <c r="H137" s="216"/>
      <c r="I137" s="67"/>
      <c r="J137" s="67"/>
      <c r="K137" s="67"/>
      <c r="L137" s="68"/>
    </row>
    <row r="138" spans="2:18" ht="26.1" customHeight="1" x14ac:dyDescent="0.2">
      <c r="B138" s="66">
        <v>94990</v>
      </c>
      <c r="C138" s="64">
        <f>IF(G138&gt;0,C135+0.01,C135)</f>
        <v>8.02</v>
      </c>
      <c r="D138" s="65" t="s">
        <v>349</v>
      </c>
      <c r="E138" s="64"/>
      <c r="F138" s="66" t="s">
        <v>16</v>
      </c>
      <c r="G138" s="67">
        <f>'Passeio com Acessibilidade'!P16</f>
        <v>65.31</v>
      </c>
      <c r="H138" s="67">
        <v>747.73</v>
      </c>
      <c r="I138" s="67">
        <f t="shared" ref="I138:I141" si="83">ROUND((H138*$L$6),2)</f>
        <v>179.68</v>
      </c>
      <c r="J138" s="67">
        <f t="shared" ref="J138" si="84">H138+I138</f>
        <v>927.41000000000008</v>
      </c>
      <c r="K138" s="67">
        <f t="shared" ref="K138:K141" si="85">ROUND((G138*J138),2)</f>
        <v>60569.15</v>
      </c>
      <c r="L138" s="68">
        <f>K138/$K$178</f>
        <v>3.1390246188167222E-2</v>
      </c>
    </row>
    <row r="139" spans="2:18" ht="26.1" customHeight="1" x14ac:dyDescent="0.2">
      <c r="B139" s="63">
        <v>100978</v>
      </c>
      <c r="C139" s="64">
        <f t="shared" ref="C139:C141" si="86">IF(G139&gt;0,C138+0.01,C138)</f>
        <v>8.0299999999999994</v>
      </c>
      <c r="D139" s="65" t="s">
        <v>371</v>
      </c>
      <c r="E139" s="64"/>
      <c r="F139" s="66" t="s">
        <v>16</v>
      </c>
      <c r="G139" s="67">
        <f>'Passeio com Acessibilidade'!P19</f>
        <v>46.500000000000007</v>
      </c>
      <c r="H139" s="67">
        <v>6.8</v>
      </c>
      <c r="I139" s="67">
        <f t="shared" si="83"/>
        <v>1.63</v>
      </c>
      <c r="J139" s="67">
        <f>H139+I139</f>
        <v>8.43</v>
      </c>
      <c r="K139" s="67">
        <f t="shared" si="85"/>
        <v>392</v>
      </c>
      <c r="L139" s="68">
        <f>K139/$K$178</f>
        <v>2.0315583933011358E-4</v>
      </c>
    </row>
    <row r="140" spans="2:18" ht="26.1" customHeight="1" x14ac:dyDescent="0.2">
      <c r="B140" s="66">
        <v>95875</v>
      </c>
      <c r="C140" s="64">
        <f t="shared" si="86"/>
        <v>8.0399999999999991</v>
      </c>
      <c r="D140" s="65" t="s">
        <v>418</v>
      </c>
      <c r="E140" s="64">
        <f>'Passeio com Acessibilidade'!$E$20</f>
        <v>30</v>
      </c>
      <c r="F140" s="66" t="s">
        <v>17</v>
      </c>
      <c r="G140" s="67">
        <f>'Passeio com Acessibilidade'!P20</f>
        <v>1395</v>
      </c>
      <c r="H140" s="67">
        <v>2.4300000000000002</v>
      </c>
      <c r="I140" s="67">
        <f t="shared" si="83"/>
        <v>0.57999999999999996</v>
      </c>
      <c r="J140" s="67">
        <f t="shared" ref="J140:J141" si="87">H140+I140</f>
        <v>3.0100000000000002</v>
      </c>
      <c r="K140" s="67">
        <f t="shared" si="85"/>
        <v>4198.95</v>
      </c>
      <c r="L140" s="68">
        <f>K140/$K$178</f>
        <v>2.1761255396815825E-3</v>
      </c>
    </row>
    <row r="141" spans="2:18" ht="26.1" customHeight="1" x14ac:dyDescent="0.2">
      <c r="B141" s="66">
        <v>93590</v>
      </c>
      <c r="C141" s="64">
        <f t="shared" si="86"/>
        <v>8.0499999999999989</v>
      </c>
      <c r="D141" s="65" t="s">
        <v>419</v>
      </c>
      <c r="E141" s="64">
        <f>'Passeio com Acessibilidade'!$E$21</f>
        <v>19</v>
      </c>
      <c r="F141" s="66" t="s">
        <v>17</v>
      </c>
      <c r="G141" s="67">
        <f>'Passeio com Acessibilidade'!P21</f>
        <v>883.50000000000011</v>
      </c>
      <c r="H141" s="67">
        <v>0.95</v>
      </c>
      <c r="I141" s="67">
        <f t="shared" si="83"/>
        <v>0.23</v>
      </c>
      <c r="J141" s="67">
        <f t="shared" si="87"/>
        <v>1.18</v>
      </c>
      <c r="K141" s="67">
        <f t="shared" si="85"/>
        <v>1042.53</v>
      </c>
      <c r="L141" s="68">
        <f>K141/$K$178</f>
        <v>5.4029606422659009E-4</v>
      </c>
    </row>
    <row r="142" spans="2:18" ht="12.95" customHeight="1" x14ac:dyDescent="0.2">
      <c r="B142" s="66"/>
      <c r="C142" s="64"/>
      <c r="D142" s="71"/>
      <c r="E142" s="64"/>
      <c r="F142" s="70"/>
      <c r="G142" s="67"/>
      <c r="H142" s="216"/>
      <c r="I142" s="67"/>
      <c r="J142" s="67"/>
      <c r="K142" s="67"/>
      <c r="L142" s="68"/>
    </row>
    <row r="143" spans="2:18" ht="12.95" customHeight="1" x14ac:dyDescent="0.2">
      <c r="B143" s="66"/>
      <c r="C143" s="64"/>
      <c r="D143" s="97" t="s">
        <v>50</v>
      </c>
      <c r="E143" s="64"/>
      <c r="F143" s="66"/>
      <c r="G143" s="67"/>
      <c r="H143" s="216"/>
      <c r="I143" s="67"/>
      <c r="J143" s="67"/>
      <c r="K143" s="67"/>
      <c r="L143" s="68"/>
    </row>
    <row r="144" spans="2:18" ht="12.95" customHeight="1" x14ac:dyDescent="0.2">
      <c r="B144" s="98" t="str">
        <f>'AC-04 - Comp. Rampa 03'!$B$11</f>
        <v>AC-04</v>
      </c>
      <c r="C144" s="64">
        <f>IF(G144&gt;0,C141+0.01,C141)</f>
        <v>8.0599999999999987</v>
      </c>
      <c r="D144" s="65" t="str">
        <f>'AC-04 - Comp. Rampa 03'!$C$11</f>
        <v xml:space="preserve">Rampa de acessibilidade - Tipo 03 (8,40m²), conforme projeto </v>
      </c>
      <c r="E144" s="64"/>
      <c r="F144" s="70" t="str">
        <f>'AC-04 - Comp. Rampa 03'!$G$11</f>
        <v>un.</v>
      </c>
      <c r="G144" s="67">
        <f>'Passeio com Acessibilidade'!P23</f>
        <v>46</v>
      </c>
      <c r="H144" s="67">
        <f>'AC-04 - Comp. Rampa 03'!$I$42</f>
        <v>484.75</v>
      </c>
      <c r="I144" s="67">
        <f t="shared" ref="I144:I147" si="88">ROUND((H144*$L$6),2)</f>
        <v>116.49</v>
      </c>
      <c r="J144" s="67">
        <f t="shared" ref="J144" si="89">H144+I144</f>
        <v>601.24</v>
      </c>
      <c r="K144" s="67">
        <f t="shared" ref="K144:K147" si="90">ROUND((G144*J144),2)</f>
        <v>27657.040000000001</v>
      </c>
      <c r="L144" s="68">
        <f>K144/$K$178</f>
        <v>1.4333390751496236E-2</v>
      </c>
      <c r="O144" s="210"/>
      <c r="P144" s="129"/>
      <c r="Q144" s="210"/>
      <c r="R144" s="210"/>
    </row>
    <row r="145" spans="2:18" ht="26.1" customHeight="1" x14ac:dyDescent="0.2">
      <c r="B145" s="63">
        <v>100978</v>
      </c>
      <c r="C145" s="64">
        <f t="shared" ref="C145:C147" si="91">IF(G145&gt;0,C144+0.01,C144)</f>
        <v>8.0699999999999985</v>
      </c>
      <c r="D145" s="65" t="s">
        <v>371</v>
      </c>
      <c r="E145" s="64"/>
      <c r="F145" s="66" t="s">
        <v>16</v>
      </c>
      <c r="G145" s="67">
        <f>'Passeio com Acessibilidade'!P29</f>
        <v>19.199999999999996</v>
      </c>
      <c r="H145" s="67">
        <v>6.8</v>
      </c>
      <c r="I145" s="67">
        <f t="shared" si="88"/>
        <v>1.63</v>
      </c>
      <c r="J145" s="67">
        <f t="shared" ref="J145:J147" si="92">H145+I145</f>
        <v>8.43</v>
      </c>
      <c r="K145" s="67">
        <f t="shared" si="90"/>
        <v>161.86000000000001</v>
      </c>
      <c r="L145" s="68">
        <f>K145/$K$178</f>
        <v>8.3884704474418848E-5</v>
      </c>
      <c r="O145" s="210"/>
      <c r="P145" s="210"/>
      <c r="Q145" s="210"/>
      <c r="R145" s="210"/>
    </row>
    <row r="146" spans="2:18" ht="26.1" customHeight="1" x14ac:dyDescent="0.2">
      <c r="B146" s="66">
        <v>95875</v>
      </c>
      <c r="C146" s="64">
        <f t="shared" si="91"/>
        <v>8.0799999999999983</v>
      </c>
      <c r="D146" s="65" t="s">
        <v>420</v>
      </c>
      <c r="E146" s="64">
        <f>'Passeio com Acessibilidade'!$E$30</f>
        <v>30</v>
      </c>
      <c r="F146" s="66" t="s">
        <v>17</v>
      </c>
      <c r="G146" s="67">
        <f>'Passeio com Acessibilidade'!P30</f>
        <v>575.99999999999989</v>
      </c>
      <c r="H146" s="67">
        <v>2.4300000000000002</v>
      </c>
      <c r="I146" s="67">
        <f t="shared" si="88"/>
        <v>0.57999999999999996</v>
      </c>
      <c r="J146" s="67">
        <f t="shared" si="92"/>
        <v>3.0100000000000002</v>
      </c>
      <c r="K146" s="67">
        <f t="shared" si="90"/>
        <v>1733.76</v>
      </c>
      <c r="L146" s="68">
        <f>K146/$K$178</f>
        <v>8.9852925509433098E-4</v>
      </c>
      <c r="O146" s="210"/>
      <c r="P146" s="210"/>
      <c r="Q146" s="210"/>
      <c r="R146" s="210"/>
    </row>
    <row r="147" spans="2:18" ht="26.1" customHeight="1" x14ac:dyDescent="0.2">
      <c r="B147" s="66">
        <v>93590</v>
      </c>
      <c r="C147" s="64">
        <f t="shared" si="91"/>
        <v>8.0899999999999981</v>
      </c>
      <c r="D147" s="65" t="s">
        <v>421</v>
      </c>
      <c r="E147" s="64">
        <f>'Passeio com Acessibilidade'!$E$31</f>
        <v>19</v>
      </c>
      <c r="F147" s="66" t="s">
        <v>17</v>
      </c>
      <c r="G147" s="67">
        <f>'Passeio com Acessibilidade'!P31</f>
        <v>364.7999999999999</v>
      </c>
      <c r="H147" s="67">
        <v>0.95</v>
      </c>
      <c r="I147" s="67">
        <f t="shared" si="88"/>
        <v>0.23</v>
      </c>
      <c r="J147" s="67">
        <f t="shared" si="92"/>
        <v>1.18</v>
      </c>
      <c r="K147" s="67">
        <f t="shared" si="90"/>
        <v>430.46</v>
      </c>
      <c r="L147" s="68">
        <f>K147/$K$178</f>
        <v>2.2308791479092014E-4</v>
      </c>
      <c r="O147" s="210"/>
      <c r="P147" s="210"/>
      <c r="Q147" s="210"/>
      <c r="R147" s="210"/>
    </row>
    <row r="148" spans="2:18" ht="12.95" customHeight="1" x14ac:dyDescent="0.2">
      <c r="B148" s="66"/>
      <c r="C148" s="64"/>
      <c r="D148" s="71"/>
      <c r="E148" s="64"/>
      <c r="F148" s="70"/>
      <c r="G148" s="67"/>
      <c r="H148" s="216"/>
      <c r="I148" s="67"/>
      <c r="J148" s="67"/>
      <c r="K148" s="67"/>
      <c r="L148" s="68"/>
      <c r="O148" s="210"/>
      <c r="P148" s="210"/>
      <c r="Q148" s="210"/>
      <c r="R148" s="210"/>
    </row>
    <row r="149" spans="2:18" ht="12.95" customHeight="1" x14ac:dyDescent="0.2">
      <c r="B149" s="66"/>
      <c r="C149" s="64"/>
      <c r="D149" s="97" t="s">
        <v>51</v>
      </c>
      <c r="E149" s="64"/>
      <c r="F149" s="66"/>
      <c r="G149" s="67"/>
      <c r="H149" s="216"/>
      <c r="I149" s="67"/>
      <c r="J149" s="67"/>
      <c r="K149" s="67"/>
      <c r="L149" s="68"/>
      <c r="O149" s="210"/>
      <c r="P149" s="210"/>
      <c r="Q149" s="210"/>
      <c r="R149" s="210"/>
    </row>
    <row r="150" spans="2:18" ht="12.95" customHeight="1" x14ac:dyDescent="0.2">
      <c r="B150" s="66">
        <v>101733</v>
      </c>
      <c r="C150" s="64">
        <f>IF(G150&gt;0,C147+0.01,C147)</f>
        <v>8.0999999999999979</v>
      </c>
      <c r="D150" s="65" t="s">
        <v>515</v>
      </c>
      <c r="E150" s="64"/>
      <c r="F150" s="70" t="s">
        <v>13</v>
      </c>
      <c r="G150" s="67">
        <f>'Passeio com Acessibilidade'!P35</f>
        <v>51.74</v>
      </c>
      <c r="H150" s="67">
        <v>292.64</v>
      </c>
      <c r="I150" s="67">
        <f t="shared" ref="I150:I152" si="93">ROUND((H150*$L$6),2)</f>
        <v>70.319999999999993</v>
      </c>
      <c r="J150" s="67">
        <f t="shared" ref="J150" si="94">H150+I150</f>
        <v>362.96</v>
      </c>
      <c r="K150" s="67">
        <f t="shared" ref="K150:K152" si="95">ROUND((G150*J150),2)</f>
        <v>18779.55</v>
      </c>
      <c r="L150" s="68">
        <f>K150/$K$178</f>
        <v>9.732589904315905E-3</v>
      </c>
      <c r="O150" s="210"/>
      <c r="P150" s="210"/>
      <c r="Q150" s="210"/>
      <c r="R150" s="210"/>
    </row>
    <row r="151" spans="2:18" ht="26.1" customHeight="1" x14ac:dyDescent="0.2">
      <c r="B151" s="66">
        <v>100947</v>
      </c>
      <c r="C151" s="64">
        <f t="shared" ref="C151:C152" si="96">IF(G151&gt;0,C150+0.01,C150)</f>
        <v>8.1099999999999977</v>
      </c>
      <c r="D151" s="65" t="s">
        <v>399</v>
      </c>
      <c r="E151" s="64">
        <f>'Passeio com Acessibilidade'!$E$37</f>
        <v>30</v>
      </c>
      <c r="F151" s="66" t="s">
        <v>31</v>
      </c>
      <c r="G151" s="67">
        <f>'Passeio com Acessibilidade'!P37</f>
        <v>56.999999999999993</v>
      </c>
      <c r="H151" s="67">
        <v>2.1800000000000002</v>
      </c>
      <c r="I151" s="67">
        <f t="shared" si="93"/>
        <v>0.52</v>
      </c>
      <c r="J151" s="67">
        <f t="shared" ref="J151" si="97">H151+I151</f>
        <v>2.7</v>
      </c>
      <c r="K151" s="67">
        <f t="shared" si="95"/>
        <v>153.9</v>
      </c>
      <c r="L151" s="68">
        <f>K151/$K$178</f>
        <v>7.9759397124756331E-5</v>
      </c>
      <c r="O151" s="210"/>
      <c r="P151" s="210"/>
      <c r="Q151" s="210"/>
      <c r="R151" s="210"/>
    </row>
    <row r="152" spans="2:18" ht="26.1" customHeight="1" x14ac:dyDescent="0.2">
      <c r="B152" s="66">
        <v>100948</v>
      </c>
      <c r="C152" s="64">
        <f t="shared" si="96"/>
        <v>8.1199999999999974</v>
      </c>
      <c r="D152" s="65" t="s">
        <v>400</v>
      </c>
      <c r="E152" s="64">
        <f>'Passeio com Acessibilidade'!$E$38</f>
        <v>99</v>
      </c>
      <c r="F152" s="66" t="s">
        <v>31</v>
      </c>
      <c r="G152" s="67">
        <f>'Passeio com Acessibilidade'!P38</f>
        <v>188.09999999999994</v>
      </c>
      <c r="H152" s="67">
        <v>0.87</v>
      </c>
      <c r="I152" s="67">
        <f t="shared" si="93"/>
        <v>0.21</v>
      </c>
      <c r="J152" s="67">
        <f t="shared" ref="J152" si="98">H152+I152</f>
        <v>1.08</v>
      </c>
      <c r="K152" s="67">
        <f t="shared" si="95"/>
        <v>203.15</v>
      </c>
      <c r="L152" s="68">
        <f>K152/$K$178</f>
        <v>1.052834407140627E-4</v>
      </c>
    </row>
    <row r="153" spans="2:18" ht="12.95" customHeight="1" x14ac:dyDescent="0.2">
      <c r="B153" s="99"/>
      <c r="C153" s="74"/>
      <c r="D153" s="100"/>
      <c r="E153" s="74"/>
      <c r="F153" s="75"/>
      <c r="G153" s="76"/>
      <c r="H153" s="76"/>
      <c r="I153" s="76"/>
      <c r="J153" s="76"/>
      <c r="K153" s="76"/>
      <c r="L153" s="101"/>
    </row>
    <row r="154" spans="2:18" s="60" customFormat="1" ht="15" customHeight="1" x14ac:dyDescent="0.2">
      <c r="B154" s="86"/>
      <c r="C154" s="86"/>
      <c r="D154" s="86"/>
      <c r="E154" s="285" t="str">
        <f>CONCATENATE("SUBTOTAL ",C132)</f>
        <v>SUBTOTAL 8</v>
      </c>
      <c r="F154" s="285"/>
      <c r="G154" s="285"/>
      <c r="H154" s="223"/>
      <c r="I154" s="284"/>
      <c r="J154" s="284"/>
      <c r="K154" s="224">
        <f>SUM(K132:K153)</f>
        <v>129036.31999999998</v>
      </c>
      <c r="L154" s="88">
        <f>SUM(L132:L153)</f>
        <v>6.6873678300176334E-2</v>
      </c>
    </row>
    <row r="155" spans="2:18" ht="5.0999999999999996" customHeight="1" x14ac:dyDescent="0.2"/>
    <row r="156" spans="2:18" s="60" customFormat="1" ht="15" customHeight="1" x14ac:dyDescent="0.2">
      <c r="B156" s="89"/>
      <c r="C156" s="90">
        <v>9</v>
      </c>
      <c r="D156" s="91" t="s">
        <v>42</v>
      </c>
      <c r="E156" s="92"/>
      <c r="F156" s="92"/>
      <c r="G156" s="92"/>
      <c r="H156" s="92"/>
      <c r="I156" s="92"/>
      <c r="J156" s="92"/>
      <c r="K156" s="92"/>
      <c r="L156" s="93"/>
    </row>
    <row r="157" spans="2:18" ht="12.95" customHeight="1" x14ac:dyDescent="0.2">
      <c r="B157" s="94"/>
      <c r="C157" s="95"/>
      <c r="D157" s="61"/>
      <c r="E157" s="95"/>
      <c r="F157" s="94"/>
      <c r="G157" s="62"/>
      <c r="H157" s="62"/>
      <c r="I157" s="62"/>
      <c r="J157" s="62"/>
      <c r="K157" s="62"/>
      <c r="L157" s="96"/>
    </row>
    <row r="158" spans="2:18" ht="12.95" customHeight="1" x14ac:dyDescent="0.2">
      <c r="B158" s="66"/>
      <c r="C158" s="64"/>
      <c r="D158" s="97" t="s">
        <v>53</v>
      </c>
      <c r="E158" s="64"/>
      <c r="F158" s="66"/>
      <c r="G158" s="67"/>
      <c r="H158" s="67"/>
      <c r="I158" s="67"/>
      <c r="J158" s="67"/>
      <c r="K158" s="67"/>
      <c r="L158" s="68"/>
    </row>
    <row r="159" spans="2:18" ht="26.1" customHeight="1" x14ac:dyDescent="0.2">
      <c r="B159" s="63">
        <v>102512</v>
      </c>
      <c r="C159" s="64">
        <f>IF(G159&gt;0,C156+0.01,C156)</f>
        <v>9.01</v>
      </c>
      <c r="D159" s="65" t="s">
        <v>449</v>
      </c>
      <c r="E159" s="64"/>
      <c r="F159" s="66" t="s">
        <v>14</v>
      </c>
      <c r="G159" s="67">
        <f>Sinalização!Q10+Sinalização!Q11+Sinalização!Q14</f>
        <v>400.63</v>
      </c>
      <c r="H159" s="67">
        <v>6</v>
      </c>
      <c r="I159" s="67">
        <f t="shared" ref="I159:I160" si="99">ROUND((H159*$L$6),2)</f>
        <v>1.44</v>
      </c>
      <c r="J159" s="67">
        <f t="shared" ref="J159" si="100">H159+I159</f>
        <v>7.4399999999999995</v>
      </c>
      <c r="K159" s="67">
        <f>ROUND((G159*J159),3)</f>
        <v>2980.6869999999999</v>
      </c>
      <c r="L159" s="68">
        <f>K159/$K$178</f>
        <v>1.5447550236361179E-3</v>
      </c>
      <c r="N159" s="132"/>
    </row>
    <row r="160" spans="2:18" ht="26.1" customHeight="1" x14ac:dyDescent="0.2">
      <c r="B160" s="63">
        <v>102513</v>
      </c>
      <c r="C160" s="64">
        <f t="shared" ref="C160:C165" si="101">IF(G160&gt;0,C159+0.01,C159)</f>
        <v>9.02</v>
      </c>
      <c r="D160" s="65" t="s">
        <v>450</v>
      </c>
      <c r="E160" s="64"/>
      <c r="F160" s="66" t="s">
        <v>13</v>
      </c>
      <c r="G160" s="67">
        <f>Sinalização!Q18+Sinalização!Q21+Sinalização!Q24</f>
        <v>77.11</v>
      </c>
      <c r="H160" s="67">
        <v>46.57</v>
      </c>
      <c r="I160" s="67">
        <f t="shared" si="99"/>
        <v>11.19</v>
      </c>
      <c r="J160" s="67">
        <f t="shared" ref="J160" si="102">H160+I160</f>
        <v>57.76</v>
      </c>
      <c r="K160" s="67">
        <f>ROUND((G160*J160),4)</f>
        <v>4453.8735999999999</v>
      </c>
      <c r="L160" s="68">
        <f>K160/$K$178</f>
        <v>2.3082408915261086E-3</v>
      </c>
    </row>
    <row r="161" spans="2:21" ht="12.95" customHeight="1" x14ac:dyDescent="0.2">
      <c r="B161" s="66"/>
      <c r="C161" s="64"/>
      <c r="D161" s="71"/>
      <c r="E161" s="64"/>
      <c r="F161" s="70"/>
      <c r="G161" s="67"/>
      <c r="H161" s="216"/>
      <c r="I161" s="67"/>
      <c r="J161" s="67"/>
      <c r="K161" s="67"/>
      <c r="L161" s="68"/>
    </row>
    <row r="162" spans="2:21" ht="12.95" customHeight="1" x14ac:dyDescent="0.2">
      <c r="B162" s="66"/>
      <c r="C162" s="64"/>
      <c r="D162" s="97" t="s">
        <v>54</v>
      </c>
      <c r="E162" s="64"/>
      <c r="F162" s="66"/>
      <c r="G162" s="67"/>
      <c r="H162" s="216"/>
      <c r="I162" s="67"/>
      <c r="J162" s="67"/>
      <c r="K162" s="67"/>
      <c r="L162" s="68"/>
      <c r="U162" s="263"/>
    </row>
    <row r="163" spans="2:21" ht="26.1" customHeight="1" x14ac:dyDescent="0.2">
      <c r="B163" s="98" t="str">
        <f>'SV-01 - Comp. Placa 0,36m²'!$B$11</f>
        <v>SV-01</v>
      </c>
      <c r="C163" s="64">
        <f>IF(G163&gt;0,C160+0.01,C160)</f>
        <v>9.0299999999999994</v>
      </c>
      <c r="D163" s="65" t="str">
        <f>'SV-01 - Comp. Placa 0,36m²'!$C$11</f>
        <v>Fornecimento e instalação de placa de sinalização viária (placa até 0,36m²), incluindo suporte de madeira pintado a cal e fixado em base de concreto não estrutural</v>
      </c>
      <c r="E163" s="64"/>
      <c r="F163" s="70" t="str">
        <f>'SV-01 - Comp. Placa 0,36m²'!$G$11</f>
        <v>un.</v>
      </c>
      <c r="G163" s="216">
        <f>Sinalização!Q26+Sinalização!Q28</f>
        <v>14</v>
      </c>
      <c r="H163" s="67">
        <f>'SV-01 - Comp. Placa 0,36m²'!$I$47</f>
        <v>474.28</v>
      </c>
      <c r="I163" s="67">
        <f t="shared" ref="I163:I165" si="103">ROUND((H163*$L$6),2)</f>
        <v>113.97</v>
      </c>
      <c r="J163" s="67">
        <f t="shared" ref="J163" si="104">H163+I163</f>
        <v>588.25</v>
      </c>
      <c r="K163" s="67">
        <f>ROUND((G163*J163),2)</f>
        <v>8235.5</v>
      </c>
      <c r="L163" s="68">
        <f>K163/$K$178</f>
        <v>4.2680865173549756E-3</v>
      </c>
    </row>
    <row r="164" spans="2:21" ht="12.95" customHeight="1" x14ac:dyDescent="0.2">
      <c r="B164" s="98" t="str">
        <f>'SV-02 - Comp. Pl. Lograd'!$B$11</f>
        <v>SV-02</v>
      </c>
      <c r="C164" s="64">
        <f t="shared" si="101"/>
        <v>9.0399999999999991</v>
      </c>
      <c r="D164" s="65" t="str">
        <f>'SV-02 - Comp. Pl. Lograd'!$C$11</f>
        <v>Placa esmaltada para identificação nº de rua, dimensões 45cm x 25cm</v>
      </c>
      <c r="E164" s="64"/>
      <c r="F164" s="70" t="str">
        <f>'SV-02 - Comp. Pl. Lograd'!$G$11</f>
        <v>un.</v>
      </c>
      <c r="G164" s="216">
        <f>Sinalização!Q30</f>
        <v>20</v>
      </c>
      <c r="H164" s="67">
        <f>'SV-02 - Comp. Pl. Lograd'!$I$42</f>
        <v>140.94</v>
      </c>
      <c r="I164" s="67">
        <f t="shared" si="103"/>
        <v>33.869999999999997</v>
      </c>
      <c r="J164" s="67">
        <f t="shared" ref="J164" si="105">H164+I164</f>
        <v>174.81</v>
      </c>
      <c r="K164" s="67">
        <f>ROUND((G164*J164),3)</f>
        <v>3496.2</v>
      </c>
      <c r="L164" s="68">
        <f>K164/$K$178</f>
        <v>1.8119220547600588E-3</v>
      </c>
    </row>
    <row r="165" spans="2:21" ht="12.95" customHeight="1" x14ac:dyDescent="0.2">
      <c r="B165" s="98" t="str">
        <f>'SV-03 - Comp. Suporte'!$B$11</f>
        <v>SV-03</v>
      </c>
      <c r="C165" s="64">
        <f t="shared" si="101"/>
        <v>9.0499999999999989</v>
      </c>
      <c r="D165" s="65" t="str">
        <f>'SV-03 - Comp. Suporte'!$C$11</f>
        <v>Confecção de suporte e travessa para placa</v>
      </c>
      <c r="E165" s="64"/>
      <c r="F165" s="63" t="str">
        <f>'SV-03 - Comp. Suporte'!$G$11</f>
        <v>un.</v>
      </c>
      <c r="G165" s="216">
        <f>Sinalização!Q32</f>
        <v>10</v>
      </c>
      <c r="H165" s="67">
        <f>'SV-03 - Comp. Suporte'!$I$45</f>
        <v>202.78</v>
      </c>
      <c r="I165" s="67">
        <f t="shared" si="103"/>
        <v>48.73</v>
      </c>
      <c r="J165" s="67">
        <f t="shared" ref="J165" si="106">H165+I165</f>
        <v>251.51</v>
      </c>
      <c r="K165" s="67">
        <f>ROUND((G165*J165),1)</f>
        <v>2515.1</v>
      </c>
      <c r="L165" s="68">
        <f>K165/$K$178</f>
        <v>1.3034623762733894E-3</v>
      </c>
    </row>
    <row r="166" spans="2:21" ht="12.95" customHeight="1" x14ac:dyDescent="0.2">
      <c r="B166" s="99"/>
      <c r="C166" s="74"/>
      <c r="D166" s="100"/>
      <c r="E166" s="74"/>
      <c r="F166" s="75"/>
      <c r="G166" s="76"/>
      <c r="H166" s="76"/>
      <c r="I166" s="76"/>
      <c r="J166" s="76"/>
      <c r="K166" s="76"/>
      <c r="L166" s="101"/>
    </row>
    <row r="167" spans="2:21" s="60" customFormat="1" ht="15" customHeight="1" x14ac:dyDescent="0.2">
      <c r="B167" s="86"/>
      <c r="C167" s="86"/>
      <c r="D167" s="86"/>
      <c r="E167" s="285" t="str">
        <f>CONCATENATE("SUBTOTAL ",C156)</f>
        <v>SUBTOTAL 9</v>
      </c>
      <c r="F167" s="285"/>
      <c r="G167" s="285"/>
      <c r="H167" s="223"/>
      <c r="I167" s="284"/>
      <c r="J167" s="284"/>
      <c r="K167" s="224">
        <f>SUM(K156:K166)</f>
        <v>21681.3606</v>
      </c>
      <c r="L167" s="88">
        <f>SUM(L156:L166)</f>
        <v>1.123646686355065E-2</v>
      </c>
    </row>
    <row r="168" spans="2:21" ht="5.0999999999999996" customHeight="1" x14ac:dyDescent="0.2"/>
    <row r="169" spans="2:21" s="60" customFormat="1" ht="15" customHeight="1" x14ac:dyDescent="0.2">
      <c r="B169" s="55"/>
      <c r="C169" s="56">
        <v>10</v>
      </c>
      <c r="D169" s="57" t="s">
        <v>19</v>
      </c>
      <c r="E169" s="58"/>
      <c r="F169" s="58"/>
      <c r="G169" s="58"/>
      <c r="H169" s="58"/>
      <c r="I169" s="58"/>
      <c r="J169" s="58"/>
      <c r="K169" s="58"/>
      <c r="L169" s="59"/>
      <c r="N169" s="15" t="s">
        <v>345</v>
      </c>
      <c r="O169" s="15" t="s">
        <v>344</v>
      </c>
      <c r="P169" s="15" t="s">
        <v>343</v>
      </c>
    </row>
    <row r="170" spans="2:21" ht="12.95" customHeight="1" x14ac:dyDescent="0.2">
      <c r="B170" s="109">
        <v>90777</v>
      </c>
      <c r="C170" s="95">
        <f>IF(G170&gt;0,C169+0.01,C169)</f>
        <v>10.01</v>
      </c>
      <c r="D170" s="61" t="s">
        <v>407</v>
      </c>
      <c r="E170" s="95"/>
      <c r="F170" s="94" t="s">
        <v>70</v>
      </c>
      <c r="G170" s="62">
        <f t="shared" ref="G170:G173" si="107">ROUND((N170*O170*P170),2)</f>
        <v>99</v>
      </c>
      <c r="H170" s="62">
        <v>116.82</v>
      </c>
      <c r="I170" s="62">
        <f t="shared" ref="I170:I175" si="108">ROUND((H170*$L$6),2)</f>
        <v>28.07</v>
      </c>
      <c r="J170" s="62">
        <f>H170+I170</f>
        <v>144.88999999999999</v>
      </c>
      <c r="K170" s="62">
        <f>ROUND((G170*J170),1)</f>
        <v>14344.1</v>
      </c>
      <c r="L170" s="96">
        <f t="shared" ref="L170:L175" si="109">K170/$K$178</f>
        <v>7.4338971299364349E-3</v>
      </c>
      <c r="N170" s="15">
        <v>0.5</v>
      </c>
      <c r="O170" s="15">
        <v>22</v>
      </c>
      <c r="P170" s="15">
        <v>9</v>
      </c>
    </row>
    <row r="171" spans="2:21" ht="12.95" customHeight="1" x14ac:dyDescent="0.2">
      <c r="B171" s="63">
        <v>90776</v>
      </c>
      <c r="C171" s="64">
        <f t="shared" ref="C171:C173" si="110">IF(G171&gt;0,C170+0.01,C170)</f>
        <v>10.02</v>
      </c>
      <c r="D171" s="65" t="s">
        <v>405</v>
      </c>
      <c r="E171" s="64"/>
      <c r="F171" s="66" t="s">
        <v>70</v>
      </c>
      <c r="G171" s="67">
        <f t="shared" si="107"/>
        <v>1584</v>
      </c>
      <c r="H171" s="67">
        <v>25.19</v>
      </c>
      <c r="I171" s="67">
        <f t="shared" si="108"/>
        <v>6.05</v>
      </c>
      <c r="J171" s="67">
        <f t="shared" ref="J171:J172" si="111">H171+I171</f>
        <v>31.240000000000002</v>
      </c>
      <c r="K171" s="67">
        <f t="shared" ref="K171:K175" si="112">ROUND((G171*J171),2)</f>
        <v>49484.160000000003</v>
      </c>
      <c r="L171" s="68">
        <f t="shared" si="109"/>
        <v>2.5645398108024575E-2</v>
      </c>
      <c r="N171" s="15">
        <v>8</v>
      </c>
      <c r="O171" s="15">
        <v>22</v>
      </c>
      <c r="P171" s="15">
        <f>P170</f>
        <v>9</v>
      </c>
    </row>
    <row r="172" spans="2:21" ht="12.95" customHeight="1" x14ac:dyDescent="0.2">
      <c r="B172" s="63">
        <v>90781</v>
      </c>
      <c r="C172" s="64">
        <f t="shared" si="110"/>
        <v>10.029999999999999</v>
      </c>
      <c r="D172" s="65" t="s">
        <v>346</v>
      </c>
      <c r="E172" s="64"/>
      <c r="F172" s="66" t="s">
        <v>70</v>
      </c>
      <c r="G172" s="67">
        <f t="shared" si="107"/>
        <v>198</v>
      </c>
      <c r="H172" s="67">
        <v>25.27</v>
      </c>
      <c r="I172" s="67">
        <f t="shared" si="108"/>
        <v>6.07</v>
      </c>
      <c r="J172" s="67">
        <f t="shared" si="111"/>
        <v>31.34</v>
      </c>
      <c r="K172" s="67">
        <f t="shared" si="112"/>
        <v>6205.32</v>
      </c>
      <c r="L172" s="68">
        <f t="shared" si="109"/>
        <v>3.2159362064080113E-3</v>
      </c>
      <c r="N172" s="15">
        <v>1</v>
      </c>
      <c r="O172" s="15">
        <v>22</v>
      </c>
      <c r="P172" s="15">
        <f t="shared" ref="P172:P175" si="113">P171</f>
        <v>9</v>
      </c>
    </row>
    <row r="173" spans="2:21" ht="12.95" customHeight="1" x14ac:dyDescent="0.2">
      <c r="B173" s="63">
        <v>88253</v>
      </c>
      <c r="C173" s="64">
        <f t="shared" si="110"/>
        <v>10.039999999999999</v>
      </c>
      <c r="D173" s="65" t="s">
        <v>347</v>
      </c>
      <c r="E173" s="64"/>
      <c r="F173" s="66" t="s">
        <v>70</v>
      </c>
      <c r="G173" s="67">
        <f t="shared" si="107"/>
        <v>198</v>
      </c>
      <c r="H173" s="67">
        <v>12.54</v>
      </c>
      <c r="I173" s="67">
        <f t="shared" si="108"/>
        <v>3.01</v>
      </c>
      <c r="J173" s="67">
        <f t="shared" ref="J173" si="114">H173+I173</f>
        <v>15.549999999999999</v>
      </c>
      <c r="K173" s="67">
        <f t="shared" si="112"/>
        <v>3078.9</v>
      </c>
      <c r="L173" s="68">
        <f t="shared" si="109"/>
        <v>1.5956543717180784E-3</v>
      </c>
      <c r="N173" s="15">
        <v>1</v>
      </c>
      <c r="O173" s="15">
        <v>22</v>
      </c>
      <c r="P173" s="15">
        <f t="shared" si="113"/>
        <v>9</v>
      </c>
    </row>
    <row r="174" spans="2:21" ht="12.95" customHeight="1" x14ac:dyDescent="0.2">
      <c r="B174" s="63">
        <v>88321</v>
      </c>
      <c r="C174" s="64">
        <f t="shared" ref="C174:C175" si="115">IF(G174&gt;0,C173+0.01,C173)</f>
        <v>10.049999999999999</v>
      </c>
      <c r="D174" s="65" t="s">
        <v>555</v>
      </c>
      <c r="E174" s="64"/>
      <c r="F174" s="66" t="s">
        <v>70</v>
      </c>
      <c r="G174" s="67">
        <f t="shared" ref="G174:G175" si="116">ROUND((N174*O174*P174),2)</f>
        <v>198</v>
      </c>
      <c r="H174" s="67">
        <v>32.07</v>
      </c>
      <c r="I174" s="67">
        <f t="shared" si="108"/>
        <v>7.71</v>
      </c>
      <c r="J174" s="67">
        <f t="shared" ref="J174:J175" si="117">H174+I174</f>
        <v>39.78</v>
      </c>
      <c r="K174" s="67">
        <f t="shared" si="112"/>
        <v>7876.44</v>
      </c>
      <c r="L174" s="68">
        <f t="shared" si="109"/>
        <v>4.0820019875848976E-3</v>
      </c>
      <c r="N174" s="15">
        <v>1</v>
      </c>
      <c r="O174" s="15">
        <v>22</v>
      </c>
      <c r="P174" s="15">
        <f t="shared" si="113"/>
        <v>9</v>
      </c>
    </row>
    <row r="175" spans="2:21" ht="12.95" customHeight="1" x14ac:dyDescent="0.2">
      <c r="B175" s="63">
        <v>88249</v>
      </c>
      <c r="C175" s="64">
        <f t="shared" si="115"/>
        <v>10.059999999999999</v>
      </c>
      <c r="D175" s="65" t="s">
        <v>554</v>
      </c>
      <c r="E175" s="64"/>
      <c r="F175" s="66" t="s">
        <v>70</v>
      </c>
      <c r="G175" s="67">
        <f t="shared" si="116"/>
        <v>198</v>
      </c>
      <c r="H175" s="67">
        <v>27</v>
      </c>
      <c r="I175" s="76">
        <f t="shared" si="108"/>
        <v>6.49</v>
      </c>
      <c r="J175" s="67">
        <f t="shared" si="117"/>
        <v>33.49</v>
      </c>
      <c r="K175" s="76">
        <f t="shared" si="112"/>
        <v>6631.02</v>
      </c>
      <c r="L175" s="68">
        <f t="shared" si="109"/>
        <v>3.4365572288642086E-3</v>
      </c>
      <c r="N175" s="15">
        <v>1</v>
      </c>
      <c r="O175" s="15">
        <v>22</v>
      </c>
      <c r="P175" s="15">
        <f t="shared" si="113"/>
        <v>9</v>
      </c>
    </row>
    <row r="176" spans="2:21" s="60" customFormat="1" ht="15" customHeight="1" x14ac:dyDescent="0.2">
      <c r="B176" s="227"/>
      <c r="C176" s="86"/>
      <c r="D176" s="86"/>
      <c r="E176" s="285" t="str">
        <f>CONCATENATE("SUBTOTAL ",C169)</f>
        <v>SUBTOTAL 10</v>
      </c>
      <c r="F176" s="285"/>
      <c r="G176" s="285"/>
      <c r="H176" s="223"/>
      <c r="I176" s="284"/>
      <c r="J176" s="284"/>
      <c r="K176" s="224">
        <f>SUM(K169:K175)</f>
        <v>87619.94</v>
      </c>
      <c r="L176" s="88">
        <f>SUM(L169:L175)</f>
        <v>4.5409445032536203E-2</v>
      </c>
    </row>
    <row r="177" spans="1:14" ht="5.0999999999999996" customHeight="1" x14ac:dyDescent="0.2"/>
    <row r="178" spans="1:14" s="60" customFormat="1" ht="20.100000000000001" customHeight="1" x14ac:dyDescent="0.2">
      <c r="B178" s="286" t="s">
        <v>12</v>
      </c>
      <c r="C178" s="284"/>
      <c r="D178" s="284"/>
      <c r="E178" s="284"/>
      <c r="F178" s="284"/>
      <c r="G178" s="284"/>
      <c r="H178" s="284"/>
      <c r="I178" s="284"/>
      <c r="J178" s="287"/>
      <c r="K178" s="87">
        <f>SUM(K12:K177)/2</f>
        <v>1929553.2005999999</v>
      </c>
      <c r="L178" s="88">
        <f>SUM(L12:L177)/2</f>
        <v>1</v>
      </c>
      <c r="N178" s="275"/>
    </row>
    <row r="179" spans="1:14" x14ac:dyDescent="0.2">
      <c r="A179" s="114"/>
      <c r="B179" s="114"/>
      <c r="C179" s="114"/>
      <c r="D179" s="114"/>
      <c r="E179" s="114"/>
      <c r="F179" s="114"/>
      <c r="G179" s="114"/>
      <c r="H179" s="114"/>
      <c r="I179" s="114"/>
      <c r="J179" s="114"/>
      <c r="K179" s="114"/>
      <c r="L179" s="114"/>
    </row>
    <row r="180" spans="1:14" ht="14.1" customHeight="1" x14ac:dyDescent="0.2">
      <c r="A180" s="114"/>
      <c r="B180" s="114"/>
      <c r="C180" s="114"/>
      <c r="D180" s="116" t="s">
        <v>18</v>
      </c>
      <c r="E180" s="114"/>
      <c r="F180" s="114"/>
      <c r="G180" s="114"/>
      <c r="H180" s="114"/>
      <c r="I180" s="114"/>
      <c r="J180" s="114"/>
      <c r="K180" s="114"/>
      <c r="L180" s="114"/>
    </row>
    <row r="181" spans="1:14" ht="5.0999999999999996" customHeight="1" x14ac:dyDescent="0.2">
      <c r="A181" s="114"/>
      <c r="B181" s="114"/>
      <c r="C181" s="114"/>
      <c r="D181" s="114"/>
      <c r="E181" s="114"/>
      <c r="F181" s="114"/>
      <c r="G181" s="114"/>
      <c r="H181" s="114"/>
      <c r="I181" s="114"/>
      <c r="J181" s="114"/>
      <c r="K181" s="114"/>
      <c r="L181" s="114"/>
    </row>
    <row r="182" spans="1:14" ht="14.1" customHeight="1" x14ac:dyDescent="0.2">
      <c r="A182" s="114"/>
      <c r="B182" s="114"/>
      <c r="C182" s="117">
        <f>C13</f>
        <v>1</v>
      </c>
      <c r="D182" s="116" t="str">
        <f>D13</f>
        <v>SERVIÇOS PRELIMINARES</v>
      </c>
      <c r="E182" s="114"/>
      <c r="F182" s="114"/>
      <c r="G182" s="114"/>
      <c r="H182" s="114"/>
      <c r="I182" s="114"/>
      <c r="J182" s="114"/>
      <c r="K182" s="115">
        <f>K16</f>
        <v>11783.48</v>
      </c>
      <c r="L182" s="118">
        <f>L16</f>
        <v>6.1068438000755274E-3</v>
      </c>
    </row>
    <row r="183" spans="1:14" ht="14.1" customHeight="1" x14ac:dyDescent="0.2">
      <c r="A183" s="114"/>
      <c r="B183" s="114"/>
      <c r="C183" s="117">
        <f>C18</f>
        <v>2</v>
      </c>
      <c r="D183" s="116" t="str">
        <f>D18</f>
        <v>DRENAGEM DE ÁGUAS PLUVIAIS - TERRAPLENAGEM</v>
      </c>
      <c r="E183" s="114"/>
      <c r="F183" s="114"/>
      <c r="G183" s="114"/>
      <c r="H183" s="114"/>
      <c r="I183" s="114"/>
      <c r="J183" s="114"/>
      <c r="K183" s="115">
        <f>K38</f>
        <v>165403.1</v>
      </c>
      <c r="L183" s="118">
        <f>L38</f>
        <v>8.5720932674241593E-2</v>
      </c>
    </row>
    <row r="184" spans="1:14" ht="14.1" customHeight="1" x14ac:dyDescent="0.2">
      <c r="A184" s="114"/>
      <c r="B184" s="114"/>
      <c r="C184" s="117">
        <f>C40</f>
        <v>3</v>
      </c>
      <c r="D184" s="116" t="str">
        <f>D40</f>
        <v>DRENAGEM DE ÁGUAS PLUVIAIS - DISPOSITIVOS ESTRUTURAIS 01</v>
      </c>
      <c r="E184" s="114"/>
      <c r="F184" s="114"/>
      <c r="G184" s="114"/>
      <c r="H184" s="114"/>
      <c r="I184" s="114"/>
      <c r="J184" s="114"/>
      <c r="K184" s="115">
        <f>K64</f>
        <v>443857.12</v>
      </c>
      <c r="L184" s="118">
        <f>L64</f>
        <v>0.23003103509246672</v>
      </c>
    </row>
    <row r="185" spans="1:14" ht="14.1" customHeight="1" x14ac:dyDescent="0.2">
      <c r="A185" s="114"/>
      <c r="B185" s="114"/>
      <c r="C185" s="117">
        <f>C66</f>
        <v>4</v>
      </c>
      <c r="D185" s="116" t="str">
        <f>D66</f>
        <v>DRENAGEM DE ÁGUAS PLUVIAIS - DISPOSITIVOS ESTRUTURAIS 02</v>
      </c>
      <c r="E185" s="114"/>
      <c r="F185" s="114"/>
      <c r="G185" s="114"/>
      <c r="H185" s="114"/>
      <c r="I185" s="114"/>
      <c r="J185" s="114"/>
      <c r="K185" s="115">
        <f>K78</f>
        <v>90090.289999999979</v>
      </c>
      <c r="L185" s="118">
        <f>L78</f>
        <v>4.6689715511335043E-2</v>
      </c>
    </row>
    <row r="186" spans="1:14" ht="14.1" customHeight="1" x14ac:dyDescent="0.2">
      <c r="A186" s="114"/>
      <c r="B186" s="114"/>
      <c r="C186" s="117">
        <f>C80</f>
        <v>5</v>
      </c>
      <c r="D186" s="116" t="str">
        <f>D80</f>
        <v>IMPLANTAÇÃO ASFÁLTICA - TERRAPLENAGEM - VIÁRIO</v>
      </c>
      <c r="E186" s="114"/>
      <c r="F186" s="114"/>
      <c r="G186" s="114"/>
      <c r="H186" s="114"/>
      <c r="I186" s="114"/>
      <c r="J186" s="114"/>
      <c r="K186" s="115">
        <f>K88</f>
        <v>107195.45</v>
      </c>
      <c r="L186" s="118">
        <f>L88</f>
        <v>5.5554544941630681E-2</v>
      </c>
    </row>
    <row r="187" spans="1:14" ht="14.1" customHeight="1" x14ac:dyDescent="0.2">
      <c r="A187" s="114"/>
      <c r="B187" s="114"/>
      <c r="C187" s="117">
        <f>C90</f>
        <v>6</v>
      </c>
      <c r="D187" s="116" t="str">
        <f>D90</f>
        <v>IMPLANTAÇÃO ASFÁLTICA - PAVIMENTAÇÃO</v>
      </c>
      <c r="E187" s="114"/>
      <c r="F187" s="114"/>
      <c r="G187" s="114"/>
      <c r="H187" s="114"/>
      <c r="I187" s="114"/>
      <c r="J187" s="114"/>
      <c r="K187" s="115">
        <f>K119</f>
        <v>760731.1</v>
      </c>
      <c r="L187" s="118">
        <f>L119</f>
        <v>0.39425246205362391</v>
      </c>
    </row>
    <row r="188" spans="1:14" ht="14.1" customHeight="1" x14ac:dyDescent="0.2">
      <c r="A188" s="114"/>
      <c r="B188" s="114"/>
      <c r="C188" s="117">
        <f>C121</f>
        <v>7</v>
      </c>
      <c r="D188" s="116" t="str">
        <f>D121</f>
        <v>SERVIÇOS COMPLEMENTARES</v>
      </c>
      <c r="E188" s="114"/>
      <c r="F188" s="114"/>
      <c r="G188" s="114"/>
      <c r="H188" s="114"/>
      <c r="I188" s="114"/>
      <c r="J188" s="114"/>
      <c r="K188" s="115">
        <f>K130</f>
        <v>112155.04</v>
      </c>
      <c r="L188" s="118">
        <f>L130</f>
        <v>5.8124875730363422E-2</v>
      </c>
    </row>
    <row r="189" spans="1:14" ht="14.1" customHeight="1" x14ac:dyDescent="0.2">
      <c r="A189" s="114"/>
      <c r="B189" s="114"/>
      <c r="C189" s="117">
        <f>C132</f>
        <v>8</v>
      </c>
      <c r="D189" s="116" t="str">
        <f>D132</f>
        <v>PASSEIO COM ACESSIBILIDADE</v>
      </c>
      <c r="E189" s="114"/>
      <c r="F189" s="114"/>
      <c r="G189" s="114"/>
      <c r="H189" s="114"/>
      <c r="I189" s="114"/>
      <c r="J189" s="114"/>
      <c r="K189" s="115">
        <f>K154</f>
        <v>129036.31999999998</v>
      </c>
      <c r="L189" s="118">
        <f>L154</f>
        <v>6.6873678300176334E-2</v>
      </c>
    </row>
    <row r="190" spans="1:14" ht="14.1" customHeight="1" x14ac:dyDescent="0.2">
      <c r="A190" s="114"/>
      <c r="B190" s="114"/>
      <c r="C190" s="117">
        <f>C156</f>
        <v>9</v>
      </c>
      <c r="D190" s="116" t="str">
        <f>D156</f>
        <v>SINALIZAÇÃO VIÁRIA</v>
      </c>
      <c r="E190" s="114"/>
      <c r="F190" s="114"/>
      <c r="G190" s="114"/>
      <c r="H190" s="114"/>
      <c r="I190" s="114"/>
      <c r="J190" s="114"/>
      <c r="K190" s="115">
        <f>K167</f>
        <v>21681.3606</v>
      </c>
      <c r="L190" s="118">
        <f>L167</f>
        <v>1.123646686355065E-2</v>
      </c>
    </row>
    <row r="191" spans="1:14" ht="14.1" customHeight="1" x14ac:dyDescent="0.2">
      <c r="A191" s="114"/>
      <c r="B191" s="114"/>
      <c r="C191" s="117">
        <f>C169</f>
        <v>10</v>
      </c>
      <c r="D191" s="116" t="str">
        <f>D169</f>
        <v>ADMINISTRAÇÃO LOCAL</v>
      </c>
      <c r="E191" s="114"/>
      <c r="F191" s="114"/>
      <c r="G191" s="114"/>
      <c r="H191" s="114"/>
      <c r="I191" s="114"/>
      <c r="J191" s="114"/>
      <c r="K191" s="115">
        <f>K176</f>
        <v>87619.94</v>
      </c>
      <c r="L191" s="118">
        <f>L176</f>
        <v>4.5409445032536203E-2</v>
      </c>
    </row>
    <row r="192" spans="1:14" ht="5.0999999999999996" customHeight="1" x14ac:dyDescent="0.2">
      <c r="A192" s="114"/>
      <c r="B192" s="114"/>
      <c r="C192" s="114"/>
      <c r="D192" s="114"/>
      <c r="E192" s="114"/>
      <c r="F192" s="114"/>
      <c r="G192" s="114"/>
      <c r="H192" s="114"/>
      <c r="I192" s="114"/>
      <c r="J192" s="114"/>
      <c r="K192" s="114"/>
      <c r="L192" s="114"/>
    </row>
    <row r="193" spans="1:12" s="114" customFormat="1" ht="15" customHeight="1" x14ac:dyDescent="0.2">
      <c r="K193" s="115">
        <f>SUM(K181:K192)</f>
        <v>1929553.2006000001</v>
      </c>
      <c r="L193" s="118">
        <f>SUM(L181:L192)</f>
        <v>1</v>
      </c>
    </row>
    <row r="194" spans="1:12" x14ac:dyDescent="0.2">
      <c r="A194" s="114"/>
      <c r="B194" s="114"/>
      <c r="C194" s="114"/>
      <c r="D194" s="114"/>
      <c r="E194" s="114"/>
      <c r="F194" s="114"/>
      <c r="G194" s="114"/>
      <c r="H194" s="114"/>
      <c r="I194" s="114"/>
      <c r="J194" s="114"/>
      <c r="K194" s="114"/>
      <c r="L194" s="114"/>
    </row>
  </sheetData>
  <mergeCells count="35">
    <mergeCell ref="K2:L2"/>
    <mergeCell ref="H2:J2"/>
    <mergeCell ref="H3:J3"/>
    <mergeCell ref="H4:J5"/>
    <mergeCell ref="K3:L5"/>
    <mergeCell ref="B8:L8"/>
    <mergeCell ref="C10:C11"/>
    <mergeCell ref="D10:D11"/>
    <mergeCell ref="E10:E11"/>
    <mergeCell ref="F10:F11"/>
    <mergeCell ref="G10:G11"/>
    <mergeCell ref="H10:K10"/>
    <mergeCell ref="B10:B11"/>
    <mergeCell ref="L10:L11"/>
    <mergeCell ref="E154:G154"/>
    <mergeCell ref="E16:G16"/>
    <mergeCell ref="E38:G38"/>
    <mergeCell ref="B178:J178"/>
    <mergeCell ref="I78:J78"/>
    <mergeCell ref="I88:J88"/>
    <mergeCell ref="I16:J16"/>
    <mergeCell ref="I38:J38"/>
    <mergeCell ref="I154:J154"/>
    <mergeCell ref="I167:J167"/>
    <mergeCell ref="I176:J176"/>
    <mergeCell ref="I119:J119"/>
    <mergeCell ref="I130:J130"/>
    <mergeCell ref="E167:G167"/>
    <mergeCell ref="E176:G176"/>
    <mergeCell ref="E64:G64"/>
    <mergeCell ref="I64:J64"/>
    <mergeCell ref="E130:G130"/>
    <mergeCell ref="E78:G78"/>
    <mergeCell ref="E88:G88"/>
    <mergeCell ref="E119:G119"/>
  </mergeCells>
  <phoneticPr fontId="36" type="noConversion"/>
  <printOptions horizontalCentered="1"/>
  <pageMargins left="0.59055118110236227" right="0.39370078740157483" top="0.39370078740157483" bottom="0.98425196850393704" header="0.31496062992125984" footer="0.31496062992125984"/>
  <pageSetup paperSize="9" scale="80"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rowBreaks count="5" manualBreakCount="5">
    <brk id="38" min="1" max="11" man="1"/>
    <brk id="57" min="1" max="11" man="1"/>
    <brk id="79" min="1" max="11" man="1"/>
    <brk id="131" min="1" max="11" man="1"/>
    <brk id="155" min="1" max="11" man="1"/>
  </rowBreaks>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3"/>
  <dimension ref="B1:CJ312"/>
  <sheetViews>
    <sheetView showGridLines="0" view="pageBreakPreview" topLeftCell="A13" zoomScaleNormal="100" zoomScaleSheetLayoutView="100" workbookViewId="0">
      <selection activeCell="E23" sqref="E23:G23"/>
    </sheetView>
  </sheetViews>
  <sheetFormatPr defaultColWidth="10.28515625" defaultRowHeight="12.75" x14ac:dyDescent="0.2"/>
  <cols>
    <col min="1" max="1" width="1.7109375" style="133" customWidth="1"/>
    <col min="2" max="2" width="2.28515625" style="133" customWidth="1"/>
    <col min="3" max="3" width="35.85546875" style="133" customWidth="1"/>
    <col min="4" max="7" width="14.7109375" style="133" customWidth="1"/>
    <col min="8" max="8" width="2.28515625" style="133" customWidth="1"/>
    <col min="9" max="9" width="3.28515625" style="133" customWidth="1"/>
    <col min="10" max="10" width="23.140625" style="133" hidden="1" customWidth="1"/>
    <col min="11" max="11" width="47.7109375" style="133" hidden="1" customWidth="1"/>
    <col min="12" max="13" width="10.28515625" style="133"/>
    <col min="14" max="14" width="18.7109375" style="133" bestFit="1" customWidth="1"/>
    <col min="15" max="15" width="0" style="133" hidden="1" customWidth="1"/>
    <col min="16" max="16" width="15.42578125" style="133" hidden="1" customWidth="1"/>
    <col min="17" max="17" width="41.7109375" style="133" hidden="1" customWidth="1"/>
    <col min="18" max="18" width="18.85546875" style="133" hidden="1" customWidth="1"/>
    <col min="19" max="25" width="11.7109375" style="133" hidden="1" customWidth="1"/>
    <col min="26" max="38" width="0" style="133" hidden="1" customWidth="1"/>
    <col min="39" max="39" width="13.85546875" style="133" hidden="1" customWidth="1"/>
    <col min="40" max="40" width="38.7109375" style="133" hidden="1" customWidth="1"/>
    <col min="41" max="41" width="11.85546875" style="133" hidden="1" customWidth="1"/>
    <col min="42" max="42" width="8.7109375" style="133" hidden="1" customWidth="1"/>
    <col min="43" max="43" width="11.85546875" style="133" hidden="1" customWidth="1"/>
    <col min="44" max="44" width="9.28515625" style="133" hidden="1" customWidth="1"/>
    <col min="45" max="45" width="11.85546875" style="133" hidden="1" customWidth="1"/>
    <col min="46" max="46" width="7.28515625" style="133" hidden="1" customWidth="1"/>
    <col min="47" max="72" width="10.28515625" style="133"/>
    <col min="73" max="73" width="22.7109375" style="133" bestFit="1" customWidth="1"/>
    <col min="74" max="74" width="29" style="133" customWidth="1"/>
    <col min="75" max="75" width="9.5703125" style="133" customWidth="1"/>
    <col min="76" max="76" width="11.5703125" style="133" customWidth="1"/>
    <col min="77" max="77" width="10.7109375" style="133" customWidth="1"/>
    <col min="78" max="78" width="10.28515625" style="133"/>
    <col min="79" max="82" width="2.42578125" style="133" customWidth="1"/>
    <col min="83" max="83" width="4.85546875" style="133" bestFit="1" customWidth="1"/>
    <col min="84" max="84" width="29.42578125" style="133" bestFit="1" customWidth="1"/>
    <col min="85" max="85" width="17" style="133" bestFit="1" customWidth="1"/>
    <col min="86" max="86" width="14.42578125" style="133" bestFit="1" customWidth="1"/>
    <col min="87" max="87" width="17" style="133" bestFit="1" customWidth="1"/>
    <col min="88" max="88" width="8.85546875" style="133" customWidth="1"/>
    <col min="89" max="98" width="2.42578125" style="133" customWidth="1"/>
    <col min="99" max="16384" width="10.28515625" style="133"/>
  </cols>
  <sheetData>
    <row r="1" spans="2:12" ht="5.0999999999999996" customHeight="1" thickBot="1" x14ac:dyDescent="0.25"/>
    <row r="2" spans="2:12" ht="21" thickBot="1" x14ac:dyDescent="0.25">
      <c r="B2" s="134"/>
      <c r="C2" s="299" t="s">
        <v>452</v>
      </c>
      <c r="D2" s="299"/>
      <c r="E2" s="299"/>
      <c r="F2" s="299"/>
      <c r="G2" s="299"/>
      <c r="H2" s="135"/>
    </row>
    <row r="3" spans="2:12" ht="3.75" customHeight="1" thickTop="1" thickBot="1" x14ac:dyDescent="0.25">
      <c r="B3" s="136"/>
      <c r="C3" s="137"/>
      <c r="D3" s="137"/>
      <c r="E3" s="137"/>
      <c r="F3" s="137"/>
      <c r="G3" s="137"/>
      <c r="H3" s="138"/>
    </row>
    <row r="4" spans="2:12" ht="3.75" customHeight="1" x14ac:dyDescent="0.2">
      <c r="B4" s="139"/>
      <c r="C4" s="140"/>
      <c r="D4" s="140"/>
      <c r="E4" s="140"/>
      <c r="F4" s="140"/>
      <c r="G4" s="140"/>
      <c r="H4" s="141"/>
    </row>
    <row r="5" spans="2:12" ht="14.25" customHeight="1" x14ac:dyDescent="0.2">
      <c r="B5" s="136"/>
      <c r="C5" s="300" t="s">
        <v>453</v>
      </c>
      <c r="D5" s="300"/>
      <c r="E5" s="300"/>
      <c r="F5" s="300"/>
      <c r="G5" s="300"/>
      <c r="H5" s="138"/>
    </row>
    <row r="6" spans="2:12" ht="3.75" customHeight="1" x14ac:dyDescent="0.2">
      <c r="B6" s="136"/>
      <c r="C6" s="142"/>
      <c r="D6" s="142"/>
      <c r="E6" s="142"/>
      <c r="F6" s="142"/>
      <c r="G6" s="142"/>
      <c r="H6" s="138"/>
    </row>
    <row r="7" spans="2:12" ht="38.25" customHeight="1" x14ac:dyDescent="0.2">
      <c r="B7" s="136"/>
      <c r="C7" s="143" t="s">
        <v>454</v>
      </c>
      <c r="D7" s="301" t="s">
        <v>455</v>
      </c>
      <c r="E7" s="302"/>
      <c r="F7" s="302"/>
      <c r="G7" s="303"/>
      <c r="H7" s="138"/>
    </row>
    <row r="8" spans="2:12" x14ac:dyDescent="0.2">
      <c r="B8" s="136"/>
      <c r="C8" s="142"/>
      <c r="H8" s="138"/>
    </row>
    <row r="9" spans="2:12" x14ac:dyDescent="0.2">
      <c r="B9" s="136"/>
      <c r="C9" s="143" t="s">
        <v>456</v>
      </c>
      <c r="G9" s="144" t="s">
        <v>457</v>
      </c>
      <c r="H9" s="138"/>
      <c r="L9" s="145" t="str">
        <f>IF(G9="","PREENCHER SE A OBRA POSSUI FOLHA DE PAGAMENTO DESONERADA","")</f>
        <v/>
      </c>
    </row>
    <row r="10" spans="2:12" x14ac:dyDescent="0.2">
      <c r="B10" s="136"/>
      <c r="C10" s="146" t="s">
        <v>458</v>
      </c>
      <c r="H10" s="138"/>
    </row>
    <row r="11" spans="2:12" x14ac:dyDescent="0.2">
      <c r="B11" s="136"/>
      <c r="C11" s="142"/>
      <c r="D11" s="142"/>
      <c r="E11" s="142"/>
      <c r="F11" s="147"/>
      <c r="G11" s="142"/>
      <c r="H11" s="138"/>
    </row>
    <row r="12" spans="2:12" x14ac:dyDescent="0.2">
      <c r="B12" s="136"/>
      <c r="C12" s="142" t="s">
        <v>459</v>
      </c>
      <c r="D12" s="142"/>
      <c r="E12" s="142"/>
      <c r="F12" s="147"/>
      <c r="G12" s="142"/>
      <c r="H12" s="138"/>
    </row>
    <row r="13" spans="2:12" ht="81" customHeight="1" x14ac:dyDescent="0.2">
      <c r="B13" s="136"/>
      <c r="C13" s="304" t="str">
        <f>VLOOKUP(BV295,BW257:BX262,2,0)</f>
        <v>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v>
      </c>
      <c r="D13" s="305"/>
      <c r="E13" s="305"/>
      <c r="F13" s="305"/>
      <c r="G13" s="306"/>
      <c r="H13" s="138"/>
    </row>
    <row r="14" spans="2:12" ht="3.75" customHeight="1" x14ac:dyDescent="0.2">
      <c r="B14" s="136"/>
      <c r="C14" s="142"/>
      <c r="D14" s="142"/>
      <c r="E14" s="142"/>
      <c r="F14" s="147"/>
      <c r="G14" s="142"/>
      <c r="H14" s="138"/>
    </row>
    <row r="15" spans="2:12" x14ac:dyDescent="0.2">
      <c r="B15" s="136"/>
      <c r="C15" s="142" t="s">
        <v>460</v>
      </c>
      <c r="D15" s="142"/>
      <c r="E15" s="142"/>
      <c r="F15" s="147"/>
      <c r="G15" s="142"/>
      <c r="H15" s="138"/>
    </row>
    <row r="16" spans="2:12" ht="3.75" customHeight="1" x14ac:dyDescent="0.2">
      <c r="B16" s="136"/>
      <c r="C16" s="142"/>
      <c r="D16" s="142"/>
      <c r="E16" s="142"/>
      <c r="F16" s="147"/>
      <c r="G16" s="142"/>
      <c r="H16" s="138"/>
    </row>
    <row r="17" spans="2:49" x14ac:dyDescent="0.2">
      <c r="B17" s="136"/>
      <c r="C17" s="142" t="s">
        <v>461</v>
      </c>
      <c r="D17" s="142"/>
      <c r="E17" s="142"/>
      <c r="F17" s="307" t="s">
        <v>462</v>
      </c>
      <c r="G17" s="307"/>
      <c r="H17" s="138"/>
      <c r="L17" s="296" t="str">
        <f>IF(F17="LUCRO REAL","PARA CÁLCULO DO IMPOSTO PREENCHER O % ADOTADO DE LUCRO NO CÁLCULO DO BDI - CELULA F40","")</f>
        <v/>
      </c>
      <c r="M17" s="296"/>
      <c r="N17" s="296"/>
      <c r="O17" s="296"/>
      <c r="P17" s="296"/>
      <c r="Q17" s="296"/>
      <c r="R17" s="296"/>
      <c r="S17" s="296"/>
      <c r="T17" s="296"/>
      <c r="U17" s="296"/>
      <c r="V17" s="296"/>
      <c r="W17" s="296"/>
      <c r="X17" s="296"/>
      <c r="Y17" s="296"/>
      <c r="Z17" s="296"/>
      <c r="AA17" s="296"/>
      <c r="AB17" s="296"/>
      <c r="AC17" s="296"/>
      <c r="AD17" s="296"/>
      <c r="AE17" s="296"/>
      <c r="AF17" s="296"/>
      <c r="AG17" s="296"/>
      <c r="AH17" s="296"/>
      <c r="AI17" s="296"/>
      <c r="AJ17" s="296"/>
      <c r="AK17" s="296"/>
      <c r="AL17" s="296"/>
      <c r="AM17" s="296"/>
      <c r="AN17" s="296"/>
      <c r="AO17" s="296"/>
      <c r="AP17" s="296"/>
      <c r="AQ17" s="296"/>
      <c r="AR17" s="296"/>
      <c r="AS17" s="296"/>
      <c r="AT17" s="296"/>
      <c r="AU17" s="296"/>
      <c r="AV17" s="296"/>
      <c r="AW17" s="296"/>
    </row>
    <row r="18" spans="2:49" ht="3.75" customHeight="1" x14ac:dyDescent="0.2">
      <c r="B18" s="136"/>
      <c r="C18" s="142"/>
      <c r="D18" s="142"/>
      <c r="E18" s="142"/>
      <c r="F18" s="148"/>
      <c r="G18" s="148"/>
      <c r="H18" s="138"/>
      <c r="L18" s="296"/>
      <c r="M18" s="296"/>
      <c r="N18" s="296"/>
      <c r="O18" s="296"/>
      <c r="P18" s="296"/>
      <c r="Q18" s="296"/>
      <c r="R18" s="296"/>
      <c r="S18" s="296"/>
      <c r="T18" s="296"/>
      <c r="U18" s="296"/>
      <c r="V18" s="296"/>
      <c r="W18" s="296"/>
      <c r="X18" s="296"/>
      <c r="Y18" s="296"/>
      <c r="Z18" s="296"/>
      <c r="AA18" s="296"/>
      <c r="AB18" s="296"/>
      <c r="AC18" s="296"/>
      <c r="AD18" s="296"/>
      <c r="AE18" s="296"/>
      <c r="AF18" s="296"/>
      <c r="AG18" s="296"/>
      <c r="AH18" s="296"/>
      <c r="AI18" s="296"/>
      <c r="AJ18" s="296"/>
      <c r="AK18" s="296"/>
      <c r="AL18" s="296"/>
      <c r="AM18" s="296"/>
      <c r="AN18" s="296"/>
      <c r="AO18" s="296"/>
      <c r="AP18" s="296"/>
      <c r="AQ18" s="296"/>
      <c r="AR18" s="296"/>
      <c r="AS18" s="296"/>
      <c r="AT18" s="296"/>
      <c r="AU18" s="296"/>
      <c r="AV18" s="296"/>
      <c r="AW18" s="296"/>
    </row>
    <row r="19" spans="2:49" x14ac:dyDescent="0.2">
      <c r="B19" s="136"/>
      <c r="C19" s="148" t="s">
        <v>463</v>
      </c>
      <c r="D19" s="148" t="s">
        <v>464</v>
      </c>
      <c r="E19" s="297" t="s">
        <v>465</v>
      </c>
      <c r="F19" s="297"/>
      <c r="G19" s="297"/>
      <c r="H19" s="138"/>
      <c r="L19" s="296"/>
      <c r="M19" s="296"/>
      <c r="N19" s="296"/>
      <c r="O19" s="296"/>
      <c r="P19" s="296"/>
      <c r="Q19" s="296"/>
      <c r="R19" s="296"/>
      <c r="S19" s="296"/>
      <c r="T19" s="296"/>
      <c r="U19" s="296"/>
      <c r="V19" s="296"/>
      <c r="W19" s="296"/>
      <c r="X19" s="296"/>
      <c r="Y19" s="296"/>
      <c r="Z19" s="296"/>
      <c r="AA19" s="296"/>
      <c r="AB19" s="296"/>
      <c r="AC19" s="296"/>
      <c r="AD19" s="296"/>
      <c r="AE19" s="296"/>
      <c r="AF19" s="296"/>
      <c r="AG19" s="296"/>
      <c r="AH19" s="296"/>
      <c r="AI19" s="296"/>
      <c r="AJ19" s="296"/>
      <c r="AK19" s="296"/>
      <c r="AL19" s="296"/>
      <c r="AM19" s="296"/>
      <c r="AN19" s="296"/>
      <c r="AO19" s="296"/>
      <c r="AP19" s="296"/>
      <c r="AQ19" s="296"/>
      <c r="AR19" s="296"/>
      <c r="AS19" s="296"/>
      <c r="AT19" s="296"/>
      <c r="AU19" s="296"/>
      <c r="AV19" s="296"/>
      <c r="AW19" s="296"/>
    </row>
    <row r="20" spans="2:49" x14ac:dyDescent="0.2">
      <c r="B20" s="136"/>
      <c r="C20" s="149" t="s">
        <v>278</v>
      </c>
      <c r="D20" s="150">
        <f>VLOOKUP($F$17,$CF$266:$CI$267,2,0)</f>
        <v>6.4999999999999997E-3</v>
      </c>
      <c r="E20" s="300" t="str">
        <f>VLOOKUP(F17,CF266:CI267,4,0)</f>
        <v>RECEITA BRUTA (VALOR DA NOTA)</v>
      </c>
      <c r="F20" s="300"/>
      <c r="G20" s="300"/>
      <c r="H20" s="138"/>
    </row>
    <row r="21" spans="2:49" x14ac:dyDescent="0.2">
      <c r="B21" s="136"/>
      <c r="C21" s="149" t="s">
        <v>279</v>
      </c>
      <c r="D21" s="150">
        <f>VLOOKUP($F$17,$CF$266:$CI$267,3,0)</f>
        <v>0.03</v>
      </c>
      <c r="E21" s="300"/>
      <c r="F21" s="300"/>
      <c r="G21" s="300"/>
      <c r="H21" s="138"/>
    </row>
    <row r="22" spans="2:49" x14ac:dyDescent="0.2">
      <c r="B22" s="136"/>
      <c r="C22" s="142"/>
      <c r="D22" s="142"/>
      <c r="E22" s="142"/>
      <c r="F22" s="148"/>
      <c r="G22" s="148"/>
      <c r="H22" s="138"/>
    </row>
    <row r="23" spans="2:49" x14ac:dyDescent="0.2">
      <c r="B23" s="136"/>
      <c r="C23" s="142" t="s">
        <v>466</v>
      </c>
      <c r="D23" s="142"/>
      <c r="E23" s="308" t="s">
        <v>467</v>
      </c>
      <c r="F23" s="308"/>
      <c r="G23" s="308"/>
      <c r="H23" s="138"/>
    </row>
    <row r="24" spans="2:49" x14ac:dyDescent="0.2">
      <c r="B24" s="136"/>
      <c r="C24" s="151">
        <v>0.05</v>
      </c>
      <c r="D24" s="152"/>
      <c r="E24" s="309">
        <v>0.4</v>
      </c>
      <c r="F24" s="309"/>
      <c r="G24" s="309"/>
      <c r="H24" s="138"/>
    </row>
    <row r="25" spans="2:49" ht="3.75" customHeight="1" x14ac:dyDescent="0.2">
      <c r="B25" s="136"/>
      <c r="D25" s="142"/>
      <c r="E25" s="142" t="s">
        <v>468</v>
      </c>
      <c r="F25" s="142"/>
      <c r="G25" s="142"/>
      <c r="H25" s="138"/>
    </row>
    <row r="26" spans="2:49" x14ac:dyDescent="0.2">
      <c r="B26" s="136"/>
      <c r="C26" s="142" t="s">
        <v>469</v>
      </c>
      <c r="D26" s="150">
        <f>+C24*E24</f>
        <v>2.0000000000000004E-2</v>
      </c>
      <c r="E26" s="153"/>
      <c r="F26" s="154"/>
      <c r="H26" s="138"/>
    </row>
    <row r="27" spans="2:49" ht="3.75" customHeight="1" x14ac:dyDescent="0.2">
      <c r="B27" s="136"/>
      <c r="D27" s="150"/>
      <c r="H27" s="138"/>
    </row>
    <row r="28" spans="2:49" ht="15.75" x14ac:dyDescent="0.25">
      <c r="B28" s="136"/>
      <c r="E28" s="310" t="s">
        <v>470</v>
      </c>
      <c r="F28" s="310"/>
      <c r="G28" s="155">
        <f>VLOOKUP(F17,CF266:CJ267,5,0)</f>
        <v>5.6500000000000002E-2</v>
      </c>
      <c r="H28" s="138"/>
    </row>
    <row r="29" spans="2:49" ht="3.75" customHeight="1" x14ac:dyDescent="0.2">
      <c r="B29" s="136"/>
      <c r="D29" s="150"/>
      <c r="H29" s="138"/>
    </row>
    <row r="30" spans="2:49" ht="26.25" customHeight="1" x14ac:dyDescent="0.2">
      <c r="B30" s="136"/>
      <c r="C30" s="311" t="s">
        <v>471</v>
      </c>
      <c r="D30" s="311"/>
      <c r="E30" s="311"/>
      <c r="F30" s="311"/>
      <c r="G30" s="311"/>
      <c r="H30" s="138"/>
    </row>
    <row r="31" spans="2:49" ht="3.75" customHeight="1" thickBot="1" x14ac:dyDescent="0.25">
      <c r="B31" s="156"/>
      <c r="C31" s="298"/>
      <c r="D31" s="298"/>
      <c r="E31" s="298"/>
      <c r="F31" s="298"/>
      <c r="G31" s="298"/>
      <c r="H31" s="157"/>
    </row>
    <row r="32" spans="2:49" ht="6.75" customHeight="1" thickBot="1" x14ac:dyDescent="0.25">
      <c r="B32" s="136"/>
      <c r="H32" s="138"/>
    </row>
    <row r="33" spans="2:10" x14ac:dyDescent="0.2">
      <c r="B33" s="139"/>
      <c r="C33" s="158"/>
      <c r="D33" s="158"/>
      <c r="E33" s="158"/>
      <c r="F33" s="158"/>
      <c r="G33" s="158"/>
      <c r="H33" s="141"/>
    </row>
    <row r="34" spans="2:10" x14ac:dyDescent="0.2">
      <c r="B34" s="136"/>
      <c r="C34" s="310" t="s">
        <v>472</v>
      </c>
      <c r="D34" s="310"/>
      <c r="E34" s="310"/>
      <c r="F34" s="310"/>
      <c r="G34" s="310"/>
      <c r="H34" s="138"/>
    </row>
    <row r="35" spans="2:10" x14ac:dyDescent="0.2">
      <c r="B35" s="136"/>
      <c r="C35" s="310"/>
      <c r="D35" s="310"/>
      <c r="E35" s="310"/>
      <c r="F35" s="310"/>
      <c r="G35" s="310"/>
      <c r="H35" s="138"/>
    </row>
    <row r="36" spans="2:10" x14ac:dyDescent="0.2">
      <c r="B36" s="136"/>
      <c r="C36" s="159" t="s">
        <v>473</v>
      </c>
      <c r="D36" s="159" t="s">
        <v>276</v>
      </c>
      <c r="E36" s="159" t="s">
        <v>275</v>
      </c>
      <c r="F36" s="159" t="s">
        <v>274</v>
      </c>
      <c r="G36" s="160" t="s">
        <v>474</v>
      </c>
      <c r="H36" s="138"/>
      <c r="J36" s="161" t="s">
        <v>475</v>
      </c>
    </row>
    <row r="37" spans="2:10" x14ac:dyDescent="0.2">
      <c r="B37" s="136"/>
      <c r="C37" s="162" t="s">
        <v>476</v>
      </c>
      <c r="D37" s="163">
        <f t="shared" ref="D37:F41" si="0">BW296</f>
        <v>3.7999999999999999E-2</v>
      </c>
      <c r="E37" s="163">
        <f t="shared" si="0"/>
        <v>4.0099999999999997E-2</v>
      </c>
      <c r="F37" s="163">
        <f t="shared" si="0"/>
        <v>4.6699999999999998E-2</v>
      </c>
      <c r="G37" s="164">
        <v>4.6699999999999998E-2</v>
      </c>
      <c r="H37" s="165"/>
      <c r="I37" s="166"/>
      <c r="J37" s="166">
        <f>TRUNC(G37,4)</f>
        <v>4.6699999999999998E-2</v>
      </c>
    </row>
    <row r="38" spans="2:10" ht="23.45" customHeight="1" x14ac:dyDescent="0.2">
      <c r="B38" s="136"/>
      <c r="C38" s="162" t="s">
        <v>477</v>
      </c>
      <c r="D38" s="163">
        <f t="shared" si="0"/>
        <v>3.2000000000000002E-3</v>
      </c>
      <c r="E38" s="163">
        <f t="shared" si="0"/>
        <v>4.0000000000000001E-3</v>
      </c>
      <c r="F38" s="163">
        <f t="shared" si="0"/>
        <v>7.4000000000000003E-3</v>
      </c>
      <c r="G38" s="164">
        <v>7.4000000000000003E-3</v>
      </c>
      <c r="H38" s="165"/>
      <c r="I38" s="166"/>
      <c r="J38" s="166">
        <f>TRUNC(G38,4)</f>
        <v>7.4000000000000003E-3</v>
      </c>
    </row>
    <row r="39" spans="2:10" x14ac:dyDescent="0.2">
      <c r="B39" s="136"/>
      <c r="C39" s="162" t="s">
        <v>478</v>
      </c>
      <c r="D39" s="163">
        <f t="shared" si="0"/>
        <v>5.0000000000000001E-3</v>
      </c>
      <c r="E39" s="163">
        <f t="shared" si="0"/>
        <v>5.5999999999999999E-3</v>
      </c>
      <c r="F39" s="163">
        <f t="shared" si="0"/>
        <v>9.7000000000000003E-3</v>
      </c>
      <c r="G39" s="164">
        <v>9.7000000000000003E-3</v>
      </c>
      <c r="H39" s="165"/>
      <c r="I39" s="166"/>
      <c r="J39" s="166">
        <f>TRUNC(G39,4)</f>
        <v>9.7000000000000003E-3</v>
      </c>
    </row>
    <row r="40" spans="2:10" x14ac:dyDescent="0.2">
      <c r="B40" s="136"/>
      <c r="C40" s="162" t="s">
        <v>479</v>
      </c>
      <c r="D40" s="163">
        <f t="shared" si="0"/>
        <v>1.0200000000000001E-2</v>
      </c>
      <c r="E40" s="163">
        <f t="shared" si="0"/>
        <v>1.11E-2</v>
      </c>
      <c r="F40" s="163">
        <f t="shared" si="0"/>
        <v>1.21E-2</v>
      </c>
      <c r="G40" s="164">
        <v>1.21E-2</v>
      </c>
      <c r="H40" s="165"/>
      <c r="I40" s="166"/>
      <c r="J40" s="166">
        <f>TRUNC(G40,4)</f>
        <v>1.21E-2</v>
      </c>
    </row>
    <row r="41" spans="2:10" x14ac:dyDescent="0.2">
      <c r="B41" s="136"/>
      <c r="C41" s="162" t="s">
        <v>480</v>
      </c>
      <c r="D41" s="163">
        <f t="shared" si="0"/>
        <v>6.6400000000000001E-2</v>
      </c>
      <c r="E41" s="163">
        <f t="shared" si="0"/>
        <v>7.2999999999999995E-2</v>
      </c>
      <c r="F41" s="163">
        <f t="shared" si="0"/>
        <v>8.6900000000000005E-2</v>
      </c>
      <c r="G41" s="164">
        <v>8.6900000000000005E-2</v>
      </c>
      <c r="H41" s="165"/>
      <c r="I41" s="166"/>
      <c r="J41" s="166">
        <f>TRUNC(G41,4)</f>
        <v>8.6900000000000005E-2</v>
      </c>
    </row>
    <row r="42" spans="2:10" ht="3.75" customHeight="1" x14ac:dyDescent="0.2">
      <c r="B42" s="136"/>
      <c r="C42" s="162"/>
      <c r="D42" s="163"/>
      <c r="E42" s="163"/>
      <c r="F42" s="163"/>
      <c r="H42" s="165"/>
      <c r="I42" s="166"/>
    </row>
    <row r="43" spans="2:10" x14ac:dyDescent="0.2">
      <c r="B43" s="136"/>
      <c r="C43" s="167" t="s">
        <v>481</v>
      </c>
      <c r="D43" s="163"/>
      <c r="E43" s="163"/>
      <c r="F43" s="163"/>
      <c r="G43" s="168">
        <f>G28</f>
        <v>5.6500000000000002E-2</v>
      </c>
      <c r="H43" s="165"/>
      <c r="I43" s="166"/>
      <c r="J43" s="169">
        <f>TRUNC(G43,5)</f>
        <v>5.6500000000000002E-2</v>
      </c>
    </row>
    <row r="44" spans="2:10" ht="3.75" customHeight="1" x14ac:dyDescent="0.2">
      <c r="B44" s="136"/>
      <c r="C44" s="167"/>
      <c r="D44" s="163"/>
      <c r="E44" s="163"/>
      <c r="F44" s="163"/>
      <c r="G44" s="168"/>
      <c r="H44" s="165"/>
      <c r="I44" s="166"/>
      <c r="J44" s="169"/>
    </row>
    <row r="45" spans="2:10" x14ac:dyDescent="0.2">
      <c r="B45" s="136"/>
      <c r="H45" s="165"/>
      <c r="I45" s="166"/>
    </row>
    <row r="46" spans="2:10" x14ac:dyDescent="0.2">
      <c r="B46" s="136"/>
      <c r="H46" s="138"/>
    </row>
    <row r="47" spans="2:10" x14ac:dyDescent="0.2">
      <c r="B47" s="136"/>
      <c r="H47" s="138"/>
    </row>
    <row r="48" spans="2:10" x14ac:dyDescent="0.2">
      <c r="B48" s="136"/>
      <c r="H48" s="138"/>
    </row>
    <row r="49" spans="2:10" x14ac:dyDescent="0.2">
      <c r="B49" s="136"/>
      <c r="H49" s="138"/>
    </row>
    <row r="50" spans="2:10" ht="15.75" x14ac:dyDescent="0.25">
      <c r="B50" s="136"/>
      <c r="C50" s="170" t="s">
        <v>482</v>
      </c>
      <c r="F50" s="313">
        <f>TRUNC((((1+J37+J38+J39)*(1+J40)*(1+J41))/(1-J43))-1,4)</f>
        <v>0.24030000000000001</v>
      </c>
      <c r="G50" s="313"/>
      <c r="H50" s="138"/>
    </row>
    <row r="51" spans="2:10" ht="3.75" customHeight="1" x14ac:dyDescent="0.25">
      <c r="B51" s="136"/>
      <c r="C51" s="170"/>
      <c r="F51" s="171"/>
      <c r="G51" s="171"/>
      <c r="H51" s="138"/>
    </row>
    <row r="52" spans="2:10" x14ac:dyDescent="0.2">
      <c r="B52" s="136"/>
      <c r="C52" s="314" t="str">
        <f>IF(F50&lt;D54,"ERRO - BDI INFERIOR AO 1º QUARTIL",IF(F50&gt;F54,"ERRO - BDI SUPERIOR AO 3º QUARTIL",""))</f>
        <v/>
      </c>
      <c r="D52" s="314"/>
      <c r="E52" s="314"/>
      <c r="F52" s="314"/>
      <c r="G52" s="314"/>
      <c r="H52" s="138"/>
    </row>
    <row r="53" spans="2:10" x14ac:dyDescent="0.2">
      <c r="B53" s="136"/>
      <c r="D53" s="159" t="s">
        <v>276</v>
      </c>
      <c r="E53" s="159" t="s">
        <v>275</v>
      </c>
      <c r="F53" s="159" t="s">
        <v>274</v>
      </c>
      <c r="H53" s="138"/>
    </row>
    <row r="54" spans="2:10" x14ac:dyDescent="0.2">
      <c r="B54" s="136"/>
      <c r="C54" s="167" t="s">
        <v>483</v>
      </c>
      <c r="D54" s="163">
        <f>BW295</f>
        <v>0.19600000000000001</v>
      </c>
      <c r="E54" s="163">
        <f>BX295</f>
        <v>0.2097</v>
      </c>
      <c r="F54" s="163">
        <f>BY295</f>
        <v>0.24229999999999999</v>
      </c>
      <c r="H54" s="138"/>
    </row>
    <row r="55" spans="2:10" ht="3.75" customHeight="1" x14ac:dyDescent="0.2">
      <c r="B55" s="136"/>
      <c r="C55" s="167"/>
      <c r="D55" s="163"/>
      <c r="E55" s="163"/>
      <c r="F55" s="163"/>
      <c r="H55" s="138"/>
    </row>
    <row r="56" spans="2:10" x14ac:dyDescent="0.2">
      <c r="B56" s="136"/>
      <c r="C56" s="310" t="s">
        <v>484</v>
      </c>
      <c r="D56" s="310"/>
      <c r="E56" s="310"/>
      <c r="F56" s="310"/>
      <c r="G56" s="310"/>
      <c r="H56" s="138"/>
    </row>
    <row r="57" spans="2:10" ht="3.75" customHeight="1" x14ac:dyDescent="0.2">
      <c r="B57" s="136"/>
      <c r="C57" s="149"/>
      <c r="D57" s="149"/>
      <c r="E57" s="149"/>
      <c r="F57" s="149"/>
      <c r="G57" s="149"/>
      <c r="H57" s="138"/>
    </row>
    <row r="58" spans="2:10" ht="37.5" customHeight="1" x14ac:dyDescent="0.2">
      <c r="B58" s="136"/>
      <c r="C58" s="315" t="s">
        <v>485</v>
      </c>
      <c r="D58" s="315"/>
      <c r="E58" s="315"/>
      <c r="F58" s="316">
        <f>TRUNC((((1+J37+J38+J39)*(1+J40)*(1+J41))/(1-J60))-1,4)</f>
        <v>0.3024</v>
      </c>
      <c r="G58" s="316"/>
      <c r="H58" s="138"/>
    </row>
    <row r="59" spans="2:10" ht="3.75" customHeight="1" x14ac:dyDescent="0.2">
      <c r="B59" s="136"/>
      <c r="C59" s="172"/>
      <c r="D59" s="173"/>
      <c r="E59" s="173"/>
      <c r="F59" s="173"/>
      <c r="G59" s="174"/>
      <c r="H59" s="138"/>
    </row>
    <row r="60" spans="2:10" ht="15.75" x14ac:dyDescent="0.25">
      <c r="B60" s="136"/>
      <c r="C60" s="175" t="s">
        <v>486</v>
      </c>
      <c r="D60" s="176">
        <v>4.4999999999999998E-2</v>
      </c>
      <c r="E60" s="317" t="s">
        <v>470</v>
      </c>
      <c r="F60" s="317"/>
      <c r="G60" s="177">
        <f>+G28+D60</f>
        <v>0.10150000000000001</v>
      </c>
      <c r="H60" s="138"/>
      <c r="J60" s="169">
        <f>TRUNC(G60,5)</f>
        <v>0.10150000000000001</v>
      </c>
    </row>
    <row r="61" spans="2:10" ht="3.75" customHeight="1" x14ac:dyDescent="0.2">
      <c r="B61" s="136"/>
      <c r="C61" s="172"/>
      <c r="D61" s="173"/>
      <c r="E61" s="173"/>
      <c r="F61" s="173"/>
      <c r="G61" s="174"/>
      <c r="H61" s="138"/>
    </row>
    <row r="62" spans="2:10" x14ac:dyDescent="0.2">
      <c r="B62" s="136"/>
      <c r="C62" s="174"/>
      <c r="D62" s="174"/>
      <c r="E62" s="174"/>
      <c r="F62" s="174"/>
      <c r="G62" s="174"/>
      <c r="H62" s="138"/>
    </row>
    <row r="63" spans="2:10" ht="15" x14ac:dyDescent="0.25">
      <c r="B63" s="136"/>
      <c r="C63" s="174"/>
      <c r="D63" s="174"/>
      <c r="E63" s="174"/>
      <c r="F63" s="174"/>
      <c r="G63" s="174"/>
      <c r="H63" s="138"/>
      <c r="J63" s="178"/>
    </row>
    <row r="64" spans="2:10" ht="15" x14ac:dyDescent="0.25">
      <c r="B64" s="136"/>
      <c r="C64" s="174"/>
      <c r="D64" s="174"/>
      <c r="E64" s="174"/>
      <c r="F64" s="174"/>
      <c r="G64" s="174"/>
      <c r="H64" s="138"/>
      <c r="J64" s="178"/>
    </row>
    <row r="65" spans="2:10" ht="12.95" customHeight="1" x14ac:dyDescent="0.2">
      <c r="B65" s="318" t="s">
        <v>573</v>
      </c>
      <c r="C65" s="319"/>
      <c r="D65" s="319"/>
      <c r="E65" s="319"/>
      <c r="F65" s="319"/>
      <c r="G65" s="319"/>
      <c r="H65" s="320"/>
      <c r="J65" s="179"/>
    </row>
    <row r="66" spans="2:10" ht="12.95" customHeight="1" x14ac:dyDescent="0.25">
      <c r="B66" s="321" t="s">
        <v>574</v>
      </c>
      <c r="C66" s="319"/>
      <c r="D66" s="319"/>
      <c r="E66" s="319"/>
      <c r="F66" s="319"/>
      <c r="G66" s="319"/>
      <c r="H66" s="320"/>
      <c r="J66" s="178"/>
    </row>
    <row r="67" spans="2:10" ht="15.75" thickBot="1" x14ac:dyDescent="0.3">
      <c r="B67" s="322"/>
      <c r="C67" s="312"/>
      <c r="D67" s="312"/>
      <c r="E67" s="312"/>
      <c r="F67" s="312"/>
      <c r="G67" s="312"/>
      <c r="H67" s="323"/>
      <c r="J67" s="178"/>
    </row>
    <row r="73" spans="2:10" x14ac:dyDescent="0.2">
      <c r="J73" s="180"/>
    </row>
    <row r="74" spans="2:10" ht="15" x14ac:dyDescent="0.25">
      <c r="J74" s="181"/>
    </row>
    <row r="75" spans="2:10" ht="15" x14ac:dyDescent="0.25">
      <c r="J75" s="181"/>
    </row>
    <row r="76" spans="2:10" ht="15" x14ac:dyDescent="0.25">
      <c r="J76" s="181"/>
    </row>
    <row r="77" spans="2:10" ht="15" x14ac:dyDescent="0.25">
      <c r="J77" s="181"/>
    </row>
    <row r="78" spans="2:10" ht="15" x14ac:dyDescent="0.25">
      <c r="J78" s="181"/>
    </row>
    <row r="79" spans="2:10" ht="15" x14ac:dyDescent="0.25">
      <c r="J79" s="181"/>
    </row>
    <row r="80" spans="2:10" ht="15" x14ac:dyDescent="0.25">
      <c r="J80" s="181"/>
    </row>
    <row r="81" spans="10:16" ht="15" x14ac:dyDescent="0.25">
      <c r="J81" s="181"/>
    </row>
    <row r="82" spans="10:16" ht="15" x14ac:dyDescent="0.25">
      <c r="J82" s="181"/>
    </row>
    <row r="83" spans="10:16" ht="15" x14ac:dyDescent="0.25">
      <c r="J83" s="182"/>
    </row>
    <row r="84" spans="10:16" ht="15" x14ac:dyDescent="0.25">
      <c r="J84" s="182"/>
    </row>
    <row r="85" spans="10:16" ht="15" x14ac:dyDescent="0.25">
      <c r="J85" s="182"/>
    </row>
    <row r="89" spans="10:16" ht="15" x14ac:dyDescent="0.25">
      <c r="O89" s="181"/>
      <c r="P89" s="166"/>
    </row>
    <row r="90" spans="10:16" ht="15" x14ac:dyDescent="0.25">
      <c r="O90" s="181"/>
      <c r="P90" s="166"/>
    </row>
    <row r="91" spans="10:16" ht="15" x14ac:dyDescent="0.25">
      <c r="O91" s="181"/>
      <c r="P91" s="166"/>
    </row>
    <row r="92" spans="10:16" ht="15" x14ac:dyDescent="0.25">
      <c r="O92" s="181"/>
      <c r="P92" s="166"/>
    </row>
    <row r="93" spans="10:16" ht="15" x14ac:dyDescent="0.25">
      <c r="O93" s="181"/>
      <c r="P93" s="166"/>
    </row>
    <row r="94" spans="10:16" ht="15" x14ac:dyDescent="0.25">
      <c r="O94" s="181"/>
      <c r="P94" s="166"/>
    </row>
    <row r="95" spans="10:16" ht="15" x14ac:dyDescent="0.25">
      <c r="O95" s="181"/>
      <c r="P95" s="166"/>
    </row>
    <row r="96" spans="10:16" ht="15" x14ac:dyDescent="0.25">
      <c r="O96" s="181"/>
      <c r="P96" s="166"/>
    </row>
    <row r="97" spans="15:16" ht="15" x14ac:dyDescent="0.25">
      <c r="O97" s="181"/>
      <c r="P97" s="166"/>
    </row>
    <row r="98" spans="15:16" ht="15" x14ac:dyDescent="0.25">
      <c r="O98" s="181"/>
      <c r="P98" s="166"/>
    </row>
    <row r="99" spans="15:16" ht="15" x14ac:dyDescent="0.25">
      <c r="O99" s="181"/>
      <c r="P99" s="166"/>
    </row>
    <row r="100" spans="15:16" ht="15" x14ac:dyDescent="0.25">
      <c r="O100" s="181"/>
    </row>
    <row r="101" spans="15:16" ht="15" x14ac:dyDescent="0.25">
      <c r="O101" s="181"/>
    </row>
    <row r="102" spans="15:16" ht="15" x14ac:dyDescent="0.25">
      <c r="O102" s="181"/>
    </row>
    <row r="103" spans="15:16" ht="15" x14ac:dyDescent="0.25">
      <c r="O103" s="181"/>
    </row>
    <row r="254" spans="73:77" ht="13.5" thickBot="1" x14ac:dyDescent="0.25"/>
    <row r="255" spans="73:77" x14ac:dyDescent="0.2">
      <c r="BU255" s="324" t="s">
        <v>487</v>
      </c>
      <c r="BV255" s="325"/>
      <c r="BW255" s="325"/>
      <c r="BX255" s="325"/>
      <c r="BY255" s="326"/>
    </row>
    <row r="256" spans="73:77" x14ac:dyDescent="0.2">
      <c r="BU256" s="136"/>
      <c r="BV256" s="133" t="s">
        <v>488</v>
      </c>
      <c r="BW256" s="133" t="s">
        <v>57</v>
      </c>
      <c r="BX256" s="133" t="s">
        <v>489</v>
      </c>
      <c r="BY256" s="138"/>
    </row>
    <row r="257" spans="73:88" x14ac:dyDescent="0.2">
      <c r="BU257" s="183">
        <v>100</v>
      </c>
      <c r="BV257" s="184" t="s">
        <v>490</v>
      </c>
      <c r="BW257" s="142">
        <f t="shared" ref="BW257:BW262" si="1">+BU257</f>
        <v>100</v>
      </c>
      <c r="BX257" s="147" t="s">
        <v>491</v>
      </c>
      <c r="BY257" s="138"/>
    </row>
    <row r="258" spans="73:88" ht="25.5" x14ac:dyDescent="0.2">
      <c r="BU258" s="183">
        <v>200</v>
      </c>
      <c r="BV258" s="184" t="s">
        <v>455</v>
      </c>
      <c r="BW258" s="142">
        <f t="shared" si="1"/>
        <v>200</v>
      </c>
      <c r="BX258" s="147" t="s">
        <v>492</v>
      </c>
      <c r="BY258" s="138"/>
    </row>
    <row r="259" spans="73:88" ht="57" x14ac:dyDescent="0.2">
      <c r="BU259" s="183">
        <v>300</v>
      </c>
      <c r="BV259" s="185" t="s">
        <v>493</v>
      </c>
      <c r="BW259" s="142">
        <f t="shared" si="1"/>
        <v>300</v>
      </c>
      <c r="BX259" s="147" t="s">
        <v>494</v>
      </c>
      <c r="BY259" s="138"/>
    </row>
    <row r="260" spans="73:88" ht="57" x14ac:dyDescent="0.2">
      <c r="BU260" s="183">
        <v>400</v>
      </c>
      <c r="BV260" s="185" t="s">
        <v>495</v>
      </c>
      <c r="BW260" s="142">
        <f t="shared" si="1"/>
        <v>400</v>
      </c>
      <c r="BX260" s="147" t="s">
        <v>496</v>
      </c>
      <c r="BY260" s="138"/>
    </row>
    <row r="261" spans="73:88" x14ac:dyDescent="0.2">
      <c r="BU261" s="183">
        <v>500</v>
      </c>
      <c r="BV261" s="184" t="s">
        <v>497</v>
      </c>
      <c r="BW261" s="142">
        <f t="shared" si="1"/>
        <v>500</v>
      </c>
      <c r="BX261" s="147" t="s">
        <v>498</v>
      </c>
      <c r="BY261" s="138"/>
    </row>
    <row r="262" spans="73:88" ht="25.5" x14ac:dyDescent="0.2">
      <c r="BU262" s="183">
        <v>600</v>
      </c>
      <c r="BV262" s="184" t="s">
        <v>499</v>
      </c>
      <c r="BW262" s="142">
        <f t="shared" si="1"/>
        <v>600</v>
      </c>
      <c r="BX262" s="147" t="s">
        <v>500</v>
      </c>
      <c r="BY262" s="138"/>
    </row>
    <row r="263" spans="73:88" x14ac:dyDescent="0.2">
      <c r="BU263" s="183"/>
      <c r="BV263" s="142"/>
      <c r="BW263" s="142"/>
      <c r="BX263" s="147"/>
      <c r="BY263" s="138"/>
    </row>
    <row r="264" spans="73:88" x14ac:dyDescent="0.2">
      <c r="BU264" s="186"/>
      <c r="BV264" s="147"/>
      <c r="BW264" s="147"/>
      <c r="BX264" s="147"/>
      <c r="BY264" s="138"/>
    </row>
    <row r="265" spans="73:88" x14ac:dyDescent="0.2">
      <c r="BU265" s="186"/>
      <c r="BV265" s="147"/>
      <c r="BW265" s="147"/>
      <c r="BX265" s="147"/>
      <c r="BY265" s="138"/>
      <c r="CG265" s="133" t="s">
        <v>278</v>
      </c>
      <c r="CH265" s="133" t="s">
        <v>501</v>
      </c>
      <c r="CI265" s="133" t="s">
        <v>502</v>
      </c>
    </row>
    <row r="266" spans="73:88" x14ac:dyDescent="0.2">
      <c r="BU266" s="136"/>
      <c r="BY266" s="138"/>
      <c r="CF266" s="133" t="s">
        <v>462</v>
      </c>
      <c r="CG266" s="166">
        <v>6.4999999999999997E-3</v>
      </c>
      <c r="CH266" s="187">
        <v>0.03</v>
      </c>
      <c r="CI266" s="133" t="s">
        <v>503</v>
      </c>
      <c r="CJ266" s="166">
        <f>(D20+D21)+D26</f>
        <v>5.6500000000000002E-2</v>
      </c>
    </row>
    <row r="267" spans="73:88" x14ac:dyDescent="0.2">
      <c r="BU267" s="136"/>
      <c r="BY267" s="138"/>
      <c r="CF267" s="133" t="s">
        <v>504</v>
      </c>
      <c r="CG267" s="166">
        <v>1.6500000000000001E-2</v>
      </c>
      <c r="CH267" s="166">
        <v>7.5999999999999998E-2</v>
      </c>
      <c r="CI267" s="133" t="s">
        <v>277</v>
      </c>
      <c r="CJ267" s="166">
        <f>(D20+D21)*(G41/(1+G41))+D26</f>
        <v>2.2918253749194963E-2</v>
      </c>
    </row>
    <row r="268" spans="73:88" x14ac:dyDescent="0.2">
      <c r="BU268" s="136"/>
      <c r="BY268" s="138"/>
    </row>
    <row r="269" spans="73:88" x14ac:dyDescent="0.2">
      <c r="BU269" s="188"/>
      <c r="BV269" s="189"/>
      <c r="BW269" s="189"/>
      <c r="BY269" s="138"/>
    </row>
    <row r="270" spans="73:88" x14ac:dyDescent="0.2">
      <c r="BU270" s="136"/>
      <c r="BY270" s="138"/>
    </row>
    <row r="271" spans="73:88" ht="13.5" thickBot="1" x14ac:dyDescent="0.25">
      <c r="BU271" s="136"/>
      <c r="BY271" s="138"/>
      <c r="CE271" s="133">
        <f>BU257</f>
        <v>100</v>
      </c>
      <c r="CF271" s="312" t="str">
        <f>BV257</f>
        <v>Construção de edificios</v>
      </c>
      <c r="CG271" s="312"/>
      <c r="CH271" s="312"/>
      <c r="CI271" s="312"/>
    </row>
    <row r="272" spans="73:88" ht="15" thickBot="1" x14ac:dyDescent="0.25">
      <c r="BU272" s="136"/>
      <c r="BY272" s="138"/>
      <c r="CE272" s="133">
        <f>+CE271+1</f>
        <v>101</v>
      </c>
      <c r="CF272" s="190" t="s">
        <v>476</v>
      </c>
      <c r="CG272" s="191">
        <v>0.03</v>
      </c>
      <c r="CH272" s="191">
        <v>0.04</v>
      </c>
      <c r="CI272" s="191">
        <v>5.5E-2</v>
      </c>
    </row>
    <row r="273" spans="73:87" ht="15" thickBot="1" x14ac:dyDescent="0.25">
      <c r="BU273" s="136"/>
      <c r="BY273" s="138"/>
      <c r="CE273" s="133">
        <f>+CE272+1</f>
        <v>102</v>
      </c>
      <c r="CF273" s="190" t="s">
        <v>477</v>
      </c>
      <c r="CG273" s="191">
        <v>8.0000000000000002E-3</v>
      </c>
      <c r="CH273" s="191">
        <v>8.0000000000000002E-3</v>
      </c>
      <c r="CI273" s="191">
        <v>0.01</v>
      </c>
    </row>
    <row r="274" spans="73:87" ht="15" thickBot="1" x14ac:dyDescent="0.25">
      <c r="BU274" s="136"/>
      <c r="BY274" s="138"/>
      <c r="CE274" s="133">
        <f>+CE273+1</f>
        <v>103</v>
      </c>
      <c r="CF274" s="190" t="s">
        <v>478</v>
      </c>
      <c r="CG274" s="191">
        <v>9.7000000000000003E-3</v>
      </c>
      <c r="CH274" s="191">
        <v>1.2699999999999999E-2</v>
      </c>
      <c r="CI274" s="191">
        <v>1.2699999999999999E-2</v>
      </c>
    </row>
    <row r="275" spans="73:87" ht="15" thickBot="1" x14ac:dyDescent="0.25">
      <c r="BU275" s="188"/>
      <c r="BV275" s="189"/>
      <c r="BW275" s="189"/>
      <c r="BY275" s="138"/>
      <c r="CE275" s="133">
        <f>+CE274+1</f>
        <v>104</v>
      </c>
      <c r="CF275" s="190" t="s">
        <v>479</v>
      </c>
      <c r="CG275" s="191">
        <v>5.8999999999999999E-3</v>
      </c>
      <c r="CH275" s="191">
        <v>1.23E-2</v>
      </c>
      <c r="CI275" s="191">
        <v>1.3899999999999999E-2</v>
      </c>
    </row>
    <row r="276" spans="73:87" ht="15" thickBot="1" x14ac:dyDescent="0.25">
      <c r="BU276" s="136"/>
      <c r="BY276" s="138"/>
      <c r="CE276" s="133">
        <f>+CE275+1</f>
        <v>105</v>
      </c>
      <c r="CF276" s="190" t="s">
        <v>480</v>
      </c>
      <c r="CG276" s="191">
        <v>6.1600000000000002E-2</v>
      </c>
      <c r="CH276" s="191">
        <v>7.3999999999999996E-2</v>
      </c>
      <c r="CI276" s="191">
        <v>8.9599999999999999E-2</v>
      </c>
    </row>
    <row r="277" spans="73:87" x14ac:dyDescent="0.2">
      <c r="BU277" s="136"/>
      <c r="BY277" s="138"/>
    </row>
    <row r="278" spans="73:87" x14ac:dyDescent="0.2">
      <c r="BU278" s="136"/>
      <c r="BY278" s="138"/>
    </row>
    <row r="279" spans="73:87" ht="13.5" thickBot="1" x14ac:dyDescent="0.25">
      <c r="BU279" s="136"/>
      <c r="BY279" s="138"/>
      <c r="CE279" s="133">
        <f>BU258</f>
        <v>200</v>
      </c>
      <c r="CF279" s="312" t="str">
        <f>BV258</f>
        <v>Construção de rodovias e ferrovias</v>
      </c>
      <c r="CG279" s="312"/>
      <c r="CH279" s="312"/>
      <c r="CI279" s="312"/>
    </row>
    <row r="280" spans="73:87" ht="15" thickBot="1" x14ac:dyDescent="0.25">
      <c r="BU280" s="136"/>
      <c r="BY280" s="138"/>
      <c r="CE280" s="133">
        <f>+CE279+1</f>
        <v>201</v>
      </c>
      <c r="CF280" s="190" t="s">
        <v>476</v>
      </c>
      <c r="CG280" s="191">
        <v>3.7999999999999999E-2</v>
      </c>
      <c r="CH280" s="191">
        <v>4.0099999999999997E-2</v>
      </c>
      <c r="CI280" s="191">
        <v>4.6699999999999998E-2</v>
      </c>
    </row>
    <row r="281" spans="73:87" ht="15" thickBot="1" x14ac:dyDescent="0.25">
      <c r="BU281" s="136"/>
      <c r="BY281" s="138"/>
      <c r="CE281" s="133">
        <f>+CE280+1</f>
        <v>202</v>
      </c>
      <c r="CF281" s="190" t="s">
        <v>477</v>
      </c>
      <c r="CG281" s="191">
        <v>3.2000000000000002E-3</v>
      </c>
      <c r="CH281" s="191">
        <v>4.0000000000000001E-3</v>
      </c>
      <c r="CI281" s="191">
        <v>7.4000000000000003E-3</v>
      </c>
    </row>
    <row r="282" spans="73:87" ht="15" thickBot="1" x14ac:dyDescent="0.25">
      <c r="BU282" s="324"/>
      <c r="BV282" s="325"/>
      <c r="BW282" s="325"/>
      <c r="BX282" s="325"/>
      <c r="BY282" s="326"/>
      <c r="CE282" s="133">
        <f>+CE281+1</f>
        <v>203</v>
      </c>
      <c r="CF282" s="190" t="s">
        <v>478</v>
      </c>
      <c r="CG282" s="191">
        <v>5.0000000000000001E-3</v>
      </c>
      <c r="CH282" s="191">
        <v>5.5999999999999999E-3</v>
      </c>
      <c r="CI282" s="191">
        <v>9.7000000000000003E-3</v>
      </c>
    </row>
    <row r="283" spans="73:87" ht="15" thickBot="1" x14ac:dyDescent="0.25">
      <c r="BU283" s="136"/>
      <c r="BY283" s="138"/>
      <c r="CE283" s="133">
        <f>+CE282+1</f>
        <v>204</v>
      </c>
      <c r="CF283" s="190" t="s">
        <v>479</v>
      </c>
      <c r="CG283" s="191">
        <v>1.0200000000000001E-2</v>
      </c>
      <c r="CH283" s="191">
        <v>1.11E-2</v>
      </c>
      <c r="CI283" s="191">
        <v>1.21E-2</v>
      </c>
    </row>
    <row r="284" spans="73:87" ht="15" thickBot="1" x14ac:dyDescent="0.25">
      <c r="BU284" s="136"/>
      <c r="BY284" s="138"/>
      <c r="CE284" s="133">
        <f>+CE283+1</f>
        <v>205</v>
      </c>
      <c r="CF284" s="190" t="s">
        <v>480</v>
      </c>
      <c r="CG284" s="191">
        <v>6.6400000000000001E-2</v>
      </c>
      <c r="CH284" s="191">
        <v>7.2999999999999995E-2</v>
      </c>
      <c r="CI284" s="191">
        <v>8.6900000000000005E-2</v>
      </c>
    </row>
    <row r="285" spans="73:87" x14ac:dyDescent="0.2">
      <c r="BU285" s="136"/>
      <c r="BY285" s="138"/>
    </row>
    <row r="286" spans="73:87" ht="13.5" thickBot="1" x14ac:dyDescent="0.25">
      <c r="BU286" s="156"/>
      <c r="BV286" s="192"/>
      <c r="BW286" s="192"/>
      <c r="BX286" s="192"/>
      <c r="BY286" s="157"/>
    </row>
    <row r="287" spans="73:87" ht="13.5" thickBot="1" x14ac:dyDescent="0.25">
      <c r="BU287" s="324"/>
      <c r="BV287" s="325"/>
      <c r="BW287" s="325"/>
      <c r="BX287" s="325"/>
      <c r="BY287" s="326"/>
      <c r="CE287" s="133">
        <f>BU259</f>
        <v>300</v>
      </c>
      <c r="CF287" s="312" t="str">
        <f>BV259</f>
        <v>Construção de Redes de Abastecimento de Água, Coleta de Esgoto e Construções Correlatas</v>
      </c>
      <c r="CG287" s="312"/>
      <c r="CH287" s="312"/>
      <c r="CI287" s="312"/>
    </row>
    <row r="288" spans="73:87" ht="15" thickBot="1" x14ac:dyDescent="0.25">
      <c r="BU288" s="327"/>
      <c r="BV288" s="328"/>
      <c r="BW288" s="328"/>
      <c r="BX288" s="328"/>
      <c r="BY288" s="329"/>
      <c r="CE288" s="133">
        <f>+CE287+1</f>
        <v>301</v>
      </c>
      <c r="CF288" s="193" t="s">
        <v>476</v>
      </c>
      <c r="CG288" s="194">
        <v>3.4299999999999997E-2</v>
      </c>
      <c r="CH288" s="194">
        <v>4.9299999999999997E-2</v>
      </c>
      <c r="CI288" s="194">
        <v>6.7100000000000007E-2</v>
      </c>
    </row>
    <row r="289" spans="73:87" ht="15" thickBot="1" x14ac:dyDescent="0.25">
      <c r="BU289" s="327"/>
      <c r="BV289" s="328"/>
      <c r="BW289" s="328"/>
      <c r="BX289" s="328"/>
      <c r="BY289" s="329"/>
      <c r="CE289" s="133">
        <f>+CE288+1</f>
        <v>302</v>
      </c>
      <c r="CF289" s="190" t="s">
        <v>477</v>
      </c>
      <c r="CG289" s="191">
        <v>2.8E-3</v>
      </c>
      <c r="CH289" s="191">
        <v>4.8999999999999998E-3</v>
      </c>
      <c r="CI289" s="191">
        <v>7.4999999999999997E-3</v>
      </c>
    </row>
    <row r="290" spans="73:87" ht="27" customHeight="1" thickBot="1" x14ac:dyDescent="0.25">
      <c r="BU290" s="195"/>
      <c r="BV290" s="196"/>
      <c r="BW290" s="197"/>
      <c r="BX290" s="197"/>
      <c r="BY290" s="198"/>
      <c r="CE290" s="133">
        <f>+CE289+1</f>
        <v>303</v>
      </c>
      <c r="CF290" s="190" t="s">
        <v>478</v>
      </c>
      <c r="CG290" s="191">
        <v>0.01</v>
      </c>
      <c r="CH290" s="191">
        <v>1.3899999999999999E-2</v>
      </c>
      <c r="CI290" s="191">
        <v>1.7399999999999999E-2</v>
      </c>
    </row>
    <row r="291" spans="73:87" ht="15" thickBot="1" x14ac:dyDescent="0.25">
      <c r="BU291" s="136"/>
      <c r="BY291" s="138"/>
      <c r="CE291" s="133">
        <f>+CE290+1</f>
        <v>304</v>
      </c>
      <c r="CF291" s="190" t="s">
        <v>479</v>
      </c>
      <c r="CG291" s="191">
        <v>9.4000000000000004E-3</v>
      </c>
      <c r="CH291" s="191">
        <v>9.9000000000000008E-3</v>
      </c>
      <c r="CI291" s="191">
        <v>1.17E-2</v>
      </c>
    </row>
    <row r="292" spans="73:87" ht="15" thickBot="1" x14ac:dyDescent="0.25">
      <c r="BU292" s="156"/>
      <c r="BV292" s="192"/>
      <c r="BW292" s="192"/>
      <c r="BX292" s="192"/>
      <c r="BY292" s="157"/>
      <c r="CE292" s="133">
        <f>+CE291+1</f>
        <v>305</v>
      </c>
      <c r="CF292" s="190" t="s">
        <v>480</v>
      </c>
      <c r="CG292" s="191">
        <v>6.7400000000000002E-2</v>
      </c>
      <c r="CH292" s="191">
        <v>8.0399999999999999E-2</v>
      </c>
      <c r="CI292" s="191">
        <v>9.4E-2</v>
      </c>
    </row>
    <row r="293" spans="73:87" x14ac:dyDescent="0.2">
      <c r="BU293" s="324"/>
      <c r="BV293" s="325"/>
      <c r="BW293" s="325"/>
      <c r="BX293" s="325"/>
      <c r="BY293" s="326"/>
    </row>
    <row r="294" spans="73:87" ht="13.5" thickBot="1" x14ac:dyDescent="0.25">
      <c r="BU294" s="199"/>
      <c r="BV294" s="200" t="s">
        <v>505</v>
      </c>
      <c r="BW294" s="200" t="s">
        <v>506</v>
      </c>
      <c r="BX294" s="200" t="s">
        <v>507</v>
      </c>
      <c r="BY294" s="200" t="s">
        <v>508</v>
      </c>
      <c r="CE294" s="133">
        <f>BU260</f>
        <v>400</v>
      </c>
      <c r="CF294" s="312" t="str">
        <f>BV260</f>
        <v>Construção e Manutenção de Estações e Redes de Distribuição de Energia Elétrica</v>
      </c>
      <c r="CG294" s="312"/>
      <c r="CH294" s="312"/>
      <c r="CI294" s="312"/>
    </row>
    <row r="295" spans="73:87" ht="15" thickBot="1" x14ac:dyDescent="0.25">
      <c r="BU295" s="199" t="s">
        <v>364</v>
      </c>
      <c r="BV295" s="200">
        <f>VLOOKUP(D7,BV257:BW262,2,0)</f>
        <v>200</v>
      </c>
      <c r="BW295" s="201">
        <f>VLOOKUP($BV295,$BU$306:$BY$311,3,0)</f>
        <v>0.19600000000000001</v>
      </c>
      <c r="BX295" s="201">
        <f>VLOOKUP($BV295,$BU$306:$BY$311,4,0)</f>
        <v>0.2097</v>
      </c>
      <c r="BY295" s="201">
        <f>VLOOKUP($BV295,$BU$306:$BY$311,5,0)</f>
        <v>0.24229999999999999</v>
      </c>
      <c r="CE295" s="133">
        <f>+CE294+1</f>
        <v>401</v>
      </c>
      <c r="CF295" s="193" t="s">
        <v>476</v>
      </c>
      <c r="CG295" s="194">
        <v>5.2900000000000003E-2</v>
      </c>
      <c r="CH295" s="194">
        <v>5.9200000000000003E-2</v>
      </c>
      <c r="CI295" s="194">
        <v>7.9299999999999995E-2</v>
      </c>
    </row>
    <row r="296" spans="73:87" ht="15" thickBot="1" x14ac:dyDescent="0.25">
      <c r="BU296" s="202" t="s">
        <v>476</v>
      </c>
      <c r="BV296" s="200">
        <f>+BV295+1</f>
        <v>201</v>
      </c>
      <c r="BW296" s="201">
        <f>VLOOKUP($BV296,$CE$271:$CI$312,3,0)</f>
        <v>3.7999999999999999E-2</v>
      </c>
      <c r="BX296" s="201">
        <f>VLOOKUP($BV296,$CE$271:$CI$312,4,0)</f>
        <v>4.0099999999999997E-2</v>
      </c>
      <c r="BY296" s="201">
        <f>VLOOKUP($BV296,$CE$271:$CI$312,5,0)</f>
        <v>4.6699999999999998E-2</v>
      </c>
      <c r="CE296" s="133">
        <f>+CE295+1</f>
        <v>402</v>
      </c>
      <c r="CF296" s="190" t="s">
        <v>477</v>
      </c>
      <c r="CG296" s="191">
        <v>2.5000000000000001E-3</v>
      </c>
      <c r="CH296" s="191">
        <v>5.1000000000000004E-3</v>
      </c>
      <c r="CI296" s="191">
        <v>5.5999999999999999E-3</v>
      </c>
    </row>
    <row r="297" spans="73:87" ht="15" thickBot="1" x14ac:dyDescent="0.25">
      <c r="BU297" s="202" t="s">
        <v>477</v>
      </c>
      <c r="BV297" s="200">
        <f>+BV296+1</f>
        <v>202</v>
      </c>
      <c r="BW297" s="201">
        <f>VLOOKUP($BV297,$CE$271:$CI$312,3,0)</f>
        <v>3.2000000000000002E-3</v>
      </c>
      <c r="BX297" s="201">
        <f>VLOOKUP($BV297,$CE$271:$CI$312,4,0)</f>
        <v>4.0000000000000001E-3</v>
      </c>
      <c r="BY297" s="201">
        <f>VLOOKUP($BV297,$CE$271:$CI$312,5,0)</f>
        <v>7.4000000000000003E-3</v>
      </c>
      <c r="CE297" s="133">
        <f>+CE296+1</f>
        <v>403</v>
      </c>
      <c r="CF297" s="190" t="s">
        <v>478</v>
      </c>
      <c r="CG297" s="191">
        <v>0.01</v>
      </c>
      <c r="CH297" s="191">
        <v>1.4800000000000001E-2</v>
      </c>
      <c r="CI297" s="191">
        <v>1.9699999999999999E-2</v>
      </c>
    </row>
    <row r="298" spans="73:87" ht="15" thickBot="1" x14ac:dyDescent="0.25">
      <c r="BU298" s="202" t="s">
        <v>478</v>
      </c>
      <c r="BV298" s="200">
        <f>+BV297+1</f>
        <v>203</v>
      </c>
      <c r="BW298" s="201">
        <f>VLOOKUP($BV298,$CE$271:$CI$312,3,0)</f>
        <v>5.0000000000000001E-3</v>
      </c>
      <c r="BX298" s="201">
        <f>VLOOKUP($BV298,$CE$271:$CI$312,4,0)</f>
        <v>5.5999999999999999E-3</v>
      </c>
      <c r="BY298" s="201">
        <f>VLOOKUP($BV298,$CE$271:$CI$312,5,0)</f>
        <v>9.7000000000000003E-3</v>
      </c>
      <c r="CE298" s="133">
        <f>+CE297+1</f>
        <v>404</v>
      </c>
      <c r="CF298" s="190" t="s">
        <v>479</v>
      </c>
      <c r="CG298" s="191">
        <v>1.01E-2</v>
      </c>
      <c r="CH298" s="191">
        <v>1.0699999999999999E-2</v>
      </c>
      <c r="CI298" s="191">
        <v>1.11E-2</v>
      </c>
    </row>
    <row r="299" spans="73:87" ht="15" thickBot="1" x14ac:dyDescent="0.25">
      <c r="BU299" s="202" t="s">
        <v>479</v>
      </c>
      <c r="BV299" s="200">
        <f>+BV298+1</f>
        <v>204</v>
      </c>
      <c r="BW299" s="201">
        <f>VLOOKUP($BV299,$CE$271:$CI$312,3,0)</f>
        <v>1.0200000000000001E-2</v>
      </c>
      <c r="BX299" s="201">
        <f>VLOOKUP($BV299,$CE$271:$CI$312,4,0)</f>
        <v>1.11E-2</v>
      </c>
      <c r="BY299" s="201">
        <f>VLOOKUP($BV299,$CE$271:$CI$312,5,0)</f>
        <v>1.21E-2</v>
      </c>
      <c r="CE299" s="133">
        <f>+CE298+1</f>
        <v>405</v>
      </c>
      <c r="CF299" s="190" t="s">
        <v>480</v>
      </c>
      <c r="CG299" s="191">
        <v>0.08</v>
      </c>
      <c r="CH299" s="191">
        <v>8.3099999999999993E-2</v>
      </c>
      <c r="CI299" s="191">
        <v>9.5100000000000004E-2</v>
      </c>
    </row>
    <row r="300" spans="73:87" ht="15" thickBot="1" x14ac:dyDescent="0.25">
      <c r="BU300" s="202" t="s">
        <v>480</v>
      </c>
      <c r="BV300" s="200">
        <f>+BV299+1</f>
        <v>205</v>
      </c>
      <c r="BW300" s="201">
        <f>VLOOKUP($BV300,$CE$271:$CI$312,3,0)</f>
        <v>6.6400000000000001E-2</v>
      </c>
      <c r="BX300" s="201">
        <f>VLOOKUP($BV300,$CE$271:$CI$312,4,0)</f>
        <v>7.2999999999999995E-2</v>
      </c>
      <c r="BY300" s="201">
        <f>VLOOKUP($BV300,$CE$271:$CI$312,5,0)</f>
        <v>8.6900000000000005E-2</v>
      </c>
      <c r="CE300" s="133">
        <f>BU261</f>
        <v>500</v>
      </c>
      <c r="CF300" s="312" t="str">
        <f>BV261</f>
        <v>Portuárias, Marítimas e Fluviais</v>
      </c>
      <c r="CG300" s="312"/>
      <c r="CH300" s="312"/>
      <c r="CI300" s="312"/>
    </row>
    <row r="301" spans="73:87" ht="15" thickBot="1" x14ac:dyDescent="0.25">
      <c r="BU301" s="136"/>
      <c r="BY301" s="138"/>
      <c r="CE301" s="133">
        <f>+CE300+1</f>
        <v>501</v>
      </c>
      <c r="CF301" s="193" t="s">
        <v>476</v>
      </c>
      <c r="CG301" s="194">
        <v>0.04</v>
      </c>
      <c r="CH301" s="194">
        <v>5.5199999999999999E-2</v>
      </c>
      <c r="CI301" s="194">
        <v>7.85E-2</v>
      </c>
    </row>
    <row r="302" spans="73:87" ht="15" thickBot="1" x14ac:dyDescent="0.25">
      <c r="CE302" s="133">
        <f>+CE301+1</f>
        <v>502</v>
      </c>
      <c r="CF302" s="190" t="s">
        <v>477</v>
      </c>
      <c r="CG302" s="191">
        <v>8.0999999999999996E-3</v>
      </c>
      <c r="CH302" s="191">
        <v>1.2200000000000001E-2</v>
      </c>
      <c r="CI302" s="191">
        <v>1.9900000000000001E-2</v>
      </c>
    </row>
    <row r="303" spans="73:87" ht="15" thickBot="1" x14ac:dyDescent="0.25">
      <c r="CE303" s="133">
        <f>+CE302+1</f>
        <v>503</v>
      </c>
      <c r="CF303" s="190" t="s">
        <v>478</v>
      </c>
      <c r="CG303" s="191">
        <v>1.46E-2</v>
      </c>
      <c r="CH303" s="191">
        <v>2.3199999999999998E-2</v>
      </c>
      <c r="CI303" s="191">
        <v>3.1600000000000003E-2</v>
      </c>
    </row>
    <row r="304" spans="73:87" ht="15" thickBot="1" x14ac:dyDescent="0.25">
      <c r="CE304" s="133">
        <f>+CE303+1</f>
        <v>504</v>
      </c>
      <c r="CF304" s="190" t="s">
        <v>479</v>
      </c>
      <c r="CG304" s="191">
        <v>9.4000000000000004E-3</v>
      </c>
      <c r="CH304" s="191">
        <v>1.0200000000000001E-2</v>
      </c>
      <c r="CI304" s="191">
        <v>1.3299999999999999E-2</v>
      </c>
    </row>
    <row r="305" spans="73:87" ht="15" thickBot="1" x14ac:dyDescent="0.25">
      <c r="BW305" s="203" t="s">
        <v>509</v>
      </c>
      <c r="BX305" s="204" t="s">
        <v>507</v>
      </c>
      <c r="BY305" s="204" t="s">
        <v>510</v>
      </c>
      <c r="CE305" s="133">
        <f>+CE304+1</f>
        <v>505</v>
      </c>
      <c r="CF305" s="190" t="s">
        <v>480</v>
      </c>
      <c r="CG305" s="191">
        <v>7.1400000000000005E-2</v>
      </c>
      <c r="CH305" s="191">
        <v>8.4000000000000005E-2</v>
      </c>
      <c r="CI305" s="191">
        <v>0.1043</v>
      </c>
    </row>
    <row r="306" spans="73:87" ht="15" thickBot="1" x14ac:dyDescent="0.25">
      <c r="BU306" s="133">
        <f>BU257</f>
        <v>100</v>
      </c>
      <c r="BV306" s="193" t="str">
        <f t="shared" ref="BV306:BV311" si="2">VLOOKUP(BU306,BU257:BV262,2,0)</f>
        <v>Construção de edificios</v>
      </c>
      <c r="BW306" s="194">
        <v>0.2034</v>
      </c>
      <c r="BX306" s="194">
        <v>0.22120000000000001</v>
      </c>
      <c r="BY306" s="194">
        <v>0.25</v>
      </c>
    </row>
    <row r="307" spans="73:87" ht="29.25" thickBot="1" x14ac:dyDescent="0.25">
      <c r="BU307" s="133">
        <v>200</v>
      </c>
      <c r="BV307" s="193" t="str">
        <f t="shared" si="2"/>
        <v>Construção de rodovias e ferrovias</v>
      </c>
      <c r="BW307" s="191">
        <v>0.19600000000000001</v>
      </c>
      <c r="BX307" s="191">
        <v>0.2097</v>
      </c>
      <c r="BY307" s="191">
        <v>0.24229999999999999</v>
      </c>
      <c r="CE307" s="133">
        <f>BU262</f>
        <v>600</v>
      </c>
      <c r="CF307" s="312" t="str">
        <f>BV262</f>
        <v>Fornecimento de Materiais e Equipamentos</v>
      </c>
      <c r="CG307" s="312"/>
      <c r="CH307" s="312"/>
      <c r="CI307" s="312"/>
    </row>
    <row r="308" spans="73:87" ht="57.75" thickBot="1" x14ac:dyDescent="0.25">
      <c r="BU308" s="133">
        <f>BU259</f>
        <v>300</v>
      </c>
      <c r="BV308" s="193" t="str">
        <f t="shared" si="2"/>
        <v>Construção de Redes de Abastecimento de Água, Coleta de Esgoto e Construções Correlatas</v>
      </c>
      <c r="BW308" s="191">
        <v>0.20760000000000001</v>
      </c>
      <c r="BX308" s="191">
        <v>0.24179999999999999</v>
      </c>
      <c r="BY308" s="191">
        <v>0.26440000000000002</v>
      </c>
      <c r="CE308" s="133">
        <f>+CE307+1</f>
        <v>601</v>
      </c>
      <c r="CF308" s="193" t="s">
        <v>476</v>
      </c>
      <c r="CG308" s="194">
        <v>1.4999999999999999E-2</v>
      </c>
      <c r="CH308" s="194">
        <v>3.4500000000000003E-2</v>
      </c>
      <c r="CI308" s="194">
        <v>4.4900000000000002E-2</v>
      </c>
    </row>
    <row r="309" spans="73:87" ht="57.75" thickBot="1" x14ac:dyDescent="0.25">
      <c r="BU309" s="133">
        <v>400</v>
      </c>
      <c r="BV309" s="193" t="str">
        <f t="shared" si="2"/>
        <v>Construção e Manutenção de Estações e Redes de Distribuição de Energia Elétrica</v>
      </c>
      <c r="BW309" s="191">
        <v>0.24</v>
      </c>
      <c r="BX309" s="191">
        <v>0.25840000000000002</v>
      </c>
      <c r="BY309" s="191">
        <v>0.27860000000000001</v>
      </c>
      <c r="CE309" s="133">
        <f>+CE308+1</f>
        <v>602</v>
      </c>
      <c r="CF309" s="190" t="s">
        <v>477</v>
      </c>
      <c r="CG309" s="191">
        <v>3.0000000000000001E-3</v>
      </c>
      <c r="CH309" s="191">
        <v>4.7999999999999996E-3</v>
      </c>
      <c r="CI309" s="191">
        <v>8.2000000000000007E-3</v>
      </c>
    </row>
    <row r="310" spans="73:87" ht="29.25" thickBot="1" x14ac:dyDescent="0.25">
      <c r="BU310" s="133">
        <v>500</v>
      </c>
      <c r="BV310" s="193" t="str">
        <f t="shared" si="2"/>
        <v>Portuárias, Marítimas e Fluviais</v>
      </c>
      <c r="BW310" s="191">
        <v>0.22800000000000001</v>
      </c>
      <c r="BX310" s="191">
        <v>0.27479999999999999</v>
      </c>
      <c r="BY310" s="191">
        <v>0.3095</v>
      </c>
      <c r="CE310" s="133">
        <f>+CE309+1</f>
        <v>603</v>
      </c>
      <c r="CF310" s="190" t="s">
        <v>478</v>
      </c>
      <c r="CG310" s="191">
        <v>5.5999999999999999E-3</v>
      </c>
      <c r="CH310" s="191">
        <v>8.5000000000000006E-3</v>
      </c>
      <c r="CI310" s="191">
        <v>8.8999999999999999E-3</v>
      </c>
    </row>
    <row r="311" spans="73:87" ht="29.25" thickBot="1" x14ac:dyDescent="0.25">
      <c r="BU311" s="133">
        <v>600</v>
      </c>
      <c r="BV311" s="193" t="str">
        <f t="shared" si="2"/>
        <v>Fornecimento de Materiais e Equipamentos</v>
      </c>
      <c r="BW311" s="191">
        <v>0.111</v>
      </c>
      <c r="BX311" s="191">
        <v>0.14019999999999999</v>
      </c>
      <c r="BY311" s="191">
        <v>0.16800000000000001</v>
      </c>
      <c r="CE311" s="133">
        <f>+CE310+1</f>
        <v>604</v>
      </c>
      <c r="CF311" s="190" t="s">
        <v>479</v>
      </c>
      <c r="CG311" s="191">
        <v>8.5000000000000006E-3</v>
      </c>
      <c r="CH311" s="191">
        <v>8.5000000000000006E-3</v>
      </c>
      <c r="CI311" s="191">
        <v>1.11E-2</v>
      </c>
    </row>
    <row r="312" spans="73:87" ht="15" thickBot="1" x14ac:dyDescent="0.25">
      <c r="CE312" s="133">
        <f>+CE311+1</f>
        <v>605</v>
      </c>
      <c r="CF312" s="190" t="s">
        <v>480</v>
      </c>
      <c r="CG312" s="191">
        <v>3.5000000000000003E-2</v>
      </c>
      <c r="CH312" s="191">
        <v>5.11E-2</v>
      </c>
      <c r="CI312" s="191">
        <v>6.2199999999999998E-2</v>
      </c>
    </row>
  </sheetData>
  <sheetProtection formatCells="0" formatColumns="0" formatRows="0" selectLockedCells="1"/>
  <mergeCells count="36">
    <mergeCell ref="BU293:BY293"/>
    <mergeCell ref="CF294:CI294"/>
    <mergeCell ref="CF300:CI300"/>
    <mergeCell ref="CF307:CI307"/>
    <mergeCell ref="CF279:CI279"/>
    <mergeCell ref="BU282:BY282"/>
    <mergeCell ref="BU287:BY287"/>
    <mergeCell ref="CF287:CI287"/>
    <mergeCell ref="BU288:BY288"/>
    <mergeCell ref="BU289:BY289"/>
    <mergeCell ref="CF271:CI271"/>
    <mergeCell ref="C34:G34"/>
    <mergeCell ref="C35:G35"/>
    <mergeCell ref="F50:G50"/>
    <mergeCell ref="C52:G52"/>
    <mergeCell ref="C56:G56"/>
    <mergeCell ref="C58:E58"/>
    <mergeCell ref="F58:G58"/>
    <mergeCell ref="E60:F60"/>
    <mergeCell ref="B65:H65"/>
    <mergeCell ref="B66:H66"/>
    <mergeCell ref="B67:H67"/>
    <mergeCell ref="BU255:BY255"/>
    <mergeCell ref="L17:AW19"/>
    <mergeCell ref="E19:G19"/>
    <mergeCell ref="C31:G31"/>
    <mergeCell ref="C2:G2"/>
    <mergeCell ref="C5:G5"/>
    <mergeCell ref="D7:G7"/>
    <mergeCell ref="C13:G13"/>
    <mergeCell ref="F17:G17"/>
    <mergeCell ref="E20:G21"/>
    <mergeCell ref="E23:G23"/>
    <mergeCell ref="E24:G24"/>
    <mergeCell ref="E28:F28"/>
    <mergeCell ref="C30:G30"/>
  </mergeCells>
  <conditionalFormatting sqref="C56:G60">
    <cfRule type="expression" dxfId="1" priority="2" stopIfTrue="1">
      <formula>OR($G$9="NÃO",$G$9="")</formula>
    </cfRule>
  </conditionalFormatting>
  <conditionalFormatting sqref="G37:G41">
    <cfRule type="cellIs" dxfId="0" priority="1" stopIfTrue="1" operator="between">
      <formula>$D37</formula>
      <formula>$F37</formula>
    </cfRule>
  </conditionalFormatting>
  <dataValidations count="5">
    <dataValidation type="decimal" allowBlank="1" showInputMessage="1" showErrorMessage="1" errorTitle="FORA DO INTERVALO" error="Deve-se adotar valor entre o 1º e 3º quartil" sqref="G37:G41 JC37:JC41 SY37:SY41 ACU37:ACU41 AMQ37:AMQ41 AWM37:AWM41 BGI37:BGI41 BQE37:BQE41 CAA37:CAA41 CJW37:CJW41 CTS37:CTS41 DDO37:DDO41 DNK37:DNK41 DXG37:DXG41 EHC37:EHC41 EQY37:EQY41 FAU37:FAU41 FKQ37:FKQ41 FUM37:FUM41 GEI37:GEI41 GOE37:GOE41 GYA37:GYA41 HHW37:HHW41 HRS37:HRS41 IBO37:IBO41 ILK37:ILK41 IVG37:IVG41 JFC37:JFC41 JOY37:JOY41 JYU37:JYU41 KIQ37:KIQ41 KSM37:KSM41 LCI37:LCI41 LME37:LME41 LWA37:LWA41 MFW37:MFW41 MPS37:MPS41 MZO37:MZO41 NJK37:NJK41 NTG37:NTG41 ODC37:ODC41 OMY37:OMY41 OWU37:OWU41 PGQ37:PGQ41 PQM37:PQM41 QAI37:QAI41 QKE37:QKE41 QUA37:QUA41 RDW37:RDW41 RNS37:RNS41 RXO37:RXO41 SHK37:SHK41 SRG37:SRG41 TBC37:TBC41 TKY37:TKY41 TUU37:TUU41 UEQ37:UEQ41 UOM37:UOM41 UYI37:UYI41 VIE37:VIE41 VSA37:VSA41 WBW37:WBW41 WLS37:WLS41 WVO37:WVO41 G65573:G65577 JC65573:JC65577 SY65573:SY65577 ACU65573:ACU65577 AMQ65573:AMQ65577 AWM65573:AWM65577 BGI65573:BGI65577 BQE65573:BQE65577 CAA65573:CAA65577 CJW65573:CJW65577 CTS65573:CTS65577 DDO65573:DDO65577 DNK65573:DNK65577 DXG65573:DXG65577 EHC65573:EHC65577 EQY65573:EQY65577 FAU65573:FAU65577 FKQ65573:FKQ65577 FUM65573:FUM65577 GEI65573:GEI65577 GOE65573:GOE65577 GYA65573:GYA65577 HHW65573:HHW65577 HRS65573:HRS65577 IBO65573:IBO65577 ILK65573:ILK65577 IVG65573:IVG65577 JFC65573:JFC65577 JOY65573:JOY65577 JYU65573:JYU65577 KIQ65573:KIQ65577 KSM65573:KSM65577 LCI65573:LCI65577 LME65573:LME65577 LWA65573:LWA65577 MFW65573:MFW65577 MPS65573:MPS65577 MZO65573:MZO65577 NJK65573:NJK65577 NTG65573:NTG65577 ODC65573:ODC65577 OMY65573:OMY65577 OWU65573:OWU65577 PGQ65573:PGQ65577 PQM65573:PQM65577 QAI65573:QAI65577 QKE65573:QKE65577 QUA65573:QUA65577 RDW65573:RDW65577 RNS65573:RNS65577 RXO65573:RXO65577 SHK65573:SHK65577 SRG65573:SRG65577 TBC65573:TBC65577 TKY65573:TKY65577 TUU65573:TUU65577 UEQ65573:UEQ65577 UOM65573:UOM65577 UYI65573:UYI65577 VIE65573:VIE65577 VSA65573:VSA65577 WBW65573:WBW65577 WLS65573:WLS65577 WVO65573:WVO65577 G131109:G131113 JC131109:JC131113 SY131109:SY131113 ACU131109:ACU131113 AMQ131109:AMQ131113 AWM131109:AWM131113 BGI131109:BGI131113 BQE131109:BQE131113 CAA131109:CAA131113 CJW131109:CJW131113 CTS131109:CTS131113 DDO131109:DDO131113 DNK131109:DNK131113 DXG131109:DXG131113 EHC131109:EHC131113 EQY131109:EQY131113 FAU131109:FAU131113 FKQ131109:FKQ131113 FUM131109:FUM131113 GEI131109:GEI131113 GOE131109:GOE131113 GYA131109:GYA131113 HHW131109:HHW131113 HRS131109:HRS131113 IBO131109:IBO131113 ILK131109:ILK131113 IVG131109:IVG131113 JFC131109:JFC131113 JOY131109:JOY131113 JYU131109:JYU131113 KIQ131109:KIQ131113 KSM131109:KSM131113 LCI131109:LCI131113 LME131109:LME131113 LWA131109:LWA131113 MFW131109:MFW131113 MPS131109:MPS131113 MZO131109:MZO131113 NJK131109:NJK131113 NTG131109:NTG131113 ODC131109:ODC131113 OMY131109:OMY131113 OWU131109:OWU131113 PGQ131109:PGQ131113 PQM131109:PQM131113 QAI131109:QAI131113 QKE131109:QKE131113 QUA131109:QUA131113 RDW131109:RDW131113 RNS131109:RNS131113 RXO131109:RXO131113 SHK131109:SHK131113 SRG131109:SRG131113 TBC131109:TBC131113 TKY131109:TKY131113 TUU131109:TUU131113 UEQ131109:UEQ131113 UOM131109:UOM131113 UYI131109:UYI131113 VIE131109:VIE131113 VSA131109:VSA131113 WBW131109:WBW131113 WLS131109:WLS131113 WVO131109:WVO131113 G196645:G196649 JC196645:JC196649 SY196645:SY196649 ACU196645:ACU196649 AMQ196645:AMQ196649 AWM196645:AWM196649 BGI196645:BGI196649 BQE196645:BQE196649 CAA196645:CAA196649 CJW196645:CJW196649 CTS196645:CTS196649 DDO196645:DDO196649 DNK196645:DNK196649 DXG196645:DXG196649 EHC196645:EHC196649 EQY196645:EQY196649 FAU196645:FAU196649 FKQ196645:FKQ196649 FUM196645:FUM196649 GEI196645:GEI196649 GOE196645:GOE196649 GYA196645:GYA196649 HHW196645:HHW196649 HRS196645:HRS196649 IBO196645:IBO196649 ILK196645:ILK196649 IVG196645:IVG196649 JFC196645:JFC196649 JOY196645:JOY196649 JYU196645:JYU196649 KIQ196645:KIQ196649 KSM196645:KSM196649 LCI196645:LCI196649 LME196645:LME196649 LWA196645:LWA196649 MFW196645:MFW196649 MPS196645:MPS196649 MZO196645:MZO196649 NJK196645:NJK196649 NTG196645:NTG196649 ODC196645:ODC196649 OMY196645:OMY196649 OWU196645:OWU196649 PGQ196645:PGQ196649 PQM196645:PQM196649 QAI196645:QAI196649 QKE196645:QKE196649 QUA196645:QUA196649 RDW196645:RDW196649 RNS196645:RNS196649 RXO196645:RXO196649 SHK196645:SHK196649 SRG196645:SRG196649 TBC196645:TBC196649 TKY196645:TKY196649 TUU196645:TUU196649 UEQ196645:UEQ196649 UOM196645:UOM196649 UYI196645:UYI196649 VIE196645:VIE196649 VSA196645:VSA196649 WBW196645:WBW196649 WLS196645:WLS196649 WVO196645:WVO196649 G262181:G262185 JC262181:JC262185 SY262181:SY262185 ACU262181:ACU262185 AMQ262181:AMQ262185 AWM262181:AWM262185 BGI262181:BGI262185 BQE262181:BQE262185 CAA262181:CAA262185 CJW262181:CJW262185 CTS262181:CTS262185 DDO262181:DDO262185 DNK262181:DNK262185 DXG262181:DXG262185 EHC262181:EHC262185 EQY262181:EQY262185 FAU262181:FAU262185 FKQ262181:FKQ262185 FUM262181:FUM262185 GEI262181:GEI262185 GOE262181:GOE262185 GYA262181:GYA262185 HHW262181:HHW262185 HRS262181:HRS262185 IBO262181:IBO262185 ILK262181:ILK262185 IVG262181:IVG262185 JFC262181:JFC262185 JOY262181:JOY262185 JYU262181:JYU262185 KIQ262181:KIQ262185 KSM262181:KSM262185 LCI262181:LCI262185 LME262181:LME262185 LWA262181:LWA262185 MFW262181:MFW262185 MPS262181:MPS262185 MZO262181:MZO262185 NJK262181:NJK262185 NTG262181:NTG262185 ODC262181:ODC262185 OMY262181:OMY262185 OWU262181:OWU262185 PGQ262181:PGQ262185 PQM262181:PQM262185 QAI262181:QAI262185 QKE262181:QKE262185 QUA262181:QUA262185 RDW262181:RDW262185 RNS262181:RNS262185 RXO262181:RXO262185 SHK262181:SHK262185 SRG262181:SRG262185 TBC262181:TBC262185 TKY262181:TKY262185 TUU262181:TUU262185 UEQ262181:UEQ262185 UOM262181:UOM262185 UYI262181:UYI262185 VIE262181:VIE262185 VSA262181:VSA262185 WBW262181:WBW262185 WLS262181:WLS262185 WVO262181:WVO262185 G327717:G327721 JC327717:JC327721 SY327717:SY327721 ACU327717:ACU327721 AMQ327717:AMQ327721 AWM327717:AWM327721 BGI327717:BGI327721 BQE327717:BQE327721 CAA327717:CAA327721 CJW327717:CJW327721 CTS327717:CTS327721 DDO327717:DDO327721 DNK327717:DNK327721 DXG327717:DXG327721 EHC327717:EHC327721 EQY327717:EQY327721 FAU327717:FAU327721 FKQ327717:FKQ327721 FUM327717:FUM327721 GEI327717:GEI327721 GOE327717:GOE327721 GYA327717:GYA327721 HHW327717:HHW327721 HRS327717:HRS327721 IBO327717:IBO327721 ILK327717:ILK327721 IVG327717:IVG327721 JFC327717:JFC327721 JOY327717:JOY327721 JYU327717:JYU327721 KIQ327717:KIQ327721 KSM327717:KSM327721 LCI327717:LCI327721 LME327717:LME327721 LWA327717:LWA327721 MFW327717:MFW327721 MPS327717:MPS327721 MZO327717:MZO327721 NJK327717:NJK327721 NTG327717:NTG327721 ODC327717:ODC327721 OMY327717:OMY327721 OWU327717:OWU327721 PGQ327717:PGQ327721 PQM327717:PQM327721 QAI327717:QAI327721 QKE327717:QKE327721 QUA327717:QUA327721 RDW327717:RDW327721 RNS327717:RNS327721 RXO327717:RXO327721 SHK327717:SHK327721 SRG327717:SRG327721 TBC327717:TBC327721 TKY327717:TKY327721 TUU327717:TUU327721 UEQ327717:UEQ327721 UOM327717:UOM327721 UYI327717:UYI327721 VIE327717:VIE327721 VSA327717:VSA327721 WBW327717:WBW327721 WLS327717:WLS327721 WVO327717:WVO327721 G393253:G393257 JC393253:JC393257 SY393253:SY393257 ACU393253:ACU393257 AMQ393253:AMQ393257 AWM393253:AWM393257 BGI393253:BGI393257 BQE393253:BQE393257 CAA393253:CAA393257 CJW393253:CJW393257 CTS393253:CTS393257 DDO393253:DDO393257 DNK393253:DNK393257 DXG393253:DXG393257 EHC393253:EHC393257 EQY393253:EQY393257 FAU393253:FAU393257 FKQ393253:FKQ393257 FUM393253:FUM393257 GEI393253:GEI393257 GOE393253:GOE393257 GYA393253:GYA393257 HHW393253:HHW393257 HRS393253:HRS393257 IBO393253:IBO393257 ILK393253:ILK393257 IVG393253:IVG393257 JFC393253:JFC393257 JOY393253:JOY393257 JYU393253:JYU393257 KIQ393253:KIQ393257 KSM393253:KSM393257 LCI393253:LCI393257 LME393253:LME393257 LWA393253:LWA393257 MFW393253:MFW393257 MPS393253:MPS393257 MZO393253:MZO393257 NJK393253:NJK393257 NTG393253:NTG393257 ODC393253:ODC393257 OMY393253:OMY393257 OWU393253:OWU393257 PGQ393253:PGQ393257 PQM393253:PQM393257 QAI393253:QAI393257 QKE393253:QKE393257 QUA393253:QUA393257 RDW393253:RDW393257 RNS393253:RNS393257 RXO393253:RXO393257 SHK393253:SHK393257 SRG393253:SRG393257 TBC393253:TBC393257 TKY393253:TKY393257 TUU393253:TUU393257 UEQ393253:UEQ393257 UOM393253:UOM393257 UYI393253:UYI393257 VIE393253:VIE393257 VSA393253:VSA393257 WBW393253:WBW393257 WLS393253:WLS393257 WVO393253:WVO393257 G458789:G458793 JC458789:JC458793 SY458789:SY458793 ACU458789:ACU458793 AMQ458789:AMQ458793 AWM458789:AWM458793 BGI458789:BGI458793 BQE458789:BQE458793 CAA458789:CAA458793 CJW458789:CJW458793 CTS458789:CTS458793 DDO458789:DDO458793 DNK458789:DNK458793 DXG458789:DXG458793 EHC458789:EHC458793 EQY458789:EQY458793 FAU458789:FAU458793 FKQ458789:FKQ458793 FUM458789:FUM458793 GEI458789:GEI458793 GOE458789:GOE458793 GYA458789:GYA458793 HHW458789:HHW458793 HRS458789:HRS458793 IBO458789:IBO458793 ILK458789:ILK458793 IVG458789:IVG458793 JFC458789:JFC458793 JOY458789:JOY458793 JYU458789:JYU458793 KIQ458789:KIQ458793 KSM458789:KSM458793 LCI458789:LCI458793 LME458789:LME458793 LWA458789:LWA458793 MFW458789:MFW458793 MPS458789:MPS458793 MZO458789:MZO458793 NJK458789:NJK458793 NTG458789:NTG458793 ODC458789:ODC458793 OMY458789:OMY458793 OWU458789:OWU458793 PGQ458789:PGQ458793 PQM458789:PQM458793 QAI458789:QAI458793 QKE458789:QKE458793 QUA458789:QUA458793 RDW458789:RDW458793 RNS458789:RNS458793 RXO458789:RXO458793 SHK458789:SHK458793 SRG458789:SRG458793 TBC458789:TBC458793 TKY458789:TKY458793 TUU458789:TUU458793 UEQ458789:UEQ458793 UOM458789:UOM458793 UYI458789:UYI458793 VIE458789:VIE458793 VSA458789:VSA458793 WBW458789:WBW458793 WLS458789:WLS458793 WVO458789:WVO458793 G524325:G524329 JC524325:JC524329 SY524325:SY524329 ACU524325:ACU524329 AMQ524325:AMQ524329 AWM524325:AWM524329 BGI524325:BGI524329 BQE524325:BQE524329 CAA524325:CAA524329 CJW524325:CJW524329 CTS524325:CTS524329 DDO524325:DDO524329 DNK524325:DNK524329 DXG524325:DXG524329 EHC524325:EHC524329 EQY524325:EQY524329 FAU524325:FAU524329 FKQ524325:FKQ524329 FUM524325:FUM524329 GEI524325:GEI524329 GOE524325:GOE524329 GYA524325:GYA524329 HHW524325:HHW524329 HRS524325:HRS524329 IBO524325:IBO524329 ILK524325:ILK524329 IVG524325:IVG524329 JFC524325:JFC524329 JOY524325:JOY524329 JYU524325:JYU524329 KIQ524325:KIQ524329 KSM524325:KSM524329 LCI524325:LCI524329 LME524325:LME524329 LWA524325:LWA524329 MFW524325:MFW524329 MPS524325:MPS524329 MZO524325:MZO524329 NJK524325:NJK524329 NTG524325:NTG524329 ODC524325:ODC524329 OMY524325:OMY524329 OWU524325:OWU524329 PGQ524325:PGQ524329 PQM524325:PQM524329 QAI524325:QAI524329 QKE524325:QKE524329 QUA524325:QUA524329 RDW524325:RDW524329 RNS524325:RNS524329 RXO524325:RXO524329 SHK524325:SHK524329 SRG524325:SRG524329 TBC524325:TBC524329 TKY524325:TKY524329 TUU524325:TUU524329 UEQ524325:UEQ524329 UOM524325:UOM524329 UYI524325:UYI524329 VIE524325:VIE524329 VSA524325:VSA524329 WBW524325:WBW524329 WLS524325:WLS524329 WVO524325:WVO524329 G589861:G589865 JC589861:JC589865 SY589861:SY589865 ACU589861:ACU589865 AMQ589861:AMQ589865 AWM589861:AWM589865 BGI589861:BGI589865 BQE589861:BQE589865 CAA589861:CAA589865 CJW589861:CJW589865 CTS589861:CTS589865 DDO589861:DDO589865 DNK589861:DNK589865 DXG589861:DXG589865 EHC589861:EHC589865 EQY589861:EQY589865 FAU589861:FAU589865 FKQ589861:FKQ589865 FUM589861:FUM589865 GEI589861:GEI589865 GOE589861:GOE589865 GYA589861:GYA589865 HHW589861:HHW589865 HRS589861:HRS589865 IBO589861:IBO589865 ILK589861:ILK589865 IVG589861:IVG589865 JFC589861:JFC589865 JOY589861:JOY589865 JYU589861:JYU589865 KIQ589861:KIQ589865 KSM589861:KSM589865 LCI589861:LCI589865 LME589861:LME589865 LWA589861:LWA589865 MFW589861:MFW589865 MPS589861:MPS589865 MZO589861:MZO589865 NJK589861:NJK589865 NTG589861:NTG589865 ODC589861:ODC589865 OMY589861:OMY589865 OWU589861:OWU589865 PGQ589861:PGQ589865 PQM589861:PQM589865 QAI589861:QAI589865 QKE589861:QKE589865 QUA589861:QUA589865 RDW589861:RDW589865 RNS589861:RNS589865 RXO589861:RXO589865 SHK589861:SHK589865 SRG589861:SRG589865 TBC589861:TBC589865 TKY589861:TKY589865 TUU589861:TUU589865 UEQ589861:UEQ589865 UOM589861:UOM589865 UYI589861:UYI589865 VIE589861:VIE589865 VSA589861:VSA589865 WBW589861:WBW589865 WLS589861:WLS589865 WVO589861:WVO589865 G655397:G655401 JC655397:JC655401 SY655397:SY655401 ACU655397:ACU655401 AMQ655397:AMQ655401 AWM655397:AWM655401 BGI655397:BGI655401 BQE655397:BQE655401 CAA655397:CAA655401 CJW655397:CJW655401 CTS655397:CTS655401 DDO655397:DDO655401 DNK655397:DNK655401 DXG655397:DXG655401 EHC655397:EHC655401 EQY655397:EQY655401 FAU655397:FAU655401 FKQ655397:FKQ655401 FUM655397:FUM655401 GEI655397:GEI655401 GOE655397:GOE655401 GYA655397:GYA655401 HHW655397:HHW655401 HRS655397:HRS655401 IBO655397:IBO655401 ILK655397:ILK655401 IVG655397:IVG655401 JFC655397:JFC655401 JOY655397:JOY655401 JYU655397:JYU655401 KIQ655397:KIQ655401 KSM655397:KSM655401 LCI655397:LCI655401 LME655397:LME655401 LWA655397:LWA655401 MFW655397:MFW655401 MPS655397:MPS655401 MZO655397:MZO655401 NJK655397:NJK655401 NTG655397:NTG655401 ODC655397:ODC655401 OMY655397:OMY655401 OWU655397:OWU655401 PGQ655397:PGQ655401 PQM655397:PQM655401 QAI655397:QAI655401 QKE655397:QKE655401 QUA655397:QUA655401 RDW655397:RDW655401 RNS655397:RNS655401 RXO655397:RXO655401 SHK655397:SHK655401 SRG655397:SRG655401 TBC655397:TBC655401 TKY655397:TKY655401 TUU655397:TUU655401 UEQ655397:UEQ655401 UOM655397:UOM655401 UYI655397:UYI655401 VIE655397:VIE655401 VSA655397:VSA655401 WBW655397:WBW655401 WLS655397:WLS655401 WVO655397:WVO655401 G720933:G720937 JC720933:JC720937 SY720933:SY720937 ACU720933:ACU720937 AMQ720933:AMQ720937 AWM720933:AWM720937 BGI720933:BGI720937 BQE720933:BQE720937 CAA720933:CAA720937 CJW720933:CJW720937 CTS720933:CTS720937 DDO720933:DDO720937 DNK720933:DNK720937 DXG720933:DXG720937 EHC720933:EHC720937 EQY720933:EQY720937 FAU720933:FAU720937 FKQ720933:FKQ720937 FUM720933:FUM720937 GEI720933:GEI720937 GOE720933:GOE720937 GYA720933:GYA720937 HHW720933:HHW720937 HRS720933:HRS720937 IBO720933:IBO720937 ILK720933:ILK720937 IVG720933:IVG720937 JFC720933:JFC720937 JOY720933:JOY720937 JYU720933:JYU720937 KIQ720933:KIQ720937 KSM720933:KSM720937 LCI720933:LCI720937 LME720933:LME720937 LWA720933:LWA720937 MFW720933:MFW720937 MPS720933:MPS720937 MZO720933:MZO720937 NJK720933:NJK720937 NTG720933:NTG720937 ODC720933:ODC720937 OMY720933:OMY720937 OWU720933:OWU720937 PGQ720933:PGQ720937 PQM720933:PQM720937 QAI720933:QAI720937 QKE720933:QKE720937 QUA720933:QUA720937 RDW720933:RDW720937 RNS720933:RNS720937 RXO720933:RXO720937 SHK720933:SHK720937 SRG720933:SRG720937 TBC720933:TBC720937 TKY720933:TKY720937 TUU720933:TUU720937 UEQ720933:UEQ720937 UOM720933:UOM720937 UYI720933:UYI720937 VIE720933:VIE720937 VSA720933:VSA720937 WBW720933:WBW720937 WLS720933:WLS720937 WVO720933:WVO720937 G786469:G786473 JC786469:JC786473 SY786469:SY786473 ACU786469:ACU786473 AMQ786469:AMQ786473 AWM786469:AWM786473 BGI786469:BGI786473 BQE786469:BQE786473 CAA786469:CAA786473 CJW786469:CJW786473 CTS786469:CTS786473 DDO786469:DDO786473 DNK786469:DNK786473 DXG786469:DXG786473 EHC786469:EHC786473 EQY786469:EQY786473 FAU786469:FAU786473 FKQ786469:FKQ786473 FUM786469:FUM786473 GEI786469:GEI786473 GOE786469:GOE786473 GYA786469:GYA786473 HHW786469:HHW786473 HRS786469:HRS786473 IBO786469:IBO786473 ILK786469:ILK786473 IVG786469:IVG786473 JFC786469:JFC786473 JOY786469:JOY786473 JYU786469:JYU786473 KIQ786469:KIQ786473 KSM786469:KSM786473 LCI786469:LCI786473 LME786469:LME786473 LWA786469:LWA786473 MFW786469:MFW786473 MPS786469:MPS786473 MZO786469:MZO786473 NJK786469:NJK786473 NTG786469:NTG786473 ODC786469:ODC786473 OMY786469:OMY786473 OWU786469:OWU786473 PGQ786469:PGQ786473 PQM786469:PQM786473 QAI786469:QAI786473 QKE786469:QKE786473 QUA786469:QUA786473 RDW786469:RDW786473 RNS786469:RNS786473 RXO786469:RXO786473 SHK786469:SHK786473 SRG786469:SRG786473 TBC786469:TBC786473 TKY786469:TKY786473 TUU786469:TUU786473 UEQ786469:UEQ786473 UOM786469:UOM786473 UYI786469:UYI786473 VIE786469:VIE786473 VSA786469:VSA786473 WBW786469:WBW786473 WLS786469:WLS786473 WVO786469:WVO786473 G852005:G852009 JC852005:JC852009 SY852005:SY852009 ACU852005:ACU852009 AMQ852005:AMQ852009 AWM852005:AWM852009 BGI852005:BGI852009 BQE852005:BQE852009 CAA852005:CAA852009 CJW852005:CJW852009 CTS852005:CTS852009 DDO852005:DDO852009 DNK852005:DNK852009 DXG852005:DXG852009 EHC852005:EHC852009 EQY852005:EQY852009 FAU852005:FAU852009 FKQ852005:FKQ852009 FUM852005:FUM852009 GEI852005:GEI852009 GOE852005:GOE852009 GYA852005:GYA852009 HHW852005:HHW852009 HRS852005:HRS852009 IBO852005:IBO852009 ILK852005:ILK852009 IVG852005:IVG852009 JFC852005:JFC852009 JOY852005:JOY852009 JYU852005:JYU852009 KIQ852005:KIQ852009 KSM852005:KSM852009 LCI852005:LCI852009 LME852005:LME852009 LWA852005:LWA852009 MFW852005:MFW852009 MPS852005:MPS852009 MZO852005:MZO852009 NJK852005:NJK852009 NTG852005:NTG852009 ODC852005:ODC852009 OMY852005:OMY852009 OWU852005:OWU852009 PGQ852005:PGQ852009 PQM852005:PQM852009 QAI852005:QAI852009 QKE852005:QKE852009 QUA852005:QUA852009 RDW852005:RDW852009 RNS852005:RNS852009 RXO852005:RXO852009 SHK852005:SHK852009 SRG852005:SRG852009 TBC852005:TBC852009 TKY852005:TKY852009 TUU852005:TUU852009 UEQ852005:UEQ852009 UOM852005:UOM852009 UYI852005:UYI852009 VIE852005:VIE852009 VSA852005:VSA852009 WBW852005:WBW852009 WLS852005:WLS852009 WVO852005:WVO852009 G917541:G917545 JC917541:JC917545 SY917541:SY917545 ACU917541:ACU917545 AMQ917541:AMQ917545 AWM917541:AWM917545 BGI917541:BGI917545 BQE917541:BQE917545 CAA917541:CAA917545 CJW917541:CJW917545 CTS917541:CTS917545 DDO917541:DDO917545 DNK917541:DNK917545 DXG917541:DXG917545 EHC917541:EHC917545 EQY917541:EQY917545 FAU917541:FAU917545 FKQ917541:FKQ917545 FUM917541:FUM917545 GEI917541:GEI917545 GOE917541:GOE917545 GYA917541:GYA917545 HHW917541:HHW917545 HRS917541:HRS917545 IBO917541:IBO917545 ILK917541:ILK917545 IVG917541:IVG917545 JFC917541:JFC917545 JOY917541:JOY917545 JYU917541:JYU917545 KIQ917541:KIQ917545 KSM917541:KSM917545 LCI917541:LCI917545 LME917541:LME917545 LWA917541:LWA917545 MFW917541:MFW917545 MPS917541:MPS917545 MZO917541:MZO917545 NJK917541:NJK917545 NTG917541:NTG917545 ODC917541:ODC917545 OMY917541:OMY917545 OWU917541:OWU917545 PGQ917541:PGQ917545 PQM917541:PQM917545 QAI917541:QAI917545 QKE917541:QKE917545 QUA917541:QUA917545 RDW917541:RDW917545 RNS917541:RNS917545 RXO917541:RXO917545 SHK917541:SHK917545 SRG917541:SRG917545 TBC917541:TBC917545 TKY917541:TKY917545 TUU917541:TUU917545 UEQ917541:UEQ917545 UOM917541:UOM917545 UYI917541:UYI917545 VIE917541:VIE917545 VSA917541:VSA917545 WBW917541:WBW917545 WLS917541:WLS917545 WVO917541:WVO917545 G983077:G983081 JC983077:JC983081 SY983077:SY983081 ACU983077:ACU983081 AMQ983077:AMQ983081 AWM983077:AWM983081 BGI983077:BGI983081 BQE983077:BQE983081 CAA983077:CAA983081 CJW983077:CJW983081 CTS983077:CTS983081 DDO983077:DDO983081 DNK983077:DNK983081 DXG983077:DXG983081 EHC983077:EHC983081 EQY983077:EQY983081 FAU983077:FAU983081 FKQ983077:FKQ983081 FUM983077:FUM983081 GEI983077:GEI983081 GOE983077:GOE983081 GYA983077:GYA983081 HHW983077:HHW983081 HRS983077:HRS983081 IBO983077:IBO983081 ILK983077:ILK983081 IVG983077:IVG983081 JFC983077:JFC983081 JOY983077:JOY983081 JYU983077:JYU983081 KIQ983077:KIQ983081 KSM983077:KSM983081 LCI983077:LCI983081 LME983077:LME983081 LWA983077:LWA983081 MFW983077:MFW983081 MPS983077:MPS983081 MZO983077:MZO983081 NJK983077:NJK983081 NTG983077:NTG983081 ODC983077:ODC983081 OMY983077:OMY983081 OWU983077:OWU983081 PGQ983077:PGQ983081 PQM983077:PQM983081 QAI983077:QAI983081 QKE983077:QKE983081 QUA983077:QUA983081 RDW983077:RDW983081 RNS983077:RNS983081 RXO983077:RXO983081 SHK983077:SHK983081 SRG983077:SRG983081 TBC983077:TBC983081 TKY983077:TKY983081 TUU983077:TUU983081 UEQ983077:UEQ983081 UOM983077:UOM983081 UYI983077:UYI983081 VIE983077:VIE983081 VSA983077:VSA983081 WBW983077:WBW983081 WLS983077:WLS983081 WVO983077:WVO983081" xr:uid="{00000000-0002-0000-0300-000000000000}">
      <formula1>D37</formula1>
      <formula2>F37</formula2>
    </dataValidation>
    <dataValidation type="list" allowBlank="1" showInputMessage="1" showErrorMessage="1" sqref="F17:G18 JB17:JC18 SX17:SY18 ACT17:ACU18 AMP17:AMQ18 AWL17:AWM18 BGH17:BGI18 BQD17:BQE18 BZZ17:CAA18 CJV17:CJW18 CTR17:CTS18 DDN17:DDO18 DNJ17:DNK18 DXF17:DXG18 EHB17:EHC18 EQX17:EQY18 FAT17:FAU18 FKP17:FKQ18 FUL17:FUM18 GEH17:GEI18 GOD17:GOE18 GXZ17:GYA18 HHV17:HHW18 HRR17:HRS18 IBN17:IBO18 ILJ17:ILK18 IVF17:IVG18 JFB17:JFC18 JOX17:JOY18 JYT17:JYU18 KIP17:KIQ18 KSL17:KSM18 LCH17:LCI18 LMD17:LME18 LVZ17:LWA18 MFV17:MFW18 MPR17:MPS18 MZN17:MZO18 NJJ17:NJK18 NTF17:NTG18 ODB17:ODC18 OMX17:OMY18 OWT17:OWU18 PGP17:PGQ18 PQL17:PQM18 QAH17:QAI18 QKD17:QKE18 QTZ17:QUA18 RDV17:RDW18 RNR17:RNS18 RXN17:RXO18 SHJ17:SHK18 SRF17:SRG18 TBB17:TBC18 TKX17:TKY18 TUT17:TUU18 UEP17:UEQ18 UOL17:UOM18 UYH17:UYI18 VID17:VIE18 VRZ17:VSA18 WBV17:WBW18 WLR17:WLS18 WVN17:WVO18 F65553:G65554 JB65553:JC65554 SX65553:SY65554 ACT65553:ACU65554 AMP65553:AMQ65554 AWL65553:AWM65554 BGH65553:BGI65554 BQD65553:BQE65554 BZZ65553:CAA65554 CJV65553:CJW65554 CTR65553:CTS65554 DDN65553:DDO65554 DNJ65553:DNK65554 DXF65553:DXG65554 EHB65553:EHC65554 EQX65553:EQY65554 FAT65553:FAU65554 FKP65553:FKQ65554 FUL65553:FUM65554 GEH65553:GEI65554 GOD65553:GOE65554 GXZ65553:GYA65554 HHV65553:HHW65554 HRR65553:HRS65554 IBN65553:IBO65554 ILJ65553:ILK65554 IVF65553:IVG65554 JFB65553:JFC65554 JOX65553:JOY65554 JYT65553:JYU65554 KIP65553:KIQ65554 KSL65553:KSM65554 LCH65553:LCI65554 LMD65553:LME65554 LVZ65553:LWA65554 MFV65553:MFW65554 MPR65553:MPS65554 MZN65553:MZO65554 NJJ65553:NJK65554 NTF65553:NTG65554 ODB65553:ODC65554 OMX65553:OMY65554 OWT65553:OWU65554 PGP65553:PGQ65554 PQL65553:PQM65554 QAH65553:QAI65554 QKD65553:QKE65554 QTZ65553:QUA65554 RDV65553:RDW65554 RNR65553:RNS65554 RXN65553:RXO65554 SHJ65553:SHK65554 SRF65553:SRG65554 TBB65553:TBC65554 TKX65553:TKY65554 TUT65553:TUU65554 UEP65553:UEQ65554 UOL65553:UOM65554 UYH65553:UYI65554 VID65553:VIE65554 VRZ65553:VSA65554 WBV65553:WBW65554 WLR65553:WLS65554 WVN65553:WVO65554 F131089:G131090 JB131089:JC131090 SX131089:SY131090 ACT131089:ACU131090 AMP131089:AMQ131090 AWL131089:AWM131090 BGH131089:BGI131090 BQD131089:BQE131090 BZZ131089:CAA131090 CJV131089:CJW131090 CTR131089:CTS131090 DDN131089:DDO131090 DNJ131089:DNK131090 DXF131089:DXG131090 EHB131089:EHC131090 EQX131089:EQY131090 FAT131089:FAU131090 FKP131089:FKQ131090 FUL131089:FUM131090 GEH131089:GEI131090 GOD131089:GOE131090 GXZ131089:GYA131090 HHV131089:HHW131090 HRR131089:HRS131090 IBN131089:IBO131090 ILJ131089:ILK131090 IVF131089:IVG131090 JFB131089:JFC131090 JOX131089:JOY131090 JYT131089:JYU131090 KIP131089:KIQ131090 KSL131089:KSM131090 LCH131089:LCI131090 LMD131089:LME131090 LVZ131089:LWA131090 MFV131089:MFW131090 MPR131089:MPS131090 MZN131089:MZO131090 NJJ131089:NJK131090 NTF131089:NTG131090 ODB131089:ODC131090 OMX131089:OMY131090 OWT131089:OWU131090 PGP131089:PGQ131090 PQL131089:PQM131090 QAH131089:QAI131090 QKD131089:QKE131090 QTZ131089:QUA131090 RDV131089:RDW131090 RNR131089:RNS131090 RXN131089:RXO131090 SHJ131089:SHK131090 SRF131089:SRG131090 TBB131089:TBC131090 TKX131089:TKY131090 TUT131089:TUU131090 UEP131089:UEQ131090 UOL131089:UOM131090 UYH131089:UYI131090 VID131089:VIE131090 VRZ131089:VSA131090 WBV131089:WBW131090 WLR131089:WLS131090 WVN131089:WVO131090 F196625:G196626 JB196625:JC196626 SX196625:SY196626 ACT196625:ACU196626 AMP196625:AMQ196626 AWL196625:AWM196626 BGH196625:BGI196626 BQD196625:BQE196626 BZZ196625:CAA196626 CJV196625:CJW196626 CTR196625:CTS196626 DDN196625:DDO196626 DNJ196625:DNK196626 DXF196625:DXG196626 EHB196625:EHC196626 EQX196625:EQY196626 FAT196625:FAU196626 FKP196625:FKQ196626 FUL196625:FUM196626 GEH196625:GEI196626 GOD196625:GOE196626 GXZ196625:GYA196626 HHV196625:HHW196626 HRR196625:HRS196626 IBN196625:IBO196626 ILJ196625:ILK196626 IVF196625:IVG196626 JFB196625:JFC196626 JOX196625:JOY196626 JYT196625:JYU196626 KIP196625:KIQ196626 KSL196625:KSM196626 LCH196625:LCI196626 LMD196625:LME196626 LVZ196625:LWA196626 MFV196625:MFW196626 MPR196625:MPS196626 MZN196625:MZO196626 NJJ196625:NJK196626 NTF196625:NTG196626 ODB196625:ODC196626 OMX196625:OMY196626 OWT196625:OWU196626 PGP196625:PGQ196626 PQL196625:PQM196626 QAH196625:QAI196626 QKD196625:QKE196626 QTZ196625:QUA196626 RDV196625:RDW196626 RNR196625:RNS196626 RXN196625:RXO196626 SHJ196625:SHK196626 SRF196625:SRG196626 TBB196625:TBC196626 TKX196625:TKY196626 TUT196625:TUU196626 UEP196625:UEQ196626 UOL196625:UOM196626 UYH196625:UYI196626 VID196625:VIE196626 VRZ196625:VSA196626 WBV196625:WBW196626 WLR196625:WLS196626 WVN196625:WVO196626 F262161:G262162 JB262161:JC262162 SX262161:SY262162 ACT262161:ACU262162 AMP262161:AMQ262162 AWL262161:AWM262162 BGH262161:BGI262162 BQD262161:BQE262162 BZZ262161:CAA262162 CJV262161:CJW262162 CTR262161:CTS262162 DDN262161:DDO262162 DNJ262161:DNK262162 DXF262161:DXG262162 EHB262161:EHC262162 EQX262161:EQY262162 FAT262161:FAU262162 FKP262161:FKQ262162 FUL262161:FUM262162 GEH262161:GEI262162 GOD262161:GOE262162 GXZ262161:GYA262162 HHV262161:HHW262162 HRR262161:HRS262162 IBN262161:IBO262162 ILJ262161:ILK262162 IVF262161:IVG262162 JFB262161:JFC262162 JOX262161:JOY262162 JYT262161:JYU262162 KIP262161:KIQ262162 KSL262161:KSM262162 LCH262161:LCI262162 LMD262161:LME262162 LVZ262161:LWA262162 MFV262161:MFW262162 MPR262161:MPS262162 MZN262161:MZO262162 NJJ262161:NJK262162 NTF262161:NTG262162 ODB262161:ODC262162 OMX262161:OMY262162 OWT262161:OWU262162 PGP262161:PGQ262162 PQL262161:PQM262162 QAH262161:QAI262162 QKD262161:QKE262162 QTZ262161:QUA262162 RDV262161:RDW262162 RNR262161:RNS262162 RXN262161:RXO262162 SHJ262161:SHK262162 SRF262161:SRG262162 TBB262161:TBC262162 TKX262161:TKY262162 TUT262161:TUU262162 UEP262161:UEQ262162 UOL262161:UOM262162 UYH262161:UYI262162 VID262161:VIE262162 VRZ262161:VSA262162 WBV262161:WBW262162 WLR262161:WLS262162 WVN262161:WVO262162 F327697:G327698 JB327697:JC327698 SX327697:SY327698 ACT327697:ACU327698 AMP327697:AMQ327698 AWL327697:AWM327698 BGH327697:BGI327698 BQD327697:BQE327698 BZZ327697:CAA327698 CJV327697:CJW327698 CTR327697:CTS327698 DDN327697:DDO327698 DNJ327697:DNK327698 DXF327697:DXG327698 EHB327697:EHC327698 EQX327697:EQY327698 FAT327697:FAU327698 FKP327697:FKQ327698 FUL327697:FUM327698 GEH327697:GEI327698 GOD327697:GOE327698 GXZ327697:GYA327698 HHV327697:HHW327698 HRR327697:HRS327698 IBN327697:IBO327698 ILJ327697:ILK327698 IVF327697:IVG327698 JFB327697:JFC327698 JOX327697:JOY327698 JYT327697:JYU327698 KIP327697:KIQ327698 KSL327697:KSM327698 LCH327697:LCI327698 LMD327697:LME327698 LVZ327697:LWA327698 MFV327697:MFW327698 MPR327697:MPS327698 MZN327697:MZO327698 NJJ327697:NJK327698 NTF327697:NTG327698 ODB327697:ODC327698 OMX327697:OMY327698 OWT327697:OWU327698 PGP327697:PGQ327698 PQL327697:PQM327698 QAH327697:QAI327698 QKD327697:QKE327698 QTZ327697:QUA327698 RDV327697:RDW327698 RNR327697:RNS327698 RXN327697:RXO327698 SHJ327697:SHK327698 SRF327697:SRG327698 TBB327697:TBC327698 TKX327697:TKY327698 TUT327697:TUU327698 UEP327697:UEQ327698 UOL327697:UOM327698 UYH327697:UYI327698 VID327697:VIE327698 VRZ327697:VSA327698 WBV327697:WBW327698 WLR327697:WLS327698 WVN327697:WVO327698 F393233:G393234 JB393233:JC393234 SX393233:SY393234 ACT393233:ACU393234 AMP393233:AMQ393234 AWL393233:AWM393234 BGH393233:BGI393234 BQD393233:BQE393234 BZZ393233:CAA393234 CJV393233:CJW393234 CTR393233:CTS393234 DDN393233:DDO393234 DNJ393233:DNK393234 DXF393233:DXG393234 EHB393233:EHC393234 EQX393233:EQY393234 FAT393233:FAU393234 FKP393233:FKQ393234 FUL393233:FUM393234 GEH393233:GEI393234 GOD393233:GOE393234 GXZ393233:GYA393234 HHV393233:HHW393234 HRR393233:HRS393234 IBN393233:IBO393234 ILJ393233:ILK393234 IVF393233:IVG393234 JFB393233:JFC393234 JOX393233:JOY393234 JYT393233:JYU393234 KIP393233:KIQ393234 KSL393233:KSM393234 LCH393233:LCI393234 LMD393233:LME393234 LVZ393233:LWA393234 MFV393233:MFW393234 MPR393233:MPS393234 MZN393233:MZO393234 NJJ393233:NJK393234 NTF393233:NTG393234 ODB393233:ODC393234 OMX393233:OMY393234 OWT393233:OWU393234 PGP393233:PGQ393234 PQL393233:PQM393234 QAH393233:QAI393234 QKD393233:QKE393234 QTZ393233:QUA393234 RDV393233:RDW393234 RNR393233:RNS393234 RXN393233:RXO393234 SHJ393233:SHK393234 SRF393233:SRG393234 TBB393233:TBC393234 TKX393233:TKY393234 TUT393233:TUU393234 UEP393233:UEQ393234 UOL393233:UOM393234 UYH393233:UYI393234 VID393233:VIE393234 VRZ393233:VSA393234 WBV393233:WBW393234 WLR393233:WLS393234 WVN393233:WVO393234 F458769:G458770 JB458769:JC458770 SX458769:SY458770 ACT458769:ACU458770 AMP458769:AMQ458770 AWL458769:AWM458770 BGH458769:BGI458770 BQD458769:BQE458770 BZZ458769:CAA458770 CJV458769:CJW458770 CTR458769:CTS458770 DDN458769:DDO458770 DNJ458769:DNK458770 DXF458769:DXG458770 EHB458769:EHC458770 EQX458769:EQY458770 FAT458769:FAU458770 FKP458769:FKQ458770 FUL458769:FUM458770 GEH458769:GEI458770 GOD458769:GOE458770 GXZ458769:GYA458770 HHV458769:HHW458770 HRR458769:HRS458770 IBN458769:IBO458770 ILJ458769:ILK458770 IVF458769:IVG458770 JFB458769:JFC458770 JOX458769:JOY458770 JYT458769:JYU458770 KIP458769:KIQ458770 KSL458769:KSM458770 LCH458769:LCI458770 LMD458769:LME458770 LVZ458769:LWA458770 MFV458769:MFW458770 MPR458769:MPS458770 MZN458769:MZO458770 NJJ458769:NJK458770 NTF458769:NTG458770 ODB458769:ODC458770 OMX458769:OMY458770 OWT458769:OWU458770 PGP458769:PGQ458770 PQL458769:PQM458770 QAH458769:QAI458770 QKD458769:QKE458770 QTZ458769:QUA458770 RDV458769:RDW458770 RNR458769:RNS458770 RXN458769:RXO458770 SHJ458769:SHK458770 SRF458769:SRG458770 TBB458769:TBC458770 TKX458769:TKY458770 TUT458769:TUU458770 UEP458769:UEQ458770 UOL458769:UOM458770 UYH458769:UYI458770 VID458769:VIE458770 VRZ458769:VSA458770 WBV458769:WBW458770 WLR458769:WLS458770 WVN458769:WVO458770 F524305:G524306 JB524305:JC524306 SX524305:SY524306 ACT524305:ACU524306 AMP524305:AMQ524306 AWL524305:AWM524306 BGH524305:BGI524306 BQD524305:BQE524306 BZZ524305:CAA524306 CJV524305:CJW524306 CTR524305:CTS524306 DDN524305:DDO524306 DNJ524305:DNK524306 DXF524305:DXG524306 EHB524305:EHC524306 EQX524305:EQY524306 FAT524305:FAU524306 FKP524305:FKQ524306 FUL524305:FUM524306 GEH524305:GEI524306 GOD524305:GOE524306 GXZ524305:GYA524306 HHV524305:HHW524306 HRR524305:HRS524306 IBN524305:IBO524306 ILJ524305:ILK524306 IVF524305:IVG524306 JFB524305:JFC524306 JOX524305:JOY524306 JYT524305:JYU524306 KIP524305:KIQ524306 KSL524305:KSM524306 LCH524305:LCI524306 LMD524305:LME524306 LVZ524305:LWA524306 MFV524305:MFW524306 MPR524305:MPS524306 MZN524305:MZO524306 NJJ524305:NJK524306 NTF524305:NTG524306 ODB524305:ODC524306 OMX524305:OMY524306 OWT524305:OWU524306 PGP524305:PGQ524306 PQL524305:PQM524306 QAH524305:QAI524306 QKD524305:QKE524306 QTZ524305:QUA524306 RDV524305:RDW524306 RNR524305:RNS524306 RXN524305:RXO524306 SHJ524305:SHK524306 SRF524305:SRG524306 TBB524305:TBC524306 TKX524305:TKY524306 TUT524305:TUU524306 UEP524305:UEQ524306 UOL524305:UOM524306 UYH524305:UYI524306 VID524305:VIE524306 VRZ524305:VSA524306 WBV524305:WBW524306 WLR524305:WLS524306 WVN524305:WVO524306 F589841:G589842 JB589841:JC589842 SX589841:SY589842 ACT589841:ACU589842 AMP589841:AMQ589842 AWL589841:AWM589842 BGH589841:BGI589842 BQD589841:BQE589842 BZZ589841:CAA589842 CJV589841:CJW589842 CTR589841:CTS589842 DDN589841:DDO589842 DNJ589841:DNK589842 DXF589841:DXG589842 EHB589841:EHC589842 EQX589841:EQY589842 FAT589841:FAU589842 FKP589841:FKQ589842 FUL589841:FUM589842 GEH589841:GEI589842 GOD589841:GOE589842 GXZ589841:GYA589842 HHV589841:HHW589842 HRR589841:HRS589842 IBN589841:IBO589842 ILJ589841:ILK589842 IVF589841:IVG589842 JFB589841:JFC589842 JOX589841:JOY589842 JYT589841:JYU589842 KIP589841:KIQ589842 KSL589841:KSM589842 LCH589841:LCI589842 LMD589841:LME589842 LVZ589841:LWA589842 MFV589841:MFW589842 MPR589841:MPS589842 MZN589841:MZO589842 NJJ589841:NJK589842 NTF589841:NTG589842 ODB589841:ODC589842 OMX589841:OMY589842 OWT589841:OWU589842 PGP589841:PGQ589842 PQL589841:PQM589842 QAH589841:QAI589842 QKD589841:QKE589842 QTZ589841:QUA589842 RDV589841:RDW589842 RNR589841:RNS589842 RXN589841:RXO589842 SHJ589841:SHK589842 SRF589841:SRG589842 TBB589841:TBC589842 TKX589841:TKY589842 TUT589841:TUU589842 UEP589841:UEQ589842 UOL589841:UOM589842 UYH589841:UYI589842 VID589841:VIE589842 VRZ589841:VSA589842 WBV589841:WBW589842 WLR589841:WLS589842 WVN589841:WVO589842 F655377:G655378 JB655377:JC655378 SX655377:SY655378 ACT655377:ACU655378 AMP655377:AMQ655378 AWL655377:AWM655378 BGH655377:BGI655378 BQD655377:BQE655378 BZZ655377:CAA655378 CJV655377:CJW655378 CTR655377:CTS655378 DDN655377:DDO655378 DNJ655377:DNK655378 DXF655377:DXG655378 EHB655377:EHC655378 EQX655377:EQY655378 FAT655377:FAU655378 FKP655377:FKQ655378 FUL655377:FUM655378 GEH655377:GEI655378 GOD655377:GOE655378 GXZ655377:GYA655378 HHV655377:HHW655378 HRR655377:HRS655378 IBN655377:IBO655378 ILJ655377:ILK655378 IVF655377:IVG655378 JFB655377:JFC655378 JOX655377:JOY655378 JYT655377:JYU655378 KIP655377:KIQ655378 KSL655377:KSM655378 LCH655377:LCI655378 LMD655377:LME655378 LVZ655377:LWA655378 MFV655377:MFW655378 MPR655377:MPS655378 MZN655377:MZO655378 NJJ655377:NJK655378 NTF655377:NTG655378 ODB655377:ODC655378 OMX655377:OMY655378 OWT655377:OWU655378 PGP655377:PGQ655378 PQL655377:PQM655378 QAH655377:QAI655378 QKD655377:QKE655378 QTZ655377:QUA655378 RDV655377:RDW655378 RNR655377:RNS655378 RXN655377:RXO655378 SHJ655377:SHK655378 SRF655377:SRG655378 TBB655377:TBC655378 TKX655377:TKY655378 TUT655377:TUU655378 UEP655377:UEQ655378 UOL655377:UOM655378 UYH655377:UYI655378 VID655377:VIE655378 VRZ655377:VSA655378 WBV655377:WBW655378 WLR655377:WLS655378 WVN655377:WVO655378 F720913:G720914 JB720913:JC720914 SX720913:SY720914 ACT720913:ACU720914 AMP720913:AMQ720914 AWL720913:AWM720914 BGH720913:BGI720914 BQD720913:BQE720914 BZZ720913:CAA720914 CJV720913:CJW720914 CTR720913:CTS720914 DDN720913:DDO720914 DNJ720913:DNK720914 DXF720913:DXG720914 EHB720913:EHC720914 EQX720913:EQY720914 FAT720913:FAU720914 FKP720913:FKQ720914 FUL720913:FUM720914 GEH720913:GEI720914 GOD720913:GOE720914 GXZ720913:GYA720914 HHV720913:HHW720914 HRR720913:HRS720914 IBN720913:IBO720914 ILJ720913:ILK720914 IVF720913:IVG720914 JFB720913:JFC720914 JOX720913:JOY720914 JYT720913:JYU720914 KIP720913:KIQ720914 KSL720913:KSM720914 LCH720913:LCI720914 LMD720913:LME720914 LVZ720913:LWA720914 MFV720913:MFW720914 MPR720913:MPS720914 MZN720913:MZO720914 NJJ720913:NJK720914 NTF720913:NTG720914 ODB720913:ODC720914 OMX720913:OMY720914 OWT720913:OWU720914 PGP720913:PGQ720914 PQL720913:PQM720914 QAH720913:QAI720914 QKD720913:QKE720914 QTZ720913:QUA720914 RDV720913:RDW720914 RNR720913:RNS720914 RXN720913:RXO720914 SHJ720913:SHK720914 SRF720913:SRG720914 TBB720913:TBC720914 TKX720913:TKY720914 TUT720913:TUU720914 UEP720913:UEQ720914 UOL720913:UOM720914 UYH720913:UYI720914 VID720913:VIE720914 VRZ720913:VSA720914 WBV720913:WBW720914 WLR720913:WLS720914 WVN720913:WVO720914 F786449:G786450 JB786449:JC786450 SX786449:SY786450 ACT786449:ACU786450 AMP786449:AMQ786450 AWL786449:AWM786450 BGH786449:BGI786450 BQD786449:BQE786450 BZZ786449:CAA786450 CJV786449:CJW786450 CTR786449:CTS786450 DDN786449:DDO786450 DNJ786449:DNK786450 DXF786449:DXG786450 EHB786449:EHC786450 EQX786449:EQY786450 FAT786449:FAU786450 FKP786449:FKQ786450 FUL786449:FUM786450 GEH786449:GEI786450 GOD786449:GOE786450 GXZ786449:GYA786450 HHV786449:HHW786450 HRR786449:HRS786450 IBN786449:IBO786450 ILJ786449:ILK786450 IVF786449:IVG786450 JFB786449:JFC786450 JOX786449:JOY786450 JYT786449:JYU786450 KIP786449:KIQ786450 KSL786449:KSM786450 LCH786449:LCI786450 LMD786449:LME786450 LVZ786449:LWA786450 MFV786449:MFW786450 MPR786449:MPS786450 MZN786449:MZO786450 NJJ786449:NJK786450 NTF786449:NTG786450 ODB786449:ODC786450 OMX786449:OMY786450 OWT786449:OWU786450 PGP786449:PGQ786450 PQL786449:PQM786450 QAH786449:QAI786450 QKD786449:QKE786450 QTZ786449:QUA786450 RDV786449:RDW786450 RNR786449:RNS786450 RXN786449:RXO786450 SHJ786449:SHK786450 SRF786449:SRG786450 TBB786449:TBC786450 TKX786449:TKY786450 TUT786449:TUU786450 UEP786449:UEQ786450 UOL786449:UOM786450 UYH786449:UYI786450 VID786449:VIE786450 VRZ786449:VSA786450 WBV786449:WBW786450 WLR786449:WLS786450 WVN786449:WVO786450 F851985:G851986 JB851985:JC851986 SX851985:SY851986 ACT851985:ACU851986 AMP851985:AMQ851986 AWL851985:AWM851986 BGH851985:BGI851986 BQD851985:BQE851986 BZZ851985:CAA851986 CJV851985:CJW851986 CTR851985:CTS851986 DDN851985:DDO851986 DNJ851985:DNK851986 DXF851985:DXG851986 EHB851985:EHC851986 EQX851985:EQY851986 FAT851985:FAU851986 FKP851985:FKQ851986 FUL851985:FUM851986 GEH851985:GEI851986 GOD851985:GOE851986 GXZ851985:GYA851986 HHV851985:HHW851986 HRR851985:HRS851986 IBN851985:IBO851986 ILJ851985:ILK851986 IVF851985:IVG851986 JFB851985:JFC851986 JOX851985:JOY851986 JYT851985:JYU851986 KIP851985:KIQ851986 KSL851985:KSM851986 LCH851985:LCI851986 LMD851985:LME851986 LVZ851985:LWA851986 MFV851985:MFW851986 MPR851985:MPS851986 MZN851985:MZO851986 NJJ851985:NJK851986 NTF851985:NTG851986 ODB851985:ODC851986 OMX851985:OMY851986 OWT851985:OWU851986 PGP851985:PGQ851986 PQL851985:PQM851986 QAH851985:QAI851986 QKD851985:QKE851986 QTZ851985:QUA851986 RDV851985:RDW851986 RNR851985:RNS851986 RXN851985:RXO851986 SHJ851985:SHK851986 SRF851985:SRG851986 TBB851985:TBC851986 TKX851985:TKY851986 TUT851985:TUU851986 UEP851985:UEQ851986 UOL851985:UOM851986 UYH851985:UYI851986 VID851985:VIE851986 VRZ851985:VSA851986 WBV851985:WBW851986 WLR851985:WLS851986 WVN851985:WVO851986 F917521:G917522 JB917521:JC917522 SX917521:SY917522 ACT917521:ACU917522 AMP917521:AMQ917522 AWL917521:AWM917522 BGH917521:BGI917522 BQD917521:BQE917522 BZZ917521:CAA917522 CJV917521:CJW917522 CTR917521:CTS917522 DDN917521:DDO917522 DNJ917521:DNK917522 DXF917521:DXG917522 EHB917521:EHC917522 EQX917521:EQY917522 FAT917521:FAU917522 FKP917521:FKQ917522 FUL917521:FUM917522 GEH917521:GEI917522 GOD917521:GOE917522 GXZ917521:GYA917522 HHV917521:HHW917522 HRR917521:HRS917522 IBN917521:IBO917522 ILJ917521:ILK917522 IVF917521:IVG917522 JFB917521:JFC917522 JOX917521:JOY917522 JYT917521:JYU917522 KIP917521:KIQ917522 KSL917521:KSM917522 LCH917521:LCI917522 LMD917521:LME917522 LVZ917521:LWA917522 MFV917521:MFW917522 MPR917521:MPS917522 MZN917521:MZO917522 NJJ917521:NJK917522 NTF917521:NTG917522 ODB917521:ODC917522 OMX917521:OMY917522 OWT917521:OWU917522 PGP917521:PGQ917522 PQL917521:PQM917522 QAH917521:QAI917522 QKD917521:QKE917522 QTZ917521:QUA917522 RDV917521:RDW917522 RNR917521:RNS917522 RXN917521:RXO917522 SHJ917521:SHK917522 SRF917521:SRG917522 TBB917521:TBC917522 TKX917521:TKY917522 TUT917521:TUU917522 UEP917521:UEQ917522 UOL917521:UOM917522 UYH917521:UYI917522 VID917521:VIE917522 VRZ917521:VSA917522 WBV917521:WBW917522 WLR917521:WLS917522 WVN917521:WVO917522 F983057:G983058 JB983057:JC983058 SX983057:SY983058 ACT983057:ACU983058 AMP983057:AMQ983058 AWL983057:AWM983058 BGH983057:BGI983058 BQD983057:BQE983058 BZZ983057:CAA983058 CJV983057:CJW983058 CTR983057:CTS983058 DDN983057:DDO983058 DNJ983057:DNK983058 DXF983057:DXG983058 EHB983057:EHC983058 EQX983057:EQY983058 FAT983057:FAU983058 FKP983057:FKQ983058 FUL983057:FUM983058 GEH983057:GEI983058 GOD983057:GOE983058 GXZ983057:GYA983058 HHV983057:HHW983058 HRR983057:HRS983058 IBN983057:IBO983058 ILJ983057:ILK983058 IVF983057:IVG983058 JFB983057:JFC983058 JOX983057:JOY983058 JYT983057:JYU983058 KIP983057:KIQ983058 KSL983057:KSM983058 LCH983057:LCI983058 LMD983057:LME983058 LVZ983057:LWA983058 MFV983057:MFW983058 MPR983057:MPS983058 MZN983057:MZO983058 NJJ983057:NJK983058 NTF983057:NTG983058 ODB983057:ODC983058 OMX983057:OMY983058 OWT983057:OWU983058 PGP983057:PGQ983058 PQL983057:PQM983058 QAH983057:QAI983058 QKD983057:QKE983058 QTZ983057:QUA983058 RDV983057:RDW983058 RNR983057:RNS983058 RXN983057:RXO983058 SHJ983057:SHK983058 SRF983057:SRG983058 TBB983057:TBC983058 TKX983057:TKY983058 TUT983057:TUU983058 UEP983057:UEQ983058 UOL983057:UOM983058 UYH983057:UYI983058 VID983057:VIE983058 VRZ983057:VSA983058 WBV983057:WBW983058 WLR983057:WLS983058 WVN983057:WVO983058" xr:uid="{00000000-0002-0000-0300-000001000000}">
      <formula1>$CF$266:$CF$267</formula1>
    </dataValidation>
    <dataValidation type="list" allowBlank="1" showInputMessage="1" showErrorMessage="1" sqref="D7:G7 IZ7:JC7 SV7:SY7 ACR7:ACU7 AMN7:AMQ7 AWJ7:AWM7 BGF7:BGI7 BQB7:BQE7 BZX7:CAA7 CJT7:CJW7 CTP7:CTS7 DDL7:DDO7 DNH7:DNK7 DXD7:DXG7 EGZ7:EHC7 EQV7:EQY7 FAR7:FAU7 FKN7:FKQ7 FUJ7:FUM7 GEF7:GEI7 GOB7:GOE7 GXX7:GYA7 HHT7:HHW7 HRP7:HRS7 IBL7:IBO7 ILH7:ILK7 IVD7:IVG7 JEZ7:JFC7 JOV7:JOY7 JYR7:JYU7 KIN7:KIQ7 KSJ7:KSM7 LCF7:LCI7 LMB7:LME7 LVX7:LWA7 MFT7:MFW7 MPP7:MPS7 MZL7:MZO7 NJH7:NJK7 NTD7:NTG7 OCZ7:ODC7 OMV7:OMY7 OWR7:OWU7 PGN7:PGQ7 PQJ7:PQM7 QAF7:QAI7 QKB7:QKE7 QTX7:QUA7 RDT7:RDW7 RNP7:RNS7 RXL7:RXO7 SHH7:SHK7 SRD7:SRG7 TAZ7:TBC7 TKV7:TKY7 TUR7:TUU7 UEN7:UEQ7 UOJ7:UOM7 UYF7:UYI7 VIB7:VIE7 VRX7:VSA7 WBT7:WBW7 WLP7:WLS7 WVL7:WVO7 D65543:G65543 IZ65543:JC65543 SV65543:SY65543 ACR65543:ACU65543 AMN65543:AMQ65543 AWJ65543:AWM65543 BGF65543:BGI65543 BQB65543:BQE65543 BZX65543:CAA65543 CJT65543:CJW65543 CTP65543:CTS65543 DDL65543:DDO65543 DNH65543:DNK65543 DXD65543:DXG65543 EGZ65543:EHC65543 EQV65543:EQY65543 FAR65543:FAU65543 FKN65543:FKQ65543 FUJ65543:FUM65543 GEF65543:GEI65543 GOB65543:GOE65543 GXX65543:GYA65543 HHT65543:HHW65543 HRP65543:HRS65543 IBL65543:IBO65543 ILH65543:ILK65543 IVD65543:IVG65543 JEZ65543:JFC65543 JOV65543:JOY65543 JYR65543:JYU65543 KIN65543:KIQ65543 KSJ65543:KSM65543 LCF65543:LCI65543 LMB65543:LME65543 LVX65543:LWA65543 MFT65543:MFW65543 MPP65543:MPS65543 MZL65543:MZO65543 NJH65543:NJK65543 NTD65543:NTG65543 OCZ65543:ODC65543 OMV65543:OMY65543 OWR65543:OWU65543 PGN65543:PGQ65543 PQJ65543:PQM65543 QAF65543:QAI65543 QKB65543:QKE65543 QTX65543:QUA65543 RDT65543:RDW65543 RNP65543:RNS65543 RXL65543:RXO65543 SHH65543:SHK65543 SRD65543:SRG65543 TAZ65543:TBC65543 TKV65543:TKY65543 TUR65543:TUU65543 UEN65543:UEQ65543 UOJ65543:UOM65543 UYF65543:UYI65543 VIB65543:VIE65543 VRX65543:VSA65543 WBT65543:WBW65543 WLP65543:WLS65543 WVL65543:WVO65543 D131079:G131079 IZ131079:JC131079 SV131079:SY131079 ACR131079:ACU131079 AMN131079:AMQ131079 AWJ131079:AWM131079 BGF131079:BGI131079 BQB131079:BQE131079 BZX131079:CAA131079 CJT131079:CJW131079 CTP131079:CTS131079 DDL131079:DDO131079 DNH131079:DNK131079 DXD131079:DXG131079 EGZ131079:EHC131079 EQV131079:EQY131079 FAR131079:FAU131079 FKN131079:FKQ131079 FUJ131079:FUM131079 GEF131079:GEI131079 GOB131079:GOE131079 GXX131079:GYA131079 HHT131079:HHW131079 HRP131079:HRS131079 IBL131079:IBO131079 ILH131079:ILK131079 IVD131079:IVG131079 JEZ131079:JFC131079 JOV131079:JOY131079 JYR131079:JYU131079 KIN131079:KIQ131079 KSJ131079:KSM131079 LCF131079:LCI131079 LMB131079:LME131079 LVX131079:LWA131079 MFT131079:MFW131079 MPP131079:MPS131079 MZL131079:MZO131079 NJH131079:NJK131079 NTD131079:NTG131079 OCZ131079:ODC131079 OMV131079:OMY131079 OWR131079:OWU131079 PGN131079:PGQ131079 PQJ131079:PQM131079 QAF131079:QAI131079 QKB131079:QKE131079 QTX131079:QUA131079 RDT131079:RDW131079 RNP131079:RNS131079 RXL131079:RXO131079 SHH131079:SHK131079 SRD131079:SRG131079 TAZ131079:TBC131079 TKV131079:TKY131079 TUR131079:TUU131079 UEN131079:UEQ131079 UOJ131079:UOM131079 UYF131079:UYI131079 VIB131079:VIE131079 VRX131079:VSA131079 WBT131079:WBW131079 WLP131079:WLS131079 WVL131079:WVO131079 D196615:G196615 IZ196615:JC196615 SV196615:SY196615 ACR196615:ACU196615 AMN196615:AMQ196615 AWJ196615:AWM196615 BGF196615:BGI196615 BQB196615:BQE196615 BZX196615:CAA196615 CJT196615:CJW196615 CTP196615:CTS196615 DDL196615:DDO196615 DNH196615:DNK196615 DXD196615:DXG196615 EGZ196615:EHC196615 EQV196615:EQY196615 FAR196615:FAU196615 FKN196615:FKQ196615 FUJ196615:FUM196615 GEF196615:GEI196615 GOB196615:GOE196615 GXX196615:GYA196615 HHT196615:HHW196615 HRP196615:HRS196615 IBL196615:IBO196615 ILH196615:ILK196615 IVD196615:IVG196615 JEZ196615:JFC196615 JOV196615:JOY196615 JYR196615:JYU196615 KIN196615:KIQ196615 KSJ196615:KSM196615 LCF196615:LCI196615 LMB196615:LME196615 LVX196615:LWA196615 MFT196615:MFW196615 MPP196615:MPS196615 MZL196615:MZO196615 NJH196615:NJK196615 NTD196615:NTG196615 OCZ196615:ODC196615 OMV196615:OMY196615 OWR196615:OWU196615 PGN196615:PGQ196615 PQJ196615:PQM196615 QAF196615:QAI196615 QKB196615:QKE196615 QTX196615:QUA196615 RDT196615:RDW196615 RNP196615:RNS196615 RXL196615:RXO196615 SHH196615:SHK196615 SRD196615:SRG196615 TAZ196615:TBC196615 TKV196615:TKY196615 TUR196615:TUU196615 UEN196615:UEQ196615 UOJ196615:UOM196615 UYF196615:UYI196615 VIB196615:VIE196615 VRX196615:VSA196615 WBT196615:WBW196615 WLP196615:WLS196615 WVL196615:WVO196615 D262151:G262151 IZ262151:JC262151 SV262151:SY262151 ACR262151:ACU262151 AMN262151:AMQ262151 AWJ262151:AWM262151 BGF262151:BGI262151 BQB262151:BQE262151 BZX262151:CAA262151 CJT262151:CJW262151 CTP262151:CTS262151 DDL262151:DDO262151 DNH262151:DNK262151 DXD262151:DXG262151 EGZ262151:EHC262151 EQV262151:EQY262151 FAR262151:FAU262151 FKN262151:FKQ262151 FUJ262151:FUM262151 GEF262151:GEI262151 GOB262151:GOE262151 GXX262151:GYA262151 HHT262151:HHW262151 HRP262151:HRS262151 IBL262151:IBO262151 ILH262151:ILK262151 IVD262151:IVG262151 JEZ262151:JFC262151 JOV262151:JOY262151 JYR262151:JYU262151 KIN262151:KIQ262151 KSJ262151:KSM262151 LCF262151:LCI262151 LMB262151:LME262151 LVX262151:LWA262151 MFT262151:MFW262151 MPP262151:MPS262151 MZL262151:MZO262151 NJH262151:NJK262151 NTD262151:NTG262151 OCZ262151:ODC262151 OMV262151:OMY262151 OWR262151:OWU262151 PGN262151:PGQ262151 PQJ262151:PQM262151 QAF262151:QAI262151 QKB262151:QKE262151 QTX262151:QUA262151 RDT262151:RDW262151 RNP262151:RNS262151 RXL262151:RXO262151 SHH262151:SHK262151 SRD262151:SRG262151 TAZ262151:TBC262151 TKV262151:TKY262151 TUR262151:TUU262151 UEN262151:UEQ262151 UOJ262151:UOM262151 UYF262151:UYI262151 VIB262151:VIE262151 VRX262151:VSA262151 WBT262151:WBW262151 WLP262151:WLS262151 WVL262151:WVO262151 D327687:G327687 IZ327687:JC327687 SV327687:SY327687 ACR327687:ACU327687 AMN327687:AMQ327687 AWJ327687:AWM327687 BGF327687:BGI327687 BQB327687:BQE327687 BZX327687:CAA327687 CJT327687:CJW327687 CTP327687:CTS327687 DDL327687:DDO327687 DNH327687:DNK327687 DXD327687:DXG327687 EGZ327687:EHC327687 EQV327687:EQY327687 FAR327687:FAU327687 FKN327687:FKQ327687 FUJ327687:FUM327687 GEF327687:GEI327687 GOB327687:GOE327687 GXX327687:GYA327687 HHT327687:HHW327687 HRP327687:HRS327687 IBL327687:IBO327687 ILH327687:ILK327687 IVD327687:IVG327687 JEZ327687:JFC327687 JOV327687:JOY327687 JYR327687:JYU327687 KIN327687:KIQ327687 KSJ327687:KSM327687 LCF327687:LCI327687 LMB327687:LME327687 LVX327687:LWA327687 MFT327687:MFW327687 MPP327687:MPS327687 MZL327687:MZO327687 NJH327687:NJK327687 NTD327687:NTG327687 OCZ327687:ODC327687 OMV327687:OMY327687 OWR327687:OWU327687 PGN327687:PGQ327687 PQJ327687:PQM327687 QAF327687:QAI327687 QKB327687:QKE327687 QTX327687:QUA327687 RDT327687:RDW327687 RNP327687:RNS327687 RXL327687:RXO327687 SHH327687:SHK327687 SRD327687:SRG327687 TAZ327687:TBC327687 TKV327687:TKY327687 TUR327687:TUU327687 UEN327687:UEQ327687 UOJ327687:UOM327687 UYF327687:UYI327687 VIB327687:VIE327687 VRX327687:VSA327687 WBT327687:WBW327687 WLP327687:WLS327687 WVL327687:WVO327687 D393223:G393223 IZ393223:JC393223 SV393223:SY393223 ACR393223:ACU393223 AMN393223:AMQ393223 AWJ393223:AWM393223 BGF393223:BGI393223 BQB393223:BQE393223 BZX393223:CAA393223 CJT393223:CJW393223 CTP393223:CTS393223 DDL393223:DDO393223 DNH393223:DNK393223 DXD393223:DXG393223 EGZ393223:EHC393223 EQV393223:EQY393223 FAR393223:FAU393223 FKN393223:FKQ393223 FUJ393223:FUM393223 GEF393223:GEI393223 GOB393223:GOE393223 GXX393223:GYA393223 HHT393223:HHW393223 HRP393223:HRS393223 IBL393223:IBO393223 ILH393223:ILK393223 IVD393223:IVG393223 JEZ393223:JFC393223 JOV393223:JOY393223 JYR393223:JYU393223 KIN393223:KIQ393223 KSJ393223:KSM393223 LCF393223:LCI393223 LMB393223:LME393223 LVX393223:LWA393223 MFT393223:MFW393223 MPP393223:MPS393223 MZL393223:MZO393223 NJH393223:NJK393223 NTD393223:NTG393223 OCZ393223:ODC393223 OMV393223:OMY393223 OWR393223:OWU393223 PGN393223:PGQ393223 PQJ393223:PQM393223 QAF393223:QAI393223 QKB393223:QKE393223 QTX393223:QUA393223 RDT393223:RDW393223 RNP393223:RNS393223 RXL393223:RXO393223 SHH393223:SHK393223 SRD393223:SRG393223 TAZ393223:TBC393223 TKV393223:TKY393223 TUR393223:TUU393223 UEN393223:UEQ393223 UOJ393223:UOM393223 UYF393223:UYI393223 VIB393223:VIE393223 VRX393223:VSA393223 WBT393223:WBW393223 WLP393223:WLS393223 WVL393223:WVO393223 D458759:G458759 IZ458759:JC458759 SV458759:SY458759 ACR458759:ACU458759 AMN458759:AMQ458759 AWJ458759:AWM458759 BGF458759:BGI458759 BQB458759:BQE458759 BZX458759:CAA458759 CJT458759:CJW458759 CTP458759:CTS458759 DDL458759:DDO458759 DNH458759:DNK458759 DXD458759:DXG458759 EGZ458759:EHC458759 EQV458759:EQY458759 FAR458759:FAU458759 FKN458759:FKQ458759 FUJ458759:FUM458759 GEF458759:GEI458759 GOB458759:GOE458759 GXX458759:GYA458759 HHT458759:HHW458759 HRP458759:HRS458759 IBL458759:IBO458759 ILH458759:ILK458759 IVD458759:IVG458759 JEZ458759:JFC458759 JOV458759:JOY458759 JYR458759:JYU458759 KIN458759:KIQ458759 KSJ458759:KSM458759 LCF458759:LCI458759 LMB458759:LME458759 LVX458759:LWA458759 MFT458759:MFW458759 MPP458759:MPS458759 MZL458759:MZO458759 NJH458759:NJK458759 NTD458759:NTG458759 OCZ458759:ODC458759 OMV458759:OMY458759 OWR458759:OWU458759 PGN458759:PGQ458759 PQJ458759:PQM458759 QAF458759:QAI458759 QKB458759:QKE458759 QTX458759:QUA458759 RDT458759:RDW458759 RNP458759:RNS458759 RXL458759:RXO458759 SHH458759:SHK458759 SRD458759:SRG458759 TAZ458759:TBC458759 TKV458759:TKY458759 TUR458759:TUU458759 UEN458759:UEQ458759 UOJ458759:UOM458759 UYF458759:UYI458759 VIB458759:VIE458759 VRX458759:VSA458759 WBT458759:WBW458759 WLP458759:WLS458759 WVL458759:WVO458759 D524295:G524295 IZ524295:JC524295 SV524295:SY524295 ACR524295:ACU524295 AMN524295:AMQ524295 AWJ524295:AWM524295 BGF524295:BGI524295 BQB524295:BQE524295 BZX524295:CAA524295 CJT524295:CJW524295 CTP524295:CTS524295 DDL524295:DDO524295 DNH524295:DNK524295 DXD524295:DXG524295 EGZ524295:EHC524295 EQV524295:EQY524295 FAR524295:FAU524295 FKN524295:FKQ524295 FUJ524295:FUM524295 GEF524295:GEI524295 GOB524295:GOE524295 GXX524295:GYA524295 HHT524295:HHW524295 HRP524295:HRS524295 IBL524295:IBO524295 ILH524295:ILK524295 IVD524295:IVG524295 JEZ524295:JFC524295 JOV524295:JOY524295 JYR524295:JYU524295 KIN524295:KIQ524295 KSJ524295:KSM524295 LCF524295:LCI524295 LMB524295:LME524295 LVX524295:LWA524295 MFT524295:MFW524295 MPP524295:MPS524295 MZL524295:MZO524295 NJH524295:NJK524295 NTD524295:NTG524295 OCZ524295:ODC524295 OMV524295:OMY524295 OWR524295:OWU524295 PGN524295:PGQ524295 PQJ524295:PQM524295 QAF524295:QAI524295 QKB524295:QKE524295 QTX524295:QUA524295 RDT524295:RDW524295 RNP524295:RNS524295 RXL524295:RXO524295 SHH524295:SHK524295 SRD524295:SRG524295 TAZ524295:TBC524295 TKV524295:TKY524295 TUR524295:TUU524295 UEN524295:UEQ524295 UOJ524295:UOM524295 UYF524295:UYI524295 VIB524295:VIE524295 VRX524295:VSA524295 WBT524295:WBW524295 WLP524295:WLS524295 WVL524295:WVO524295 D589831:G589831 IZ589831:JC589831 SV589831:SY589831 ACR589831:ACU589831 AMN589831:AMQ589831 AWJ589831:AWM589831 BGF589831:BGI589831 BQB589831:BQE589831 BZX589831:CAA589831 CJT589831:CJW589831 CTP589831:CTS589831 DDL589831:DDO589831 DNH589831:DNK589831 DXD589831:DXG589831 EGZ589831:EHC589831 EQV589831:EQY589831 FAR589831:FAU589831 FKN589831:FKQ589831 FUJ589831:FUM589831 GEF589831:GEI589831 GOB589831:GOE589831 GXX589831:GYA589831 HHT589831:HHW589831 HRP589831:HRS589831 IBL589831:IBO589831 ILH589831:ILK589831 IVD589831:IVG589831 JEZ589831:JFC589831 JOV589831:JOY589831 JYR589831:JYU589831 KIN589831:KIQ589831 KSJ589831:KSM589831 LCF589831:LCI589831 LMB589831:LME589831 LVX589831:LWA589831 MFT589831:MFW589831 MPP589831:MPS589831 MZL589831:MZO589831 NJH589831:NJK589831 NTD589831:NTG589831 OCZ589831:ODC589831 OMV589831:OMY589831 OWR589831:OWU589831 PGN589831:PGQ589831 PQJ589831:PQM589831 QAF589831:QAI589831 QKB589831:QKE589831 QTX589831:QUA589831 RDT589831:RDW589831 RNP589831:RNS589831 RXL589831:RXO589831 SHH589831:SHK589831 SRD589831:SRG589831 TAZ589831:TBC589831 TKV589831:TKY589831 TUR589831:TUU589831 UEN589831:UEQ589831 UOJ589831:UOM589831 UYF589831:UYI589831 VIB589831:VIE589831 VRX589831:VSA589831 WBT589831:WBW589831 WLP589831:WLS589831 WVL589831:WVO589831 D655367:G655367 IZ655367:JC655367 SV655367:SY655367 ACR655367:ACU655367 AMN655367:AMQ655367 AWJ655367:AWM655367 BGF655367:BGI655367 BQB655367:BQE655367 BZX655367:CAA655367 CJT655367:CJW655367 CTP655367:CTS655367 DDL655367:DDO655367 DNH655367:DNK655367 DXD655367:DXG655367 EGZ655367:EHC655367 EQV655367:EQY655367 FAR655367:FAU655367 FKN655367:FKQ655367 FUJ655367:FUM655367 GEF655367:GEI655367 GOB655367:GOE655367 GXX655367:GYA655367 HHT655367:HHW655367 HRP655367:HRS655367 IBL655367:IBO655367 ILH655367:ILK655367 IVD655367:IVG655367 JEZ655367:JFC655367 JOV655367:JOY655367 JYR655367:JYU655367 KIN655367:KIQ655367 KSJ655367:KSM655367 LCF655367:LCI655367 LMB655367:LME655367 LVX655367:LWA655367 MFT655367:MFW655367 MPP655367:MPS655367 MZL655367:MZO655367 NJH655367:NJK655367 NTD655367:NTG655367 OCZ655367:ODC655367 OMV655367:OMY655367 OWR655367:OWU655367 PGN655367:PGQ655367 PQJ655367:PQM655367 QAF655367:QAI655367 QKB655367:QKE655367 QTX655367:QUA655367 RDT655367:RDW655367 RNP655367:RNS655367 RXL655367:RXO655367 SHH655367:SHK655367 SRD655367:SRG655367 TAZ655367:TBC655367 TKV655367:TKY655367 TUR655367:TUU655367 UEN655367:UEQ655367 UOJ655367:UOM655367 UYF655367:UYI655367 VIB655367:VIE655367 VRX655367:VSA655367 WBT655367:WBW655367 WLP655367:WLS655367 WVL655367:WVO655367 D720903:G720903 IZ720903:JC720903 SV720903:SY720903 ACR720903:ACU720903 AMN720903:AMQ720903 AWJ720903:AWM720903 BGF720903:BGI720903 BQB720903:BQE720903 BZX720903:CAA720903 CJT720903:CJW720903 CTP720903:CTS720903 DDL720903:DDO720903 DNH720903:DNK720903 DXD720903:DXG720903 EGZ720903:EHC720903 EQV720903:EQY720903 FAR720903:FAU720903 FKN720903:FKQ720903 FUJ720903:FUM720903 GEF720903:GEI720903 GOB720903:GOE720903 GXX720903:GYA720903 HHT720903:HHW720903 HRP720903:HRS720903 IBL720903:IBO720903 ILH720903:ILK720903 IVD720903:IVG720903 JEZ720903:JFC720903 JOV720903:JOY720903 JYR720903:JYU720903 KIN720903:KIQ720903 KSJ720903:KSM720903 LCF720903:LCI720903 LMB720903:LME720903 LVX720903:LWA720903 MFT720903:MFW720903 MPP720903:MPS720903 MZL720903:MZO720903 NJH720903:NJK720903 NTD720903:NTG720903 OCZ720903:ODC720903 OMV720903:OMY720903 OWR720903:OWU720903 PGN720903:PGQ720903 PQJ720903:PQM720903 QAF720903:QAI720903 QKB720903:QKE720903 QTX720903:QUA720903 RDT720903:RDW720903 RNP720903:RNS720903 RXL720903:RXO720903 SHH720903:SHK720903 SRD720903:SRG720903 TAZ720903:TBC720903 TKV720903:TKY720903 TUR720903:TUU720903 UEN720903:UEQ720903 UOJ720903:UOM720903 UYF720903:UYI720903 VIB720903:VIE720903 VRX720903:VSA720903 WBT720903:WBW720903 WLP720903:WLS720903 WVL720903:WVO720903 D786439:G786439 IZ786439:JC786439 SV786439:SY786439 ACR786439:ACU786439 AMN786439:AMQ786439 AWJ786439:AWM786439 BGF786439:BGI786439 BQB786439:BQE786439 BZX786439:CAA786439 CJT786439:CJW786439 CTP786439:CTS786439 DDL786439:DDO786439 DNH786439:DNK786439 DXD786439:DXG786439 EGZ786439:EHC786439 EQV786439:EQY786439 FAR786439:FAU786439 FKN786439:FKQ786439 FUJ786439:FUM786439 GEF786439:GEI786439 GOB786439:GOE786439 GXX786439:GYA786439 HHT786439:HHW786439 HRP786439:HRS786439 IBL786439:IBO786439 ILH786439:ILK786439 IVD786439:IVG786439 JEZ786439:JFC786439 JOV786439:JOY786439 JYR786439:JYU786439 KIN786439:KIQ786439 KSJ786439:KSM786439 LCF786439:LCI786439 LMB786439:LME786439 LVX786439:LWA786439 MFT786439:MFW786439 MPP786439:MPS786439 MZL786439:MZO786439 NJH786439:NJK786439 NTD786439:NTG786439 OCZ786439:ODC786439 OMV786439:OMY786439 OWR786439:OWU786439 PGN786439:PGQ786439 PQJ786439:PQM786439 QAF786439:QAI786439 QKB786439:QKE786439 QTX786439:QUA786439 RDT786439:RDW786439 RNP786439:RNS786439 RXL786439:RXO786439 SHH786439:SHK786439 SRD786439:SRG786439 TAZ786439:TBC786439 TKV786439:TKY786439 TUR786439:TUU786439 UEN786439:UEQ786439 UOJ786439:UOM786439 UYF786439:UYI786439 VIB786439:VIE786439 VRX786439:VSA786439 WBT786439:WBW786439 WLP786439:WLS786439 WVL786439:WVO786439 D851975:G851975 IZ851975:JC851975 SV851975:SY851975 ACR851975:ACU851975 AMN851975:AMQ851975 AWJ851975:AWM851975 BGF851975:BGI851975 BQB851975:BQE851975 BZX851975:CAA851975 CJT851975:CJW851975 CTP851975:CTS851975 DDL851975:DDO851975 DNH851975:DNK851975 DXD851975:DXG851975 EGZ851975:EHC851975 EQV851975:EQY851975 FAR851975:FAU851975 FKN851975:FKQ851975 FUJ851975:FUM851975 GEF851975:GEI851975 GOB851975:GOE851975 GXX851975:GYA851975 HHT851975:HHW851975 HRP851975:HRS851975 IBL851975:IBO851975 ILH851975:ILK851975 IVD851975:IVG851975 JEZ851975:JFC851975 JOV851975:JOY851975 JYR851975:JYU851975 KIN851975:KIQ851975 KSJ851975:KSM851975 LCF851975:LCI851975 LMB851975:LME851975 LVX851975:LWA851975 MFT851975:MFW851975 MPP851975:MPS851975 MZL851975:MZO851975 NJH851975:NJK851975 NTD851975:NTG851975 OCZ851975:ODC851975 OMV851975:OMY851975 OWR851975:OWU851975 PGN851975:PGQ851975 PQJ851975:PQM851975 QAF851975:QAI851975 QKB851975:QKE851975 QTX851975:QUA851975 RDT851975:RDW851975 RNP851975:RNS851975 RXL851975:RXO851975 SHH851975:SHK851975 SRD851975:SRG851975 TAZ851975:TBC851975 TKV851975:TKY851975 TUR851975:TUU851975 UEN851975:UEQ851975 UOJ851975:UOM851975 UYF851975:UYI851975 VIB851975:VIE851975 VRX851975:VSA851975 WBT851975:WBW851975 WLP851975:WLS851975 WVL851975:WVO851975 D917511:G917511 IZ917511:JC917511 SV917511:SY917511 ACR917511:ACU917511 AMN917511:AMQ917511 AWJ917511:AWM917511 BGF917511:BGI917511 BQB917511:BQE917511 BZX917511:CAA917511 CJT917511:CJW917511 CTP917511:CTS917511 DDL917511:DDO917511 DNH917511:DNK917511 DXD917511:DXG917511 EGZ917511:EHC917511 EQV917511:EQY917511 FAR917511:FAU917511 FKN917511:FKQ917511 FUJ917511:FUM917511 GEF917511:GEI917511 GOB917511:GOE917511 GXX917511:GYA917511 HHT917511:HHW917511 HRP917511:HRS917511 IBL917511:IBO917511 ILH917511:ILK917511 IVD917511:IVG917511 JEZ917511:JFC917511 JOV917511:JOY917511 JYR917511:JYU917511 KIN917511:KIQ917511 KSJ917511:KSM917511 LCF917511:LCI917511 LMB917511:LME917511 LVX917511:LWA917511 MFT917511:MFW917511 MPP917511:MPS917511 MZL917511:MZO917511 NJH917511:NJK917511 NTD917511:NTG917511 OCZ917511:ODC917511 OMV917511:OMY917511 OWR917511:OWU917511 PGN917511:PGQ917511 PQJ917511:PQM917511 QAF917511:QAI917511 QKB917511:QKE917511 QTX917511:QUA917511 RDT917511:RDW917511 RNP917511:RNS917511 RXL917511:RXO917511 SHH917511:SHK917511 SRD917511:SRG917511 TAZ917511:TBC917511 TKV917511:TKY917511 TUR917511:TUU917511 UEN917511:UEQ917511 UOJ917511:UOM917511 UYF917511:UYI917511 VIB917511:VIE917511 VRX917511:VSA917511 WBT917511:WBW917511 WLP917511:WLS917511 WVL917511:WVO917511 D983047:G983047 IZ983047:JC983047 SV983047:SY983047 ACR983047:ACU983047 AMN983047:AMQ983047 AWJ983047:AWM983047 BGF983047:BGI983047 BQB983047:BQE983047 BZX983047:CAA983047 CJT983047:CJW983047 CTP983047:CTS983047 DDL983047:DDO983047 DNH983047:DNK983047 DXD983047:DXG983047 EGZ983047:EHC983047 EQV983047:EQY983047 FAR983047:FAU983047 FKN983047:FKQ983047 FUJ983047:FUM983047 GEF983047:GEI983047 GOB983047:GOE983047 GXX983047:GYA983047 HHT983047:HHW983047 HRP983047:HRS983047 IBL983047:IBO983047 ILH983047:ILK983047 IVD983047:IVG983047 JEZ983047:JFC983047 JOV983047:JOY983047 JYR983047:JYU983047 KIN983047:KIQ983047 KSJ983047:KSM983047 LCF983047:LCI983047 LMB983047:LME983047 LVX983047:LWA983047 MFT983047:MFW983047 MPP983047:MPS983047 MZL983047:MZO983047 NJH983047:NJK983047 NTD983047:NTG983047 OCZ983047:ODC983047 OMV983047:OMY983047 OWR983047:OWU983047 PGN983047:PGQ983047 PQJ983047:PQM983047 QAF983047:QAI983047 QKB983047:QKE983047 QTX983047:QUA983047 RDT983047:RDW983047 RNP983047:RNS983047 RXL983047:RXO983047 SHH983047:SHK983047 SRD983047:SRG983047 TAZ983047:TBC983047 TKV983047:TKY983047 TUR983047:TUU983047 UEN983047:UEQ983047 UOJ983047:UOM983047 UYF983047:UYI983047 VIB983047:VIE983047 VRX983047:VSA983047 WBT983047:WBW983047 WLP983047:WLS983047 WVL983047:WVO983047" xr:uid="{00000000-0002-0000-0300-000002000000}">
      <formula1>$BV$257:$BV$262</formula1>
    </dataValidation>
    <dataValidation type="list" allowBlank="1" showInputMessage="1" showErrorMessage="1" sqref="G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xr:uid="{00000000-0002-0000-0300-000003000000}">
      <formula1>"SIM, NÃO"</formula1>
    </dataValidation>
    <dataValidation type="decimal" allowBlank="1" showInputMessage="1" showErrorMessage="1" sqref="G43:G44 JC43:JC44 SY43:SY44 ACU43:ACU44 AMQ43:AMQ44 AWM43:AWM44 BGI43:BGI44 BQE43:BQE44 CAA43:CAA44 CJW43:CJW44 CTS43:CTS44 DDO43:DDO44 DNK43:DNK44 DXG43:DXG44 EHC43:EHC44 EQY43:EQY44 FAU43:FAU44 FKQ43:FKQ44 FUM43:FUM44 GEI43:GEI44 GOE43:GOE44 GYA43:GYA44 HHW43:HHW44 HRS43:HRS44 IBO43:IBO44 ILK43:ILK44 IVG43:IVG44 JFC43:JFC44 JOY43:JOY44 JYU43:JYU44 KIQ43:KIQ44 KSM43:KSM44 LCI43:LCI44 LME43:LME44 LWA43:LWA44 MFW43:MFW44 MPS43:MPS44 MZO43:MZO44 NJK43:NJK44 NTG43:NTG44 ODC43:ODC44 OMY43:OMY44 OWU43:OWU44 PGQ43:PGQ44 PQM43:PQM44 QAI43:QAI44 QKE43:QKE44 QUA43:QUA44 RDW43:RDW44 RNS43:RNS44 RXO43:RXO44 SHK43:SHK44 SRG43:SRG44 TBC43:TBC44 TKY43:TKY44 TUU43:TUU44 UEQ43:UEQ44 UOM43:UOM44 UYI43:UYI44 VIE43:VIE44 VSA43:VSA44 WBW43:WBW44 WLS43:WLS44 WVO43:WVO44 G65579:G65580 JC65579:JC65580 SY65579:SY65580 ACU65579:ACU65580 AMQ65579:AMQ65580 AWM65579:AWM65580 BGI65579:BGI65580 BQE65579:BQE65580 CAA65579:CAA65580 CJW65579:CJW65580 CTS65579:CTS65580 DDO65579:DDO65580 DNK65579:DNK65580 DXG65579:DXG65580 EHC65579:EHC65580 EQY65579:EQY65580 FAU65579:FAU65580 FKQ65579:FKQ65580 FUM65579:FUM65580 GEI65579:GEI65580 GOE65579:GOE65580 GYA65579:GYA65580 HHW65579:HHW65580 HRS65579:HRS65580 IBO65579:IBO65580 ILK65579:ILK65580 IVG65579:IVG65580 JFC65579:JFC65580 JOY65579:JOY65580 JYU65579:JYU65580 KIQ65579:KIQ65580 KSM65579:KSM65580 LCI65579:LCI65580 LME65579:LME65580 LWA65579:LWA65580 MFW65579:MFW65580 MPS65579:MPS65580 MZO65579:MZO65580 NJK65579:NJK65580 NTG65579:NTG65580 ODC65579:ODC65580 OMY65579:OMY65580 OWU65579:OWU65580 PGQ65579:PGQ65580 PQM65579:PQM65580 QAI65579:QAI65580 QKE65579:QKE65580 QUA65579:QUA65580 RDW65579:RDW65580 RNS65579:RNS65580 RXO65579:RXO65580 SHK65579:SHK65580 SRG65579:SRG65580 TBC65579:TBC65580 TKY65579:TKY65580 TUU65579:TUU65580 UEQ65579:UEQ65580 UOM65579:UOM65580 UYI65579:UYI65580 VIE65579:VIE65580 VSA65579:VSA65580 WBW65579:WBW65580 WLS65579:WLS65580 WVO65579:WVO65580 G131115:G131116 JC131115:JC131116 SY131115:SY131116 ACU131115:ACU131116 AMQ131115:AMQ131116 AWM131115:AWM131116 BGI131115:BGI131116 BQE131115:BQE131116 CAA131115:CAA131116 CJW131115:CJW131116 CTS131115:CTS131116 DDO131115:DDO131116 DNK131115:DNK131116 DXG131115:DXG131116 EHC131115:EHC131116 EQY131115:EQY131116 FAU131115:FAU131116 FKQ131115:FKQ131116 FUM131115:FUM131116 GEI131115:GEI131116 GOE131115:GOE131116 GYA131115:GYA131116 HHW131115:HHW131116 HRS131115:HRS131116 IBO131115:IBO131116 ILK131115:ILK131116 IVG131115:IVG131116 JFC131115:JFC131116 JOY131115:JOY131116 JYU131115:JYU131116 KIQ131115:KIQ131116 KSM131115:KSM131116 LCI131115:LCI131116 LME131115:LME131116 LWA131115:LWA131116 MFW131115:MFW131116 MPS131115:MPS131116 MZO131115:MZO131116 NJK131115:NJK131116 NTG131115:NTG131116 ODC131115:ODC131116 OMY131115:OMY131116 OWU131115:OWU131116 PGQ131115:PGQ131116 PQM131115:PQM131116 QAI131115:QAI131116 QKE131115:QKE131116 QUA131115:QUA131116 RDW131115:RDW131116 RNS131115:RNS131116 RXO131115:RXO131116 SHK131115:SHK131116 SRG131115:SRG131116 TBC131115:TBC131116 TKY131115:TKY131116 TUU131115:TUU131116 UEQ131115:UEQ131116 UOM131115:UOM131116 UYI131115:UYI131116 VIE131115:VIE131116 VSA131115:VSA131116 WBW131115:WBW131116 WLS131115:WLS131116 WVO131115:WVO131116 G196651:G196652 JC196651:JC196652 SY196651:SY196652 ACU196651:ACU196652 AMQ196651:AMQ196652 AWM196651:AWM196652 BGI196651:BGI196652 BQE196651:BQE196652 CAA196651:CAA196652 CJW196651:CJW196652 CTS196651:CTS196652 DDO196651:DDO196652 DNK196651:DNK196652 DXG196651:DXG196652 EHC196651:EHC196652 EQY196651:EQY196652 FAU196651:FAU196652 FKQ196651:FKQ196652 FUM196651:FUM196652 GEI196651:GEI196652 GOE196651:GOE196652 GYA196651:GYA196652 HHW196651:HHW196652 HRS196651:HRS196652 IBO196651:IBO196652 ILK196651:ILK196652 IVG196651:IVG196652 JFC196651:JFC196652 JOY196651:JOY196652 JYU196651:JYU196652 KIQ196651:KIQ196652 KSM196651:KSM196652 LCI196651:LCI196652 LME196651:LME196652 LWA196651:LWA196652 MFW196651:MFW196652 MPS196651:MPS196652 MZO196651:MZO196652 NJK196651:NJK196652 NTG196651:NTG196652 ODC196651:ODC196652 OMY196651:OMY196652 OWU196651:OWU196652 PGQ196651:PGQ196652 PQM196651:PQM196652 QAI196651:QAI196652 QKE196651:QKE196652 QUA196651:QUA196652 RDW196651:RDW196652 RNS196651:RNS196652 RXO196651:RXO196652 SHK196651:SHK196652 SRG196651:SRG196652 TBC196651:TBC196652 TKY196651:TKY196652 TUU196651:TUU196652 UEQ196651:UEQ196652 UOM196651:UOM196652 UYI196651:UYI196652 VIE196651:VIE196652 VSA196651:VSA196652 WBW196651:WBW196652 WLS196651:WLS196652 WVO196651:WVO196652 G262187:G262188 JC262187:JC262188 SY262187:SY262188 ACU262187:ACU262188 AMQ262187:AMQ262188 AWM262187:AWM262188 BGI262187:BGI262188 BQE262187:BQE262188 CAA262187:CAA262188 CJW262187:CJW262188 CTS262187:CTS262188 DDO262187:DDO262188 DNK262187:DNK262188 DXG262187:DXG262188 EHC262187:EHC262188 EQY262187:EQY262188 FAU262187:FAU262188 FKQ262187:FKQ262188 FUM262187:FUM262188 GEI262187:GEI262188 GOE262187:GOE262188 GYA262187:GYA262188 HHW262187:HHW262188 HRS262187:HRS262188 IBO262187:IBO262188 ILK262187:ILK262188 IVG262187:IVG262188 JFC262187:JFC262188 JOY262187:JOY262188 JYU262187:JYU262188 KIQ262187:KIQ262188 KSM262187:KSM262188 LCI262187:LCI262188 LME262187:LME262188 LWA262187:LWA262188 MFW262187:MFW262188 MPS262187:MPS262188 MZO262187:MZO262188 NJK262187:NJK262188 NTG262187:NTG262188 ODC262187:ODC262188 OMY262187:OMY262188 OWU262187:OWU262188 PGQ262187:PGQ262188 PQM262187:PQM262188 QAI262187:QAI262188 QKE262187:QKE262188 QUA262187:QUA262188 RDW262187:RDW262188 RNS262187:RNS262188 RXO262187:RXO262188 SHK262187:SHK262188 SRG262187:SRG262188 TBC262187:TBC262188 TKY262187:TKY262188 TUU262187:TUU262188 UEQ262187:UEQ262188 UOM262187:UOM262188 UYI262187:UYI262188 VIE262187:VIE262188 VSA262187:VSA262188 WBW262187:WBW262188 WLS262187:WLS262188 WVO262187:WVO262188 G327723:G327724 JC327723:JC327724 SY327723:SY327724 ACU327723:ACU327724 AMQ327723:AMQ327724 AWM327723:AWM327724 BGI327723:BGI327724 BQE327723:BQE327724 CAA327723:CAA327724 CJW327723:CJW327724 CTS327723:CTS327724 DDO327723:DDO327724 DNK327723:DNK327724 DXG327723:DXG327724 EHC327723:EHC327724 EQY327723:EQY327724 FAU327723:FAU327724 FKQ327723:FKQ327724 FUM327723:FUM327724 GEI327723:GEI327724 GOE327723:GOE327724 GYA327723:GYA327724 HHW327723:HHW327724 HRS327723:HRS327724 IBO327723:IBO327724 ILK327723:ILK327724 IVG327723:IVG327724 JFC327723:JFC327724 JOY327723:JOY327724 JYU327723:JYU327724 KIQ327723:KIQ327724 KSM327723:KSM327724 LCI327723:LCI327724 LME327723:LME327724 LWA327723:LWA327724 MFW327723:MFW327724 MPS327723:MPS327724 MZO327723:MZO327724 NJK327723:NJK327724 NTG327723:NTG327724 ODC327723:ODC327724 OMY327723:OMY327724 OWU327723:OWU327724 PGQ327723:PGQ327724 PQM327723:PQM327724 QAI327723:QAI327724 QKE327723:QKE327724 QUA327723:QUA327724 RDW327723:RDW327724 RNS327723:RNS327724 RXO327723:RXO327724 SHK327723:SHK327724 SRG327723:SRG327724 TBC327723:TBC327724 TKY327723:TKY327724 TUU327723:TUU327724 UEQ327723:UEQ327724 UOM327723:UOM327724 UYI327723:UYI327724 VIE327723:VIE327724 VSA327723:VSA327724 WBW327723:WBW327724 WLS327723:WLS327724 WVO327723:WVO327724 G393259:G393260 JC393259:JC393260 SY393259:SY393260 ACU393259:ACU393260 AMQ393259:AMQ393260 AWM393259:AWM393260 BGI393259:BGI393260 BQE393259:BQE393260 CAA393259:CAA393260 CJW393259:CJW393260 CTS393259:CTS393260 DDO393259:DDO393260 DNK393259:DNK393260 DXG393259:DXG393260 EHC393259:EHC393260 EQY393259:EQY393260 FAU393259:FAU393260 FKQ393259:FKQ393260 FUM393259:FUM393260 GEI393259:GEI393260 GOE393259:GOE393260 GYA393259:GYA393260 HHW393259:HHW393260 HRS393259:HRS393260 IBO393259:IBO393260 ILK393259:ILK393260 IVG393259:IVG393260 JFC393259:JFC393260 JOY393259:JOY393260 JYU393259:JYU393260 KIQ393259:KIQ393260 KSM393259:KSM393260 LCI393259:LCI393260 LME393259:LME393260 LWA393259:LWA393260 MFW393259:MFW393260 MPS393259:MPS393260 MZO393259:MZO393260 NJK393259:NJK393260 NTG393259:NTG393260 ODC393259:ODC393260 OMY393259:OMY393260 OWU393259:OWU393260 PGQ393259:PGQ393260 PQM393259:PQM393260 QAI393259:QAI393260 QKE393259:QKE393260 QUA393259:QUA393260 RDW393259:RDW393260 RNS393259:RNS393260 RXO393259:RXO393260 SHK393259:SHK393260 SRG393259:SRG393260 TBC393259:TBC393260 TKY393259:TKY393260 TUU393259:TUU393260 UEQ393259:UEQ393260 UOM393259:UOM393260 UYI393259:UYI393260 VIE393259:VIE393260 VSA393259:VSA393260 WBW393259:WBW393260 WLS393259:WLS393260 WVO393259:WVO393260 G458795:G458796 JC458795:JC458796 SY458795:SY458796 ACU458795:ACU458796 AMQ458795:AMQ458796 AWM458795:AWM458796 BGI458795:BGI458796 BQE458795:BQE458796 CAA458795:CAA458796 CJW458795:CJW458796 CTS458795:CTS458796 DDO458795:DDO458796 DNK458795:DNK458796 DXG458795:DXG458796 EHC458795:EHC458796 EQY458795:EQY458796 FAU458795:FAU458796 FKQ458795:FKQ458796 FUM458795:FUM458796 GEI458795:GEI458796 GOE458795:GOE458796 GYA458795:GYA458796 HHW458795:HHW458796 HRS458795:HRS458796 IBO458795:IBO458796 ILK458795:ILK458796 IVG458795:IVG458796 JFC458795:JFC458796 JOY458795:JOY458796 JYU458795:JYU458796 KIQ458795:KIQ458796 KSM458795:KSM458796 LCI458795:LCI458796 LME458795:LME458796 LWA458795:LWA458796 MFW458795:MFW458796 MPS458795:MPS458796 MZO458795:MZO458796 NJK458795:NJK458796 NTG458795:NTG458796 ODC458795:ODC458796 OMY458795:OMY458796 OWU458795:OWU458796 PGQ458795:PGQ458796 PQM458795:PQM458796 QAI458795:QAI458796 QKE458795:QKE458796 QUA458795:QUA458796 RDW458795:RDW458796 RNS458795:RNS458796 RXO458795:RXO458796 SHK458795:SHK458796 SRG458795:SRG458796 TBC458795:TBC458796 TKY458795:TKY458796 TUU458795:TUU458796 UEQ458795:UEQ458796 UOM458795:UOM458796 UYI458795:UYI458796 VIE458795:VIE458796 VSA458795:VSA458796 WBW458795:WBW458796 WLS458795:WLS458796 WVO458795:WVO458796 G524331:G524332 JC524331:JC524332 SY524331:SY524332 ACU524331:ACU524332 AMQ524331:AMQ524332 AWM524331:AWM524332 BGI524331:BGI524332 BQE524331:BQE524332 CAA524331:CAA524332 CJW524331:CJW524332 CTS524331:CTS524332 DDO524331:DDO524332 DNK524331:DNK524332 DXG524331:DXG524332 EHC524331:EHC524332 EQY524331:EQY524332 FAU524331:FAU524332 FKQ524331:FKQ524332 FUM524331:FUM524332 GEI524331:GEI524332 GOE524331:GOE524332 GYA524331:GYA524332 HHW524331:HHW524332 HRS524331:HRS524332 IBO524331:IBO524332 ILK524331:ILK524332 IVG524331:IVG524332 JFC524331:JFC524332 JOY524331:JOY524332 JYU524331:JYU524332 KIQ524331:KIQ524332 KSM524331:KSM524332 LCI524331:LCI524332 LME524331:LME524332 LWA524331:LWA524332 MFW524331:MFW524332 MPS524331:MPS524332 MZO524331:MZO524332 NJK524331:NJK524332 NTG524331:NTG524332 ODC524331:ODC524332 OMY524331:OMY524332 OWU524331:OWU524332 PGQ524331:PGQ524332 PQM524331:PQM524332 QAI524331:QAI524332 QKE524331:QKE524332 QUA524331:QUA524332 RDW524331:RDW524332 RNS524331:RNS524332 RXO524331:RXO524332 SHK524331:SHK524332 SRG524331:SRG524332 TBC524331:TBC524332 TKY524331:TKY524332 TUU524331:TUU524332 UEQ524331:UEQ524332 UOM524331:UOM524332 UYI524331:UYI524332 VIE524331:VIE524332 VSA524331:VSA524332 WBW524331:WBW524332 WLS524331:WLS524332 WVO524331:WVO524332 G589867:G589868 JC589867:JC589868 SY589867:SY589868 ACU589867:ACU589868 AMQ589867:AMQ589868 AWM589867:AWM589868 BGI589867:BGI589868 BQE589867:BQE589868 CAA589867:CAA589868 CJW589867:CJW589868 CTS589867:CTS589868 DDO589867:DDO589868 DNK589867:DNK589868 DXG589867:DXG589868 EHC589867:EHC589868 EQY589867:EQY589868 FAU589867:FAU589868 FKQ589867:FKQ589868 FUM589867:FUM589868 GEI589867:GEI589868 GOE589867:GOE589868 GYA589867:GYA589868 HHW589867:HHW589868 HRS589867:HRS589868 IBO589867:IBO589868 ILK589867:ILK589868 IVG589867:IVG589868 JFC589867:JFC589868 JOY589867:JOY589868 JYU589867:JYU589868 KIQ589867:KIQ589868 KSM589867:KSM589868 LCI589867:LCI589868 LME589867:LME589868 LWA589867:LWA589868 MFW589867:MFW589868 MPS589867:MPS589868 MZO589867:MZO589868 NJK589867:NJK589868 NTG589867:NTG589868 ODC589867:ODC589868 OMY589867:OMY589868 OWU589867:OWU589868 PGQ589867:PGQ589868 PQM589867:PQM589868 QAI589867:QAI589868 QKE589867:QKE589868 QUA589867:QUA589868 RDW589867:RDW589868 RNS589867:RNS589868 RXO589867:RXO589868 SHK589867:SHK589868 SRG589867:SRG589868 TBC589867:TBC589868 TKY589867:TKY589868 TUU589867:TUU589868 UEQ589867:UEQ589868 UOM589867:UOM589868 UYI589867:UYI589868 VIE589867:VIE589868 VSA589867:VSA589868 WBW589867:WBW589868 WLS589867:WLS589868 WVO589867:WVO589868 G655403:G655404 JC655403:JC655404 SY655403:SY655404 ACU655403:ACU655404 AMQ655403:AMQ655404 AWM655403:AWM655404 BGI655403:BGI655404 BQE655403:BQE655404 CAA655403:CAA655404 CJW655403:CJW655404 CTS655403:CTS655404 DDO655403:DDO655404 DNK655403:DNK655404 DXG655403:DXG655404 EHC655403:EHC655404 EQY655403:EQY655404 FAU655403:FAU655404 FKQ655403:FKQ655404 FUM655403:FUM655404 GEI655403:GEI655404 GOE655403:GOE655404 GYA655403:GYA655404 HHW655403:HHW655404 HRS655403:HRS655404 IBO655403:IBO655404 ILK655403:ILK655404 IVG655403:IVG655404 JFC655403:JFC655404 JOY655403:JOY655404 JYU655403:JYU655404 KIQ655403:KIQ655404 KSM655403:KSM655404 LCI655403:LCI655404 LME655403:LME655404 LWA655403:LWA655404 MFW655403:MFW655404 MPS655403:MPS655404 MZO655403:MZO655404 NJK655403:NJK655404 NTG655403:NTG655404 ODC655403:ODC655404 OMY655403:OMY655404 OWU655403:OWU655404 PGQ655403:PGQ655404 PQM655403:PQM655404 QAI655403:QAI655404 QKE655403:QKE655404 QUA655403:QUA655404 RDW655403:RDW655404 RNS655403:RNS655404 RXO655403:RXO655404 SHK655403:SHK655404 SRG655403:SRG655404 TBC655403:TBC655404 TKY655403:TKY655404 TUU655403:TUU655404 UEQ655403:UEQ655404 UOM655403:UOM655404 UYI655403:UYI655404 VIE655403:VIE655404 VSA655403:VSA655404 WBW655403:WBW655404 WLS655403:WLS655404 WVO655403:WVO655404 G720939:G720940 JC720939:JC720940 SY720939:SY720940 ACU720939:ACU720940 AMQ720939:AMQ720940 AWM720939:AWM720940 BGI720939:BGI720940 BQE720939:BQE720940 CAA720939:CAA720940 CJW720939:CJW720940 CTS720939:CTS720940 DDO720939:DDO720940 DNK720939:DNK720940 DXG720939:DXG720940 EHC720939:EHC720940 EQY720939:EQY720940 FAU720939:FAU720940 FKQ720939:FKQ720940 FUM720939:FUM720940 GEI720939:GEI720940 GOE720939:GOE720940 GYA720939:GYA720940 HHW720939:HHW720940 HRS720939:HRS720940 IBO720939:IBO720940 ILK720939:ILK720940 IVG720939:IVG720940 JFC720939:JFC720940 JOY720939:JOY720940 JYU720939:JYU720940 KIQ720939:KIQ720940 KSM720939:KSM720940 LCI720939:LCI720940 LME720939:LME720940 LWA720939:LWA720940 MFW720939:MFW720940 MPS720939:MPS720940 MZO720939:MZO720940 NJK720939:NJK720940 NTG720939:NTG720940 ODC720939:ODC720940 OMY720939:OMY720940 OWU720939:OWU720940 PGQ720939:PGQ720940 PQM720939:PQM720940 QAI720939:QAI720940 QKE720939:QKE720940 QUA720939:QUA720940 RDW720939:RDW720940 RNS720939:RNS720940 RXO720939:RXO720940 SHK720939:SHK720940 SRG720939:SRG720940 TBC720939:TBC720940 TKY720939:TKY720940 TUU720939:TUU720940 UEQ720939:UEQ720940 UOM720939:UOM720940 UYI720939:UYI720940 VIE720939:VIE720940 VSA720939:VSA720940 WBW720939:WBW720940 WLS720939:WLS720940 WVO720939:WVO720940 G786475:G786476 JC786475:JC786476 SY786475:SY786476 ACU786475:ACU786476 AMQ786475:AMQ786476 AWM786475:AWM786476 BGI786475:BGI786476 BQE786475:BQE786476 CAA786475:CAA786476 CJW786475:CJW786476 CTS786475:CTS786476 DDO786475:DDO786476 DNK786475:DNK786476 DXG786475:DXG786476 EHC786475:EHC786476 EQY786475:EQY786476 FAU786475:FAU786476 FKQ786475:FKQ786476 FUM786475:FUM786476 GEI786475:GEI786476 GOE786475:GOE786476 GYA786475:GYA786476 HHW786475:HHW786476 HRS786475:HRS786476 IBO786475:IBO786476 ILK786475:ILK786476 IVG786475:IVG786476 JFC786475:JFC786476 JOY786475:JOY786476 JYU786475:JYU786476 KIQ786475:KIQ786476 KSM786475:KSM786476 LCI786475:LCI786476 LME786475:LME786476 LWA786475:LWA786476 MFW786475:MFW786476 MPS786475:MPS786476 MZO786475:MZO786476 NJK786475:NJK786476 NTG786475:NTG786476 ODC786475:ODC786476 OMY786475:OMY786476 OWU786475:OWU786476 PGQ786475:PGQ786476 PQM786475:PQM786476 QAI786475:QAI786476 QKE786475:QKE786476 QUA786475:QUA786476 RDW786475:RDW786476 RNS786475:RNS786476 RXO786475:RXO786476 SHK786475:SHK786476 SRG786475:SRG786476 TBC786475:TBC786476 TKY786475:TKY786476 TUU786475:TUU786476 UEQ786475:UEQ786476 UOM786475:UOM786476 UYI786475:UYI786476 VIE786475:VIE786476 VSA786475:VSA786476 WBW786475:WBW786476 WLS786475:WLS786476 WVO786475:WVO786476 G852011:G852012 JC852011:JC852012 SY852011:SY852012 ACU852011:ACU852012 AMQ852011:AMQ852012 AWM852011:AWM852012 BGI852011:BGI852012 BQE852011:BQE852012 CAA852011:CAA852012 CJW852011:CJW852012 CTS852011:CTS852012 DDO852011:DDO852012 DNK852011:DNK852012 DXG852011:DXG852012 EHC852011:EHC852012 EQY852011:EQY852012 FAU852011:FAU852012 FKQ852011:FKQ852012 FUM852011:FUM852012 GEI852011:GEI852012 GOE852011:GOE852012 GYA852011:GYA852012 HHW852011:HHW852012 HRS852011:HRS852012 IBO852011:IBO852012 ILK852011:ILK852012 IVG852011:IVG852012 JFC852011:JFC852012 JOY852011:JOY852012 JYU852011:JYU852012 KIQ852011:KIQ852012 KSM852011:KSM852012 LCI852011:LCI852012 LME852011:LME852012 LWA852011:LWA852012 MFW852011:MFW852012 MPS852011:MPS852012 MZO852011:MZO852012 NJK852011:NJK852012 NTG852011:NTG852012 ODC852011:ODC852012 OMY852011:OMY852012 OWU852011:OWU852012 PGQ852011:PGQ852012 PQM852011:PQM852012 QAI852011:QAI852012 QKE852011:QKE852012 QUA852011:QUA852012 RDW852011:RDW852012 RNS852011:RNS852012 RXO852011:RXO852012 SHK852011:SHK852012 SRG852011:SRG852012 TBC852011:TBC852012 TKY852011:TKY852012 TUU852011:TUU852012 UEQ852011:UEQ852012 UOM852011:UOM852012 UYI852011:UYI852012 VIE852011:VIE852012 VSA852011:VSA852012 WBW852011:WBW852012 WLS852011:WLS852012 WVO852011:WVO852012 G917547:G917548 JC917547:JC917548 SY917547:SY917548 ACU917547:ACU917548 AMQ917547:AMQ917548 AWM917547:AWM917548 BGI917547:BGI917548 BQE917547:BQE917548 CAA917547:CAA917548 CJW917547:CJW917548 CTS917547:CTS917548 DDO917547:DDO917548 DNK917547:DNK917548 DXG917547:DXG917548 EHC917547:EHC917548 EQY917547:EQY917548 FAU917547:FAU917548 FKQ917547:FKQ917548 FUM917547:FUM917548 GEI917547:GEI917548 GOE917547:GOE917548 GYA917547:GYA917548 HHW917547:HHW917548 HRS917547:HRS917548 IBO917547:IBO917548 ILK917547:ILK917548 IVG917547:IVG917548 JFC917547:JFC917548 JOY917547:JOY917548 JYU917547:JYU917548 KIQ917547:KIQ917548 KSM917547:KSM917548 LCI917547:LCI917548 LME917547:LME917548 LWA917547:LWA917548 MFW917547:MFW917548 MPS917547:MPS917548 MZO917547:MZO917548 NJK917547:NJK917548 NTG917547:NTG917548 ODC917547:ODC917548 OMY917547:OMY917548 OWU917547:OWU917548 PGQ917547:PGQ917548 PQM917547:PQM917548 QAI917547:QAI917548 QKE917547:QKE917548 QUA917547:QUA917548 RDW917547:RDW917548 RNS917547:RNS917548 RXO917547:RXO917548 SHK917547:SHK917548 SRG917547:SRG917548 TBC917547:TBC917548 TKY917547:TKY917548 TUU917547:TUU917548 UEQ917547:UEQ917548 UOM917547:UOM917548 UYI917547:UYI917548 VIE917547:VIE917548 VSA917547:VSA917548 WBW917547:WBW917548 WLS917547:WLS917548 WVO917547:WVO917548 G983083:G983084 JC983083:JC983084 SY983083:SY983084 ACU983083:ACU983084 AMQ983083:AMQ983084 AWM983083:AWM983084 BGI983083:BGI983084 BQE983083:BQE983084 CAA983083:CAA983084 CJW983083:CJW983084 CTS983083:CTS983084 DDO983083:DDO983084 DNK983083:DNK983084 DXG983083:DXG983084 EHC983083:EHC983084 EQY983083:EQY983084 FAU983083:FAU983084 FKQ983083:FKQ983084 FUM983083:FUM983084 GEI983083:GEI983084 GOE983083:GOE983084 GYA983083:GYA983084 HHW983083:HHW983084 HRS983083:HRS983084 IBO983083:IBO983084 ILK983083:ILK983084 IVG983083:IVG983084 JFC983083:JFC983084 JOY983083:JOY983084 JYU983083:JYU983084 KIQ983083:KIQ983084 KSM983083:KSM983084 LCI983083:LCI983084 LME983083:LME983084 LWA983083:LWA983084 MFW983083:MFW983084 MPS983083:MPS983084 MZO983083:MZO983084 NJK983083:NJK983084 NTG983083:NTG983084 ODC983083:ODC983084 OMY983083:OMY983084 OWU983083:OWU983084 PGQ983083:PGQ983084 PQM983083:PQM983084 QAI983083:QAI983084 QKE983083:QKE983084 QUA983083:QUA983084 RDW983083:RDW983084 RNS983083:RNS983084 RXO983083:RXO983084 SHK983083:SHK983084 SRG983083:SRG983084 TBC983083:TBC983084 TKY983083:TKY983084 TUU983083:TUU983084 UEQ983083:UEQ983084 UOM983083:UOM983084 UYI983083:UYI983084 VIE983083:VIE983084 VSA983083:VSA983084 WBW983083:WBW983084 WLS983083:WLS983084 WVO983083:WVO983084" xr:uid="{00000000-0002-0000-0300-000004000000}">
      <formula1>D43</formula1>
      <formula2>F43</formula2>
    </dataValidation>
  </dataValidations>
  <printOptions horizontalCentered="1"/>
  <pageMargins left="0.59055118110236227" right="0.39370078740157483" top="0.39370078740157483" bottom="0.39370078740157483" header="0.51181102362204722" footer="0.51181102362204722"/>
  <pageSetup paperSize="9" scale="89" fitToHeight="11" orientation="portrait" r:id="rId1"/>
  <headerFooter>
    <oddHeader>&amp;L &amp;C &amp;R</oddHeader>
    <oddFooter>&amp;L &amp;C &amp;R</oddFooter>
  </headerFooter>
  <drawing r:id="rId2"/>
  <legacyDrawing r:id="rId3"/>
  <oleObjects>
    <mc:AlternateContent xmlns:mc="http://schemas.openxmlformats.org/markup-compatibility/2006">
      <mc:Choice Requires="x14">
        <oleObject progId="Equation.3" shapeId="115713" r:id="rId4">
          <objectPr defaultSize="0" autoPict="0" r:id="rId5">
            <anchor moveWithCells="1" sizeWithCells="1">
              <from>
                <xdr:col>80</xdr:col>
                <xdr:colOff>0</xdr:colOff>
                <xdr:row>239</xdr:row>
                <xdr:rowOff>0</xdr:rowOff>
              </from>
              <to>
                <xdr:col>80</xdr:col>
                <xdr:colOff>0</xdr:colOff>
                <xdr:row>240</xdr:row>
                <xdr:rowOff>76200</xdr:rowOff>
              </to>
            </anchor>
          </objectPr>
        </oleObject>
      </mc:Choice>
      <mc:Fallback>
        <oleObject progId="Equation.3" shapeId="115713" r:id="rId4"/>
      </mc:Fallback>
    </mc:AlternateContent>
    <mc:AlternateContent xmlns:mc="http://schemas.openxmlformats.org/markup-compatibility/2006">
      <mc:Choice Requires="x14">
        <oleObject progId="Equation.3" shapeId="115714" r:id="rId6">
          <objectPr defaultSize="0" autoPict="0" r:id="rId5">
            <anchor moveWithCells="1" sizeWithCells="1">
              <from>
                <xdr:col>1</xdr:col>
                <xdr:colOff>57150</xdr:colOff>
                <xdr:row>44</xdr:row>
                <xdr:rowOff>133350</xdr:rowOff>
              </from>
              <to>
                <xdr:col>6</xdr:col>
                <xdr:colOff>695325</xdr:colOff>
                <xdr:row>48</xdr:row>
                <xdr:rowOff>0</xdr:rowOff>
              </to>
            </anchor>
          </objectPr>
        </oleObject>
      </mc:Choice>
      <mc:Fallback>
        <oleObject progId="Equation.3" shapeId="115714" r:id="rId6"/>
      </mc:Fallback>
    </mc:AlternateContent>
  </oleObjects>
  <controls>
    <mc:AlternateContent xmlns:mc="http://schemas.openxmlformats.org/markup-compatibility/2006">
      <mc:Choice Requires="x14">
        <control shapeId="115715" r:id="rId7" name="CommandButton1">
          <controlPr defaultSize="0" autoLine="0" autoPict="0" r:id="rId8">
            <anchor moveWithCells="1">
              <from>
                <xdr:col>11</xdr:col>
                <xdr:colOff>47625</xdr:colOff>
                <xdr:row>6</xdr:row>
                <xdr:rowOff>0</xdr:rowOff>
              </from>
              <to>
                <xdr:col>13</xdr:col>
                <xdr:colOff>762000</xdr:colOff>
                <xdr:row>7</xdr:row>
                <xdr:rowOff>0</xdr:rowOff>
              </to>
            </anchor>
          </controlPr>
        </control>
      </mc:Choice>
      <mc:Fallback>
        <control shapeId="115715" r:id="rId7" name="CommandButton1"/>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4">
    <tabColor rgb="FF00B050"/>
  </sheetPr>
  <dimension ref="B1:I22"/>
  <sheetViews>
    <sheetView showGridLines="0" view="pageBreakPreview" zoomScaleSheetLayoutView="100" workbookViewId="0">
      <pane ySplit="8" topLeftCell="A9" activePane="bottomLeft" state="frozen"/>
      <selection activeCell="K117" sqref="K117"/>
      <selection pane="bottomLeft" activeCell="H20" sqref="H20"/>
    </sheetView>
  </sheetViews>
  <sheetFormatPr defaultRowHeight="12.75" x14ac:dyDescent="0.25"/>
  <cols>
    <col min="1" max="1" width="1.7109375" style="4" customWidth="1"/>
    <col min="2" max="2" width="11.7109375" style="4" customWidth="1"/>
    <col min="3" max="3" width="10.7109375" style="4" customWidth="1"/>
    <col min="4" max="4" width="58.7109375" style="4" customWidth="1"/>
    <col min="5" max="5" width="15.7109375" style="4" customWidth="1"/>
    <col min="6" max="6" width="10.7109375" style="4" customWidth="1"/>
    <col min="7" max="16384" width="9.140625" style="4"/>
  </cols>
  <sheetData>
    <row r="1" spans="2:9" ht="5.0999999999999996" customHeight="1" x14ac:dyDescent="0.25"/>
    <row r="2" spans="2:9" ht="14.1" customHeight="1" x14ac:dyDescent="0.25">
      <c r="B2" s="102" t="str">
        <f>DADOS!$B$3</f>
        <v>CLIENTE:</v>
      </c>
      <c r="C2" s="80" t="str">
        <f>DADOS!$C$3</f>
        <v>PREFEITURA MUNICIPAL DE APARECIDA DO TABOADO / MS</v>
      </c>
      <c r="D2" s="36"/>
      <c r="E2" s="36"/>
      <c r="F2" s="40"/>
    </row>
    <row r="3" spans="2:9" ht="14.1" customHeight="1" x14ac:dyDescent="0.25">
      <c r="B3" s="103" t="str">
        <f>DADOS!$B$4</f>
        <v>ENDEREÇO:</v>
      </c>
      <c r="C3" s="81" t="str">
        <f>DADOS!$C$4</f>
        <v>RUA ELIAS TOLENTINO DE ALMEIDA, Nº 4.098 - JD. SÃO BENTO</v>
      </c>
      <c r="F3" s="41"/>
    </row>
    <row r="4" spans="2:9" ht="14.1" customHeight="1" x14ac:dyDescent="0.2">
      <c r="B4" s="82"/>
      <c r="C4" s="81"/>
      <c r="F4" s="41"/>
    </row>
    <row r="5" spans="2:9" ht="14.1" customHeight="1" x14ac:dyDescent="0.25">
      <c r="B5" s="103" t="str">
        <f>DADOS!$B$7</f>
        <v>OBRA:</v>
      </c>
      <c r="C5" s="81" t="str">
        <f>DADOS!$C$7</f>
        <v>PAVIMENTAÇÃO ASFÁLTICA E DRENAGEM DE ÁGUAS PLUVIAIS</v>
      </c>
      <c r="F5" s="41"/>
    </row>
    <row r="6" spans="2:9" ht="14.1" customHeight="1" x14ac:dyDescent="0.25">
      <c r="B6" s="83" t="str">
        <f>DADOS!$B$8</f>
        <v>LOCAL:</v>
      </c>
      <c r="C6" s="84" t="str">
        <f>DADOS!$C$8</f>
        <v>DIVERSAS RUAS NO BAIRRO PRIMAVERA, APARECIDA DO TABOADO / MS</v>
      </c>
      <c r="D6" s="42"/>
      <c r="E6" s="42"/>
      <c r="F6" s="43"/>
    </row>
    <row r="7" spans="2:9" ht="5.0999999999999996" customHeight="1" x14ac:dyDescent="0.25"/>
    <row r="8" spans="2:9" ht="20.100000000000001" customHeight="1" x14ac:dyDescent="0.25">
      <c r="B8" s="332" t="s">
        <v>0</v>
      </c>
      <c r="C8" s="332"/>
      <c r="D8" s="13" t="s">
        <v>1</v>
      </c>
      <c r="E8" s="13" t="s">
        <v>111</v>
      </c>
      <c r="F8" s="13" t="s">
        <v>7</v>
      </c>
    </row>
    <row r="9" spans="2:9" ht="5.0999999999999996" customHeight="1" x14ac:dyDescent="0.25"/>
    <row r="10" spans="2:9" ht="15" customHeight="1" x14ac:dyDescent="0.25">
      <c r="B10" s="330" t="s">
        <v>113</v>
      </c>
      <c r="C10" s="27">
        <f>Orçamento!C182</f>
        <v>1</v>
      </c>
      <c r="D10" s="77" t="str">
        <f>Orçamento!D182</f>
        <v>SERVIÇOS PRELIMINARES</v>
      </c>
      <c r="E10" s="27">
        <f>Orçamento!K182</f>
        <v>11783.48</v>
      </c>
      <c r="F10" s="79">
        <f>Orçamento!L182</f>
        <v>6.1068438000755274E-3</v>
      </c>
      <c r="H10" s="4">
        <v>0</v>
      </c>
      <c r="I10" s="124"/>
    </row>
    <row r="11" spans="2:9" ht="15" customHeight="1" x14ac:dyDescent="0.25">
      <c r="B11" s="330"/>
      <c r="C11" s="27">
        <f>Orçamento!C183</f>
        <v>2</v>
      </c>
      <c r="D11" s="77" t="str">
        <f>Orçamento!D183</f>
        <v>DRENAGEM DE ÁGUAS PLUVIAIS - TERRAPLENAGEM</v>
      </c>
      <c r="E11" s="27">
        <f>Orçamento!K183</f>
        <v>165403.1</v>
      </c>
      <c r="F11" s="79">
        <f>Orçamento!L183</f>
        <v>8.5720932674241593E-2</v>
      </c>
      <c r="H11" s="4">
        <v>0</v>
      </c>
      <c r="I11" s="124"/>
    </row>
    <row r="12" spans="2:9" ht="15" customHeight="1" x14ac:dyDescent="0.25">
      <c r="B12" s="330"/>
      <c r="C12" s="27">
        <f>Orçamento!C184</f>
        <v>3</v>
      </c>
      <c r="D12" s="77" t="str">
        <f>Orçamento!D184</f>
        <v>DRENAGEM DE ÁGUAS PLUVIAIS - DISPOSITIVOS ESTRUTURAIS 01</v>
      </c>
      <c r="E12" s="27">
        <f>Orçamento!K184</f>
        <v>443857.12</v>
      </c>
      <c r="F12" s="79">
        <f>Orçamento!L184</f>
        <v>0.23003103509246672</v>
      </c>
      <c r="H12" s="4">
        <v>-0.01</v>
      </c>
      <c r="I12" s="124"/>
    </row>
    <row r="13" spans="2:9" ht="15" customHeight="1" x14ac:dyDescent="0.25">
      <c r="B13" s="330"/>
      <c r="C13" s="27">
        <f>Orçamento!C185</f>
        <v>4</v>
      </c>
      <c r="D13" s="77" t="str">
        <f>Orçamento!D185</f>
        <v>DRENAGEM DE ÁGUAS PLUVIAIS - DISPOSITIVOS ESTRUTURAIS 02</v>
      </c>
      <c r="E13" s="27">
        <f>Orçamento!K185</f>
        <v>90090.289999999979</v>
      </c>
      <c r="F13" s="79">
        <f>Orçamento!L185</f>
        <v>4.6689715511335043E-2</v>
      </c>
      <c r="H13" s="4">
        <v>-0.02</v>
      </c>
      <c r="I13" s="124"/>
    </row>
    <row r="14" spans="2:9" ht="15" customHeight="1" x14ac:dyDescent="0.25">
      <c r="B14" s="330"/>
      <c r="C14" s="27">
        <f>Orçamento!C186</f>
        <v>5</v>
      </c>
      <c r="D14" s="77" t="str">
        <f>Orçamento!D186</f>
        <v>IMPLANTAÇÃO ASFÁLTICA - TERRAPLENAGEM - VIÁRIO</v>
      </c>
      <c r="E14" s="27">
        <f>Orçamento!K186</f>
        <v>107195.45</v>
      </c>
      <c r="F14" s="79">
        <f>Orçamento!L186</f>
        <v>5.5554544941630681E-2</v>
      </c>
      <c r="H14" s="4">
        <v>0.01</v>
      </c>
      <c r="I14" s="124"/>
    </row>
    <row r="15" spans="2:9" ht="15" customHeight="1" x14ac:dyDescent="0.25">
      <c r="B15" s="330"/>
      <c r="C15" s="27">
        <f>Orçamento!C187</f>
        <v>6</v>
      </c>
      <c r="D15" s="77" t="str">
        <f>Orçamento!D187</f>
        <v>IMPLANTAÇÃO ASFÁLTICA - PAVIMENTAÇÃO</v>
      </c>
      <c r="E15" s="27">
        <f>Orçamento!K187</f>
        <v>760731.1</v>
      </c>
      <c r="F15" s="79">
        <f>Orçamento!L187</f>
        <v>0.39425246205362391</v>
      </c>
      <c r="H15" s="4">
        <v>0</v>
      </c>
      <c r="I15" s="124"/>
    </row>
    <row r="16" spans="2:9" ht="15" customHeight="1" x14ac:dyDescent="0.25">
      <c r="B16" s="330"/>
      <c r="C16" s="27">
        <f>Orçamento!C188</f>
        <v>7</v>
      </c>
      <c r="D16" s="77" t="str">
        <f>Orçamento!D188</f>
        <v>SERVIÇOS COMPLEMENTARES</v>
      </c>
      <c r="E16" s="27">
        <f>Orçamento!K188</f>
        <v>112155.04</v>
      </c>
      <c r="F16" s="79">
        <f>Orçamento!L188</f>
        <v>5.8124875730363422E-2</v>
      </c>
      <c r="H16" s="4">
        <v>-0.1</v>
      </c>
      <c r="I16" s="124"/>
    </row>
    <row r="17" spans="2:9" ht="15" customHeight="1" x14ac:dyDescent="0.25">
      <c r="B17" s="330"/>
      <c r="C17" s="27">
        <f>Orçamento!C189</f>
        <v>8</v>
      </c>
      <c r="D17" s="77" t="str">
        <f>Orçamento!D189</f>
        <v>PASSEIO COM ACESSIBILIDADE</v>
      </c>
      <c r="E17" s="27">
        <f>Orçamento!K189</f>
        <v>129036.31999999998</v>
      </c>
      <c r="F17" s="79">
        <f>Orçamento!L189</f>
        <v>6.6873678300176334E-2</v>
      </c>
      <c r="H17" s="4">
        <v>-0.01</v>
      </c>
      <c r="I17" s="124"/>
    </row>
    <row r="18" spans="2:9" ht="15" customHeight="1" x14ac:dyDescent="0.25">
      <c r="B18" s="330"/>
      <c r="C18" s="27">
        <f>Orçamento!C190</f>
        <v>9</v>
      </c>
      <c r="D18" s="77" t="str">
        <f>Orçamento!D190</f>
        <v>SINALIZAÇÃO VIÁRIA</v>
      </c>
      <c r="E18" s="27">
        <f>Orçamento!K190</f>
        <v>21681.3606</v>
      </c>
      <c r="F18" s="79">
        <f>Orçamento!L190</f>
        <v>1.123646686355065E-2</v>
      </c>
      <c r="H18" s="4">
        <v>0.01</v>
      </c>
      <c r="I18" s="124"/>
    </row>
    <row r="19" spans="2:9" ht="15" customHeight="1" x14ac:dyDescent="0.25">
      <c r="B19" s="330"/>
      <c r="C19" s="27">
        <f>Orçamento!C191</f>
        <v>10</v>
      </c>
      <c r="D19" s="77" t="str">
        <f>Orçamento!D191</f>
        <v>ADMINISTRAÇÃO LOCAL</v>
      </c>
      <c r="E19" s="27">
        <f>Orçamento!K191</f>
        <v>87619.94</v>
      </c>
      <c r="F19" s="79">
        <f>Orçamento!L191</f>
        <v>4.5409445032536203E-2</v>
      </c>
      <c r="H19" s="4">
        <v>-0.01</v>
      </c>
      <c r="I19" s="124"/>
    </row>
    <row r="20" spans="2:9" ht="5.0999999999999996" customHeight="1" x14ac:dyDescent="0.25"/>
    <row r="21" spans="2:9" ht="20.100000000000001" customHeight="1" x14ac:dyDescent="0.25">
      <c r="B21" s="331" t="s">
        <v>112</v>
      </c>
      <c r="C21" s="331"/>
      <c r="D21" s="331"/>
      <c r="E21" s="104">
        <f>SUM(E9:E20)</f>
        <v>1929553.2006000001</v>
      </c>
      <c r="F21" s="88">
        <f>SUM(F9:F20)</f>
        <v>1</v>
      </c>
      <c r="I21" s="124"/>
    </row>
    <row r="22" spans="2:9" ht="15" customHeight="1" x14ac:dyDescent="0.25"/>
  </sheetData>
  <mergeCells count="3">
    <mergeCell ref="B10:B19"/>
    <mergeCell ref="B21:D21"/>
    <mergeCell ref="B8:C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tabColor rgb="FF00B050"/>
  </sheetPr>
  <dimension ref="B1:AN67"/>
  <sheetViews>
    <sheetView showGridLines="0" view="pageBreakPreview" zoomScaleSheetLayoutView="100" workbookViewId="0">
      <pane ySplit="6" topLeftCell="A32" activePane="bottomLeft" state="frozen"/>
      <selection activeCell="K117" sqref="K117"/>
      <selection pane="bottomLeft" activeCell="D46" sqref="D46"/>
    </sheetView>
  </sheetViews>
  <sheetFormatPr defaultRowHeight="12.75" x14ac:dyDescent="0.25"/>
  <cols>
    <col min="1" max="1" width="1.7109375" style="4" customWidth="1"/>
    <col min="2" max="2" width="11.7109375" style="4" customWidth="1"/>
    <col min="3" max="3" width="10.7109375" style="4" customWidth="1"/>
    <col min="4" max="4" width="48.7109375" style="4" customWidth="1"/>
    <col min="5" max="5" width="10.7109375" style="4" customWidth="1"/>
    <col min="6" max="8" width="12.7109375" style="4" customWidth="1"/>
    <col min="9" max="9" width="10.7109375" style="4" customWidth="1"/>
    <col min="10" max="11" width="12.7109375" style="4" customWidth="1"/>
    <col min="12" max="16" width="10.7109375" style="4" customWidth="1"/>
    <col min="17" max="16384" width="9.140625" style="4"/>
  </cols>
  <sheetData>
    <row r="1" spans="2:40" ht="5.0999999999999996" customHeight="1" x14ac:dyDescent="0.25"/>
    <row r="2" spans="2:40" ht="14.1" customHeight="1" x14ac:dyDescent="0.25">
      <c r="B2" s="102" t="str">
        <f>DADOS!$B$3</f>
        <v>CLIENTE:</v>
      </c>
      <c r="C2" s="80" t="str">
        <f>DADOS!$C$3</f>
        <v>PREFEITURA MUNICIPAL DE APARECIDA DO TABOADO / MS</v>
      </c>
      <c r="D2" s="36"/>
      <c r="E2" s="36"/>
      <c r="F2" s="36"/>
      <c r="G2" s="36"/>
      <c r="H2" s="36"/>
      <c r="I2" s="36"/>
      <c r="J2" s="36"/>
      <c r="K2" s="36"/>
      <c r="L2" s="36"/>
      <c r="M2" s="36"/>
      <c r="N2" s="36"/>
      <c r="O2" s="40"/>
    </row>
    <row r="3" spans="2:40" ht="14.1" customHeight="1" x14ac:dyDescent="0.25">
      <c r="B3" s="103" t="str">
        <f>DADOS!$B$4</f>
        <v>ENDEREÇO:</v>
      </c>
      <c r="C3" s="81" t="str">
        <f>DADOS!$C$4</f>
        <v>RUA ELIAS TOLENTINO DE ALMEIDA, Nº 4.098 - JD. SÃO BENTO</v>
      </c>
      <c r="O3" s="41"/>
    </row>
    <row r="4" spans="2:40" ht="14.1" customHeight="1" x14ac:dyDescent="0.2">
      <c r="B4" s="82"/>
      <c r="C4" s="81"/>
      <c r="O4" s="41"/>
    </row>
    <row r="5" spans="2:40" ht="14.1" customHeight="1" x14ac:dyDescent="0.25">
      <c r="B5" s="103" t="str">
        <f>DADOS!$B$7</f>
        <v>OBRA:</v>
      </c>
      <c r="C5" s="81" t="str">
        <f>DADOS!$C$7</f>
        <v>PAVIMENTAÇÃO ASFÁLTICA E DRENAGEM DE ÁGUAS PLUVIAIS</v>
      </c>
      <c r="O5" s="41"/>
    </row>
    <row r="6" spans="2:40" ht="14.1" customHeight="1" x14ac:dyDescent="0.25">
      <c r="B6" s="83" t="str">
        <f>DADOS!$B$8</f>
        <v>LOCAL:</v>
      </c>
      <c r="C6" s="84" t="str">
        <f>DADOS!$C$8</f>
        <v>DIVERSAS RUAS NO BAIRRO PRIMAVERA, APARECIDA DO TABOADO / MS</v>
      </c>
      <c r="D6" s="42"/>
      <c r="E6" s="42"/>
      <c r="F6" s="42"/>
      <c r="G6" s="42"/>
      <c r="H6" s="42"/>
      <c r="I6" s="42"/>
      <c r="J6" s="42"/>
      <c r="K6" s="42"/>
      <c r="L6" s="42"/>
      <c r="O6" s="41"/>
    </row>
    <row r="7" spans="2:40" ht="5.0999999999999996" customHeight="1" x14ac:dyDescent="0.25">
      <c r="B7" s="267"/>
      <c r="O7" s="41"/>
    </row>
    <row r="8" spans="2:40" ht="15" customHeight="1" x14ac:dyDescent="0.25">
      <c r="B8" s="339" t="s">
        <v>0</v>
      </c>
      <c r="C8" s="339"/>
      <c r="D8" s="339" t="s">
        <v>1</v>
      </c>
      <c r="E8" s="339" t="s">
        <v>393</v>
      </c>
      <c r="F8" s="341" t="s">
        <v>192</v>
      </c>
      <c r="G8" s="283" t="s">
        <v>193</v>
      </c>
      <c r="H8" s="283"/>
      <c r="I8" s="283"/>
      <c r="J8" s="283" t="s">
        <v>196</v>
      </c>
      <c r="K8" s="283"/>
      <c r="L8" s="283"/>
      <c r="M8" s="283" t="s">
        <v>197</v>
      </c>
      <c r="N8" s="283"/>
      <c r="O8" s="283"/>
      <c r="P8" s="33"/>
      <c r="Q8" s="33"/>
      <c r="R8" s="33"/>
      <c r="S8" s="33"/>
      <c r="T8" s="33"/>
      <c r="U8" s="33"/>
      <c r="V8" s="33"/>
      <c r="W8" s="33"/>
      <c r="X8" s="33"/>
      <c r="Y8" s="33"/>
      <c r="Z8" s="33"/>
      <c r="AA8" s="33"/>
      <c r="AB8" s="33"/>
      <c r="AC8" s="33"/>
      <c r="AD8" s="33"/>
      <c r="AE8" s="33"/>
      <c r="AF8" s="33"/>
      <c r="AG8" s="33"/>
      <c r="AH8" s="33"/>
      <c r="AI8" s="33"/>
      <c r="AJ8" s="12"/>
      <c r="AK8" s="32"/>
      <c r="AL8" s="32"/>
      <c r="AM8" s="12"/>
      <c r="AN8" s="34"/>
    </row>
    <row r="9" spans="2:40" ht="15" customHeight="1" x14ac:dyDescent="0.25">
      <c r="B9" s="340"/>
      <c r="C9" s="340"/>
      <c r="D9" s="340"/>
      <c r="E9" s="340"/>
      <c r="F9" s="341"/>
      <c r="G9" s="17" t="s">
        <v>396</v>
      </c>
      <c r="H9" s="17" t="s">
        <v>397</v>
      </c>
      <c r="I9" s="17" t="s">
        <v>7</v>
      </c>
      <c r="J9" s="17" t="s">
        <v>396</v>
      </c>
      <c r="K9" s="17" t="s">
        <v>397</v>
      </c>
      <c r="L9" s="17" t="s">
        <v>7</v>
      </c>
      <c r="M9" s="17" t="s">
        <v>396</v>
      </c>
      <c r="N9" s="17" t="s">
        <v>397</v>
      </c>
      <c r="O9" s="17" t="s">
        <v>7</v>
      </c>
      <c r="P9" s="33"/>
      <c r="Q9" s="33"/>
      <c r="R9" s="33"/>
      <c r="S9" s="33"/>
      <c r="T9" s="33"/>
      <c r="U9" s="33"/>
      <c r="V9" s="33"/>
      <c r="W9" s="33"/>
      <c r="X9" s="33"/>
      <c r="Y9" s="33"/>
      <c r="Z9" s="33"/>
      <c r="AA9" s="33"/>
      <c r="AB9" s="33"/>
      <c r="AC9" s="33"/>
      <c r="AD9" s="33"/>
      <c r="AE9" s="33"/>
      <c r="AF9" s="33"/>
      <c r="AG9" s="33"/>
      <c r="AH9" s="33"/>
      <c r="AI9" s="33"/>
      <c r="AJ9" s="12"/>
      <c r="AK9" s="32"/>
      <c r="AL9" s="32"/>
      <c r="AM9" s="12"/>
      <c r="AN9" s="34"/>
    </row>
    <row r="10" spans="2:40" ht="5.0999999999999996" customHeight="1" x14ac:dyDescent="0.25">
      <c r="B10" s="267"/>
      <c r="O10" s="41"/>
    </row>
    <row r="11" spans="2:40" ht="14.1" customHeight="1" x14ac:dyDescent="0.25">
      <c r="B11" s="333" t="s">
        <v>191</v>
      </c>
      <c r="C11" s="268">
        <f>'Tabela Resumo'!C10</f>
        <v>1</v>
      </c>
      <c r="D11" s="269" t="str">
        <f>'Tabela Resumo'!D10</f>
        <v>SERVIÇOS PRELIMINARES</v>
      </c>
      <c r="E11" s="270">
        <f>'Tabela Resumo'!F10</f>
        <v>6.1068438000755274E-3</v>
      </c>
      <c r="F11" s="268">
        <f>'Tabela Resumo'!E10</f>
        <v>11783.48</v>
      </c>
      <c r="G11" s="268">
        <f>I11*$E$67*$F$11</f>
        <v>11666.780898327721</v>
      </c>
      <c r="H11" s="268">
        <f>I11*$F$67*$F$11</f>
        <v>116.69910167227896</v>
      </c>
      <c r="I11" s="265">
        <v>1</v>
      </c>
      <c r="J11" s="268">
        <f>L11*$E$67*$F$11</f>
        <v>0</v>
      </c>
      <c r="K11" s="268">
        <f>L11*$F$67*$F$11</f>
        <v>0</v>
      </c>
      <c r="L11" s="265"/>
      <c r="M11" s="268">
        <f>O11*$E$67*$F$11</f>
        <v>0</v>
      </c>
      <c r="N11" s="268">
        <f>O11*$F$67*$F$11</f>
        <v>0</v>
      </c>
      <c r="O11" s="265"/>
      <c r="P11" s="264"/>
      <c r="R11" s="131">
        <f t="shared" ref="R11:R15" si="0">I11+L11+I28+L28+I45+L45+O11+O28+O45</f>
        <v>1</v>
      </c>
    </row>
    <row r="12" spans="2:40" ht="14.1" customHeight="1" x14ac:dyDescent="0.25">
      <c r="B12" s="334"/>
      <c r="C12" s="64">
        <f>'Tabela Resumo'!C11</f>
        <v>2</v>
      </c>
      <c r="D12" s="65" t="str">
        <f>'Tabela Resumo'!D11</f>
        <v>DRENAGEM DE ÁGUAS PLUVIAIS - TERRAPLENAGEM</v>
      </c>
      <c r="E12" s="68">
        <f>'Tabela Resumo'!F11</f>
        <v>8.5720932674241593E-2</v>
      </c>
      <c r="F12" s="64">
        <f>'Tabela Resumo'!E11</f>
        <v>165403.1</v>
      </c>
      <c r="G12" s="64">
        <f>I12*$E$67*$F$12</f>
        <v>163765.01064237303</v>
      </c>
      <c r="H12" s="64">
        <f>I12*$F$67*$F$12</f>
        <v>1638.0893576269596</v>
      </c>
      <c r="I12" s="271">
        <v>1</v>
      </c>
      <c r="J12" s="64">
        <f>L12*$E$67*$F$12</f>
        <v>0</v>
      </c>
      <c r="K12" s="64">
        <f>L12*$F$67*$F$12</f>
        <v>0</v>
      </c>
      <c r="L12" s="271"/>
      <c r="M12" s="64">
        <f>O12*$E$67*$F$12</f>
        <v>0</v>
      </c>
      <c r="N12" s="64">
        <f>O12*$F$67*$F$12</f>
        <v>0</v>
      </c>
      <c r="O12" s="272"/>
      <c r="P12" s="264"/>
      <c r="R12" s="131">
        <f t="shared" si="0"/>
        <v>1</v>
      </c>
    </row>
    <row r="13" spans="2:40" ht="14.1" customHeight="1" x14ac:dyDescent="0.25">
      <c r="B13" s="334"/>
      <c r="C13" s="64">
        <f>'Tabela Resumo'!C12</f>
        <v>3</v>
      </c>
      <c r="D13" s="65" t="str">
        <f>'Tabela Resumo'!D12</f>
        <v>DRENAGEM DE ÁGUAS PLUVIAIS - DISPOSITIVOS ESTRUTURAIS 01</v>
      </c>
      <c r="E13" s="68">
        <f>'Tabela Resumo'!F12</f>
        <v>0.23003103509246672</v>
      </c>
      <c r="F13" s="64">
        <f>'Tabela Resumo'!E12</f>
        <v>443857.12</v>
      </c>
      <c r="G13" s="64">
        <f>I13*$E$67*$F$13</f>
        <v>0</v>
      </c>
      <c r="H13" s="64">
        <f>I13*$F$67*$F$13</f>
        <v>0</v>
      </c>
      <c r="I13" s="271"/>
      <c r="J13" s="64">
        <f>L13*$E$67*$F$13</f>
        <v>198636.52025374892</v>
      </c>
      <c r="K13" s="64">
        <f>L13*$F$67*$F$13</f>
        <v>1986.8979862510826</v>
      </c>
      <c r="L13" s="271">
        <v>0.45200000000000001</v>
      </c>
      <c r="M13" s="64">
        <f>O13*$E$67*$F$13</f>
        <v>240824.80774127084</v>
      </c>
      <c r="N13" s="64">
        <f>O13*$F$67*$F$13</f>
        <v>2408.8940187291887</v>
      </c>
      <c r="O13" s="272">
        <v>0.54800000000000004</v>
      </c>
      <c r="P13" s="264"/>
      <c r="R13" s="131">
        <f t="shared" si="0"/>
        <v>1</v>
      </c>
    </row>
    <row r="14" spans="2:40" ht="14.1" customHeight="1" x14ac:dyDescent="0.25">
      <c r="B14" s="334"/>
      <c r="C14" s="64">
        <f>'Tabela Resumo'!C13</f>
        <v>4</v>
      </c>
      <c r="D14" s="65" t="str">
        <f>'Tabela Resumo'!D13</f>
        <v>DRENAGEM DE ÁGUAS PLUVIAIS - DISPOSITIVOS ESTRUTURAIS 02</v>
      </c>
      <c r="E14" s="68">
        <f>'Tabela Resumo'!F13</f>
        <v>4.6689715511335043E-2</v>
      </c>
      <c r="F14" s="64">
        <f>'Tabela Resumo'!E13</f>
        <v>90090.289999999979</v>
      </c>
      <c r="G14" s="64">
        <f>I14*$E$67*$F$14</f>
        <v>0</v>
      </c>
      <c r="H14" s="64">
        <f>I14*$F$67*$F$14</f>
        <v>0</v>
      </c>
      <c r="I14" s="266"/>
      <c r="J14" s="64">
        <f>L14*$E$67*$F$14</f>
        <v>0</v>
      </c>
      <c r="K14" s="64">
        <f>L14*$F$67*$F$14</f>
        <v>0</v>
      </c>
      <c r="L14" s="266"/>
      <c r="M14" s="64">
        <f>O14*$E$67*$F$14</f>
        <v>0</v>
      </c>
      <c r="N14" s="64">
        <f>O14*$F$67*$F$14</f>
        <v>0</v>
      </c>
      <c r="O14" s="266"/>
      <c r="P14" s="264"/>
      <c r="R14" s="131">
        <f t="shared" si="0"/>
        <v>1</v>
      </c>
    </row>
    <row r="15" spans="2:40" ht="14.1" customHeight="1" x14ac:dyDescent="0.25">
      <c r="B15" s="334"/>
      <c r="C15" s="64">
        <f>'Tabela Resumo'!C14</f>
        <v>5</v>
      </c>
      <c r="D15" s="65" t="str">
        <f>'Tabela Resumo'!D14</f>
        <v>IMPLANTAÇÃO ASFÁLTICA - TERRAPLENAGEM - VIÁRIO</v>
      </c>
      <c r="E15" s="68">
        <f>'Tabela Resumo'!F14</f>
        <v>5.5554544941630681E-2</v>
      </c>
      <c r="F15" s="64">
        <f>'Tabela Resumo'!E14</f>
        <v>107195.45</v>
      </c>
      <c r="G15" s="64">
        <f>I15*$E$67*$F$15</f>
        <v>0</v>
      </c>
      <c r="H15" s="64">
        <f>I15*$F$67*$F$15</f>
        <v>0</v>
      </c>
      <c r="I15" s="266"/>
      <c r="J15" s="64">
        <f>L15*$E$67*$F$15</f>
        <v>0</v>
      </c>
      <c r="K15" s="64">
        <f>L15*$F$67*$F$15</f>
        <v>0</v>
      </c>
      <c r="L15" s="266"/>
      <c r="M15" s="64">
        <f>O15*$E$67*$F$15</f>
        <v>0</v>
      </c>
      <c r="N15" s="64">
        <f>O15*$F$67*$F$15</f>
        <v>0</v>
      </c>
      <c r="O15" s="266"/>
      <c r="P15" s="264"/>
      <c r="R15" s="131">
        <f t="shared" si="0"/>
        <v>1</v>
      </c>
    </row>
    <row r="16" spans="2:40" ht="14.1" customHeight="1" x14ac:dyDescent="0.25">
      <c r="B16" s="334"/>
      <c r="C16" s="64">
        <f>'Tabela Resumo'!C15</f>
        <v>6</v>
      </c>
      <c r="D16" s="65" t="str">
        <f>'Tabela Resumo'!D15</f>
        <v>IMPLANTAÇÃO ASFÁLTICA - PAVIMENTAÇÃO</v>
      </c>
      <c r="E16" s="68">
        <f>'Tabela Resumo'!F15</f>
        <v>0.39425246205362391</v>
      </c>
      <c r="F16" s="64">
        <f>'Tabela Resumo'!E15</f>
        <v>760731.1</v>
      </c>
      <c r="G16" s="64">
        <f>I16*$E$67*$F$16</f>
        <v>0</v>
      </c>
      <c r="H16" s="64">
        <f>I16*$F$67*$F$16</f>
        <v>0</v>
      </c>
      <c r="I16" s="266"/>
      <c r="J16" s="64">
        <f>L16*$E$67*$F$16</f>
        <v>0</v>
      </c>
      <c r="K16" s="64">
        <f>L16*$F$67*$F$16</f>
        <v>0</v>
      </c>
      <c r="L16" s="266"/>
      <c r="M16" s="64">
        <f>O16*$E$67*$F$16</f>
        <v>0</v>
      </c>
      <c r="N16" s="64">
        <f>O16*$F$67*$F$16</f>
        <v>0</v>
      </c>
      <c r="O16" s="266"/>
      <c r="P16" s="264"/>
      <c r="R16" s="131">
        <f>I16+L16+I33+L33+I50+L50+O16+O33+O50</f>
        <v>1</v>
      </c>
    </row>
    <row r="17" spans="2:40" ht="14.1" customHeight="1" x14ac:dyDescent="0.25">
      <c r="B17" s="334"/>
      <c r="C17" s="64">
        <f>'Tabela Resumo'!C16</f>
        <v>7</v>
      </c>
      <c r="D17" s="65" t="str">
        <f>'Tabela Resumo'!D16</f>
        <v>SERVIÇOS COMPLEMENTARES</v>
      </c>
      <c r="E17" s="68">
        <f>'Tabela Resumo'!F16</f>
        <v>5.8124875730363422E-2</v>
      </c>
      <c r="F17" s="64">
        <f>'Tabela Resumo'!E16</f>
        <v>112155.04</v>
      </c>
      <c r="G17" s="64">
        <f>I17*$E$67*$F$17</f>
        <v>0</v>
      </c>
      <c r="H17" s="64">
        <f>I17*$F$67*$F$17</f>
        <v>0</v>
      </c>
      <c r="I17" s="266"/>
      <c r="J17" s="64">
        <f>L17*$E$67*$F$17</f>
        <v>0</v>
      </c>
      <c r="K17" s="64">
        <f>L17*$F$67*$F$17</f>
        <v>0</v>
      </c>
      <c r="L17" s="266"/>
      <c r="M17" s="64">
        <f>O17*$E$67*$F$17</f>
        <v>0</v>
      </c>
      <c r="N17" s="64">
        <f>O17*$F$67*$F$17</f>
        <v>0</v>
      </c>
      <c r="O17" s="266"/>
      <c r="P17" s="264"/>
      <c r="R17" s="131">
        <f t="shared" ref="R17:R20" si="1">I17+L17+I34+L34+I51+L51+O17+O34+O51</f>
        <v>1</v>
      </c>
    </row>
    <row r="18" spans="2:40" ht="14.1" customHeight="1" x14ac:dyDescent="0.25">
      <c r="B18" s="334"/>
      <c r="C18" s="64">
        <f>'Tabela Resumo'!C17</f>
        <v>8</v>
      </c>
      <c r="D18" s="65" t="str">
        <f>'Tabela Resumo'!D17</f>
        <v>PASSEIO COM ACESSIBILIDADE</v>
      </c>
      <c r="E18" s="68">
        <f>'Tabela Resumo'!F17</f>
        <v>6.6873678300176334E-2</v>
      </c>
      <c r="F18" s="64">
        <f>'Tabela Resumo'!E17</f>
        <v>129036.31999999998</v>
      </c>
      <c r="G18" s="64">
        <f>I18*$E$67*$F$18</f>
        <v>0</v>
      </c>
      <c r="H18" s="64">
        <f>I18*$F$67*$F$18</f>
        <v>0</v>
      </c>
      <c r="I18" s="266"/>
      <c r="J18" s="64">
        <f>L18*$E$67*$F$18</f>
        <v>0</v>
      </c>
      <c r="K18" s="64">
        <f>L18*$F$67*$F$18</f>
        <v>0</v>
      </c>
      <c r="L18" s="266"/>
      <c r="M18" s="64">
        <f>O18*$E$67*$F$18</f>
        <v>0</v>
      </c>
      <c r="N18" s="64">
        <f>O18*$F$67*$F$18</f>
        <v>0</v>
      </c>
      <c r="O18" s="266"/>
      <c r="P18" s="264"/>
      <c r="R18" s="131">
        <f t="shared" si="1"/>
        <v>1</v>
      </c>
    </row>
    <row r="19" spans="2:40" ht="14.1" customHeight="1" x14ac:dyDescent="0.25">
      <c r="B19" s="334"/>
      <c r="C19" s="64">
        <f>'Tabela Resumo'!C18</f>
        <v>9</v>
      </c>
      <c r="D19" s="65" t="str">
        <f>'Tabela Resumo'!D18</f>
        <v>SINALIZAÇÃO VIÁRIA</v>
      </c>
      <c r="E19" s="68">
        <f>'Tabela Resumo'!F18</f>
        <v>1.123646686355065E-2</v>
      </c>
      <c r="F19" s="64">
        <f>'Tabela Resumo'!E18</f>
        <v>21681.3606</v>
      </c>
      <c r="G19" s="64">
        <f>I19*$E$67*$F$19</f>
        <v>0</v>
      </c>
      <c r="H19" s="64">
        <f>I19*$F$67*$F$19</f>
        <v>0</v>
      </c>
      <c r="I19" s="266"/>
      <c r="J19" s="64">
        <f>L19*$E$67*$F$19</f>
        <v>0</v>
      </c>
      <c r="K19" s="64">
        <f>L19*$F$67*$F$19</f>
        <v>0</v>
      </c>
      <c r="L19" s="266"/>
      <c r="M19" s="64">
        <f>O19*$E$67*$F$19</f>
        <v>0</v>
      </c>
      <c r="N19" s="64">
        <f>O19*$F$67*$F$19</f>
        <v>0</v>
      </c>
      <c r="O19" s="266"/>
      <c r="P19" s="264"/>
      <c r="R19" s="131">
        <f t="shared" si="1"/>
        <v>1</v>
      </c>
    </row>
    <row r="20" spans="2:40" ht="14.1" customHeight="1" x14ac:dyDescent="0.25">
      <c r="B20" s="335"/>
      <c r="C20" s="74">
        <f>'Tabela Resumo'!C19</f>
        <v>10</v>
      </c>
      <c r="D20" s="65" t="str">
        <f>'Tabela Resumo'!D19</f>
        <v>ADMINISTRAÇÃO LOCAL</v>
      </c>
      <c r="E20" s="68">
        <f>'Tabela Resumo'!F19</f>
        <v>4.5409445032536203E-2</v>
      </c>
      <c r="F20" s="64">
        <f>'Tabela Resumo'!E19</f>
        <v>87619.94</v>
      </c>
      <c r="G20" s="64">
        <f>I20*$E$67*$F$20</f>
        <v>9638.1678044213932</v>
      </c>
      <c r="H20" s="64">
        <f>I20*$F$67*$F$20</f>
        <v>96.407529578607082</v>
      </c>
      <c r="I20" s="271">
        <v>0.1111</v>
      </c>
      <c r="J20" s="64">
        <f>L20*$E$67*$F$20</f>
        <v>9638.1678044213932</v>
      </c>
      <c r="K20" s="64">
        <f>L20*$F$67*$F$20</f>
        <v>96.407529578607082</v>
      </c>
      <c r="L20" s="271">
        <v>0.1111</v>
      </c>
      <c r="M20" s="64">
        <f>O20*$E$67*$F$20</f>
        <v>9638.1678044213932</v>
      </c>
      <c r="N20" s="64">
        <f>O20*$F$67*$F$20</f>
        <v>96.407529578607082</v>
      </c>
      <c r="O20" s="272">
        <v>0.1111</v>
      </c>
      <c r="P20" s="264"/>
      <c r="R20" s="131">
        <f t="shared" si="1"/>
        <v>0.99999999999999989</v>
      </c>
    </row>
    <row r="21" spans="2:40" ht="5.0999999999999996" customHeight="1" x14ac:dyDescent="0.25">
      <c r="B21" s="267"/>
      <c r="C21" s="273"/>
      <c r="D21" s="35"/>
      <c r="E21" s="36"/>
      <c r="F21" s="36"/>
      <c r="G21" s="36"/>
      <c r="H21" s="36"/>
      <c r="I21" s="36"/>
      <c r="J21" s="36"/>
      <c r="K21" s="36"/>
      <c r="L21" s="36"/>
      <c r="M21" s="36"/>
      <c r="N21" s="36"/>
      <c r="O21" s="40"/>
    </row>
    <row r="22" spans="2:40" ht="20.100000000000001" customHeight="1" x14ac:dyDescent="0.25">
      <c r="B22" s="336" t="s">
        <v>194</v>
      </c>
      <c r="C22" s="337"/>
      <c r="D22" s="338"/>
      <c r="E22" s="106">
        <f>SUM(E10:E21)</f>
        <v>1</v>
      </c>
      <c r="F22" s="19">
        <f>SUM(F10:F21)</f>
        <v>1929553.2006000001</v>
      </c>
      <c r="G22" s="19">
        <f>SUM(G10:G21)</f>
        <v>185069.95934512216</v>
      </c>
      <c r="H22" s="19">
        <f>SUM(H10:H21)</f>
        <v>1851.1959888778456</v>
      </c>
      <c r="I22" s="106">
        <f>(G22+H22)/$F$22</f>
        <v>9.68727658174319E-2</v>
      </c>
      <c r="J22" s="19">
        <f>SUM(J10:J21)</f>
        <v>208274.68805817032</v>
      </c>
      <c r="K22" s="19">
        <f>SUM(K10:K21)</f>
        <v>2083.3055158296897</v>
      </c>
      <c r="L22" s="106">
        <f>(J22+K22)/$F$22</f>
        <v>0.1090190172049097</v>
      </c>
      <c r="M22" s="19">
        <f>SUM(M10:M21)</f>
        <v>250462.97554569223</v>
      </c>
      <c r="N22" s="19">
        <f>SUM(N10:N21)</f>
        <v>2505.3015483077957</v>
      </c>
      <c r="O22" s="106">
        <f>(M22+N22)/$F$22</f>
        <v>0.13110199657378652</v>
      </c>
      <c r="P22" s="131"/>
    </row>
    <row r="23" spans="2:40" ht="20.100000000000001" customHeight="1" x14ac:dyDescent="0.25">
      <c r="B23" s="336" t="s">
        <v>195</v>
      </c>
      <c r="C23" s="337"/>
      <c r="D23" s="338"/>
      <c r="E23" s="106"/>
      <c r="F23" s="19"/>
      <c r="G23" s="19">
        <f>G22</f>
        <v>185069.95934512216</v>
      </c>
      <c r="H23" s="19">
        <f>H22</f>
        <v>1851.1959888778456</v>
      </c>
      <c r="I23" s="106">
        <f>I22</f>
        <v>9.68727658174319E-2</v>
      </c>
      <c r="J23" s="19">
        <f t="shared" ref="J23:L23" si="2">J22+G23</f>
        <v>393344.64740329247</v>
      </c>
      <c r="K23" s="19">
        <f t="shared" si="2"/>
        <v>3934.5015047075353</v>
      </c>
      <c r="L23" s="106">
        <f t="shared" si="2"/>
        <v>0.2058917830223416</v>
      </c>
      <c r="M23" s="19">
        <f t="shared" ref="M23" si="3">M22+J23</f>
        <v>643807.62294898473</v>
      </c>
      <c r="N23" s="19">
        <f t="shared" ref="N23" si="4">N22+K23</f>
        <v>6439.803053015331</v>
      </c>
      <c r="O23" s="106">
        <f t="shared" ref="O23" si="5">O22+L23</f>
        <v>0.33699377959612808</v>
      </c>
      <c r="P23" s="131"/>
    </row>
    <row r="24" spans="2:40" ht="15" customHeight="1" x14ac:dyDescent="0.25">
      <c r="B24" s="267"/>
      <c r="O24" s="41"/>
    </row>
    <row r="25" spans="2:40" ht="15" customHeight="1" x14ac:dyDescent="0.25">
      <c r="B25" s="339" t="s">
        <v>0</v>
      </c>
      <c r="C25" s="339"/>
      <c r="D25" s="339" t="s">
        <v>1</v>
      </c>
      <c r="E25" s="339" t="s">
        <v>393</v>
      </c>
      <c r="F25" s="341" t="s">
        <v>192</v>
      </c>
      <c r="G25" s="283" t="s">
        <v>198</v>
      </c>
      <c r="H25" s="283"/>
      <c r="I25" s="283"/>
      <c r="J25" s="283" t="s">
        <v>199</v>
      </c>
      <c r="K25" s="283"/>
      <c r="L25" s="283"/>
      <c r="M25" s="283" t="s">
        <v>200</v>
      </c>
      <c r="N25" s="283"/>
      <c r="O25" s="283"/>
      <c r="P25" s="33"/>
      <c r="Q25" s="33"/>
      <c r="R25" s="33"/>
      <c r="S25" s="33"/>
      <c r="T25" s="33"/>
      <c r="U25" s="33"/>
      <c r="V25" s="33"/>
      <c r="W25" s="33"/>
      <c r="X25" s="33"/>
      <c r="Y25" s="33"/>
      <c r="Z25" s="33"/>
      <c r="AA25" s="33"/>
      <c r="AB25" s="33"/>
      <c r="AC25" s="33"/>
      <c r="AD25" s="33"/>
      <c r="AE25" s="33"/>
      <c r="AF25" s="33"/>
      <c r="AG25" s="33"/>
      <c r="AH25" s="33"/>
      <c r="AI25" s="33"/>
      <c r="AJ25" s="12"/>
      <c r="AK25" s="32"/>
      <c r="AL25" s="32"/>
      <c r="AM25" s="12"/>
      <c r="AN25" s="34"/>
    </row>
    <row r="26" spans="2:40" ht="15" customHeight="1" x14ac:dyDescent="0.25">
      <c r="B26" s="340"/>
      <c r="C26" s="340"/>
      <c r="D26" s="340"/>
      <c r="E26" s="340"/>
      <c r="F26" s="341"/>
      <c r="G26" s="17" t="s">
        <v>396</v>
      </c>
      <c r="H26" s="17" t="s">
        <v>397</v>
      </c>
      <c r="I26" s="17" t="s">
        <v>7</v>
      </c>
      <c r="J26" s="17" t="s">
        <v>396</v>
      </c>
      <c r="K26" s="17" t="s">
        <v>397</v>
      </c>
      <c r="L26" s="17" t="s">
        <v>7</v>
      </c>
      <c r="M26" s="17" t="s">
        <v>396</v>
      </c>
      <c r="N26" s="17" t="s">
        <v>397</v>
      </c>
      <c r="O26" s="17" t="s">
        <v>7</v>
      </c>
      <c r="P26" s="33"/>
      <c r="Q26" s="33"/>
      <c r="R26" s="33"/>
      <c r="S26" s="33"/>
      <c r="T26" s="33"/>
      <c r="U26" s="33"/>
      <c r="V26" s="33"/>
      <c r="W26" s="33"/>
      <c r="X26" s="33"/>
      <c r="Y26" s="33"/>
      <c r="Z26" s="33"/>
      <c r="AA26" s="33"/>
      <c r="AB26" s="33"/>
      <c r="AC26" s="33"/>
      <c r="AD26" s="33"/>
      <c r="AE26" s="33"/>
      <c r="AF26" s="33"/>
      <c r="AG26" s="33"/>
      <c r="AH26" s="33"/>
      <c r="AI26" s="33"/>
      <c r="AJ26" s="12"/>
      <c r="AK26" s="32"/>
      <c r="AL26" s="32"/>
      <c r="AM26" s="12"/>
      <c r="AN26" s="34"/>
    </row>
    <row r="27" spans="2:40" ht="5.0999999999999996" customHeight="1" x14ac:dyDescent="0.25">
      <c r="B27" s="267"/>
      <c r="O27" s="41"/>
    </row>
    <row r="28" spans="2:40" ht="14.1" customHeight="1" x14ac:dyDescent="0.25">
      <c r="B28" s="333" t="s">
        <v>191</v>
      </c>
      <c r="C28" s="268">
        <f>'Tabela Resumo'!C10</f>
        <v>1</v>
      </c>
      <c r="D28" s="269" t="str">
        <f>'Tabela Resumo'!D10</f>
        <v>SERVIÇOS PRELIMINARES</v>
      </c>
      <c r="E28" s="270">
        <f>'Tabela Resumo'!F10</f>
        <v>6.1068438000755274E-3</v>
      </c>
      <c r="F28" s="268">
        <f>'Tabela Resumo'!E10</f>
        <v>11783.48</v>
      </c>
      <c r="G28" s="268">
        <f>I28*$E$67*$F$28</f>
        <v>0</v>
      </c>
      <c r="H28" s="268">
        <f>I28*$F$67*$F$28</f>
        <v>0</v>
      </c>
      <c r="I28" s="265"/>
      <c r="J28" s="268">
        <f>L28*$E$67*$F$28</f>
        <v>0</v>
      </c>
      <c r="K28" s="268">
        <f>L28*$F$67*$F$28</f>
        <v>0</v>
      </c>
      <c r="L28" s="265"/>
      <c r="M28" s="268">
        <f>O28*$E$67*$F$28</f>
        <v>0</v>
      </c>
      <c r="N28" s="268">
        <f>O28*$F$67*$F$28</f>
        <v>0</v>
      </c>
      <c r="O28" s="265"/>
      <c r="P28" s="264"/>
      <c r="R28" s="131">
        <f>R11</f>
        <v>1</v>
      </c>
    </row>
    <row r="29" spans="2:40" ht="14.1" customHeight="1" x14ac:dyDescent="0.25">
      <c r="B29" s="334"/>
      <c r="C29" s="64">
        <f>'Tabela Resumo'!C11</f>
        <v>2</v>
      </c>
      <c r="D29" s="65" t="str">
        <f>'Tabela Resumo'!D11</f>
        <v>DRENAGEM DE ÁGUAS PLUVIAIS - TERRAPLENAGEM</v>
      </c>
      <c r="E29" s="68">
        <f>'Tabela Resumo'!F11</f>
        <v>8.5720932674241593E-2</v>
      </c>
      <c r="F29" s="64">
        <f>'Tabela Resumo'!E11</f>
        <v>165403.1</v>
      </c>
      <c r="G29" s="64">
        <f>I29*$E$67*$F$29</f>
        <v>0</v>
      </c>
      <c r="H29" s="64">
        <f>I29*$F$67*$F$29</f>
        <v>0</v>
      </c>
      <c r="I29" s="271"/>
      <c r="J29" s="64">
        <f>L29*$E$67*$F$29</f>
        <v>0</v>
      </c>
      <c r="K29" s="64">
        <f>L29*$F$67*$F$29</f>
        <v>0</v>
      </c>
      <c r="L29" s="271"/>
      <c r="M29" s="64">
        <f>O29*$E$67*$F$29</f>
        <v>0</v>
      </c>
      <c r="N29" s="64">
        <f>O29*$F$67*$F$29</f>
        <v>0</v>
      </c>
      <c r="O29" s="272"/>
      <c r="P29" s="264"/>
      <c r="R29" s="131">
        <f t="shared" ref="R29:R37" si="6">R12</f>
        <v>1</v>
      </c>
    </row>
    <row r="30" spans="2:40" ht="14.1" customHeight="1" x14ac:dyDescent="0.25">
      <c r="B30" s="334"/>
      <c r="C30" s="64">
        <f>'Tabela Resumo'!C12</f>
        <v>3</v>
      </c>
      <c r="D30" s="65" t="str">
        <f>'Tabela Resumo'!D12</f>
        <v>DRENAGEM DE ÁGUAS PLUVIAIS - DISPOSITIVOS ESTRUTURAIS 01</v>
      </c>
      <c r="E30" s="68">
        <f>'Tabela Resumo'!F12</f>
        <v>0.23003103509246672</v>
      </c>
      <c r="F30" s="64">
        <f>'Tabela Resumo'!E12</f>
        <v>443857.12</v>
      </c>
      <c r="G30" s="64">
        <f>I30*$E$67*$F$30</f>
        <v>0</v>
      </c>
      <c r="H30" s="64">
        <f>I30*$F$67*$F$30</f>
        <v>0</v>
      </c>
      <c r="I30" s="271"/>
      <c r="J30" s="64">
        <f>L30*$E$67*$F$30</f>
        <v>0</v>
      </c>
      <c r="K30" s="64">
        <f>L30*$F$67*$F$30</f>
        <v>0</v>
      </c>
      <c r="L30" s="271"/>
      <c r="M30" s="64">
        <f>O30*$E$67*$F$30</f>
        <v>0</v>
      </c>
      <c r="N30" s="64">
        <f>O30*$F$67*$F$30</f>
        <v>0</v>
      </c>
      <c r="O30" s="272"/>
      <c r="P30" s="264"/>
      <c r="R30" s="131">
        <f t="shared" si="6"/>
        <v>1</v>
      </c>
    </row>
    <row r="31" spans="2:40" ht="14.1" customHeight="1" x14ac:dyDescent="0.25">
      <c r="B31" s="334"/>
      <c r="C31" s="64">
        <f>'Tabela Resumo'!C13</f>
        <v>4</v>
      </c>
      <c r="D31" s="65" t="str">
        <f>'Tabela Resumo'!D13</f>
        <v>DRENAGEM DE ÁGUAS PLUVIAIS - DISPOSITIVOS ESTRUTURAIS 02</v>
      </c>
      <c r="E31" s="68">
        <f>'Tabela Resumo'!F13</f>
        <v>4.6689715511335043E-2</v>
      </c>
      <c r="F31" s="64">
        <f>'Tabela Resumo'!E13</f>
        <v>90090.289999999979</v>
      </c>
      <c r="G31" s="64">
        <f>I31*$E$67*$F$31</f>
        <v>0</v>
      </c>
      <c r="H31" s="64">
        <f>I31*$F$67*$F$30</f>
        <v>0</v>
      </c>
      <c r="I31" s="266"/>
      <c r="J31" s="64">
        <f>L31*$E$67*$F$31</f>
        <v>0</v>
      </c>
      <c r="K31" s="64">
        <f>L31*$F$67*$F$30</f>
        <v>0</v>
      </c>
      <c r="L31" s="266"/>
      <c r="M31" s="64">
        <f>O31*$E$67*$F$31</f>
        <v>0</v>
      </c>
      <c r="N31" s="64">
        <f>O31*$F$67*$F$30</f>
        <v>0</v>
      </c>
      <c r="O31" s="266"/>
      <c r="P31" s="264"/>
      <c r="R31" s="131">
        <f t="shared" si="6"/>
        <v>1</v>
      </c>
    </row>
    <row r="32" spans="2:40" ht="14.1" customHeight="1" x14ac:dyDescent="0.25">
      <c r="B32" s="334"/>
      <c r="C32" s="64">
        <f>'Tabela Resumo'!C14</f>
        <v>5</v>
      </c>
      <c r="D32" s="65" t="str">
        <f>'Tabela Resumo'!D14</f>
        <v>IMPLANTAÇÃO ASFÁLTICA - TERRAPLENAGEM - VIÁRIO</v>
      </c>
      <c r="E32" s="68">
        <f>'Tabela Resumo'!F14</f>
        <v>5.5554544941630681E-2</v>
      </c>
      <c r="F32" s="64">
        <f>'Tabela Resumo'!E14</f>
        <v>107195.45</v>
      </c>
      <c r="G32" s="64">
        <f>I32*$E$67*$F$32</f>
        <v>84418.846041004537</v>
      </c>
      <c r="H32" s="64">
        <f>I32*$F$67*$F$32</f>
        <v>844.41488899545118</v>
      </c>
      <c r="I32" s="266">
        <v>0.7954</v>
      </c>
      <c r="J32" s="64">
        <f>L32*$E$67*$F$32</f>
        <v>21714.981015827925</v>
      </c>
      <c r="K32" s="64">
        <f>L32*$F$67*$F$32</f>
        <v>217.20805417207609</v>
      </c>
      <c r="L32" s="266">
        <v>0.2046</v>
      </c>
      <c r="M32" s="64">
        <f>O32*$E$67*$F$32</f>
        <v>0</v>
      </c>
      <c r="N32" s="64">
        <f>O32*$F$67*$F$32</f>
        <v>0</v>
      </c>
      <c r="O32" s="266"/>
      <c r="P32" s="264"/>
      <c r="R32" s="131">
        <f t="shared" si="6"/>
        <v>1</v>
      </c>
    </row>
    <row r="33" spans="2:40" ht="14.1" customHeight="1" x14ac:dyDescent="0.25">
      <c r="B33" s="334"/>
      <c r="C33" s="64">
        <f>'Tabela Resumo'!C15</f>
        <v>6</v>
      </c>
      <c r="D33" s="65" t="str">
        <f>'Tabela Resumo'!D15</f>
        <v>IMPLANTAÇÃO ASFÁLTICA - PAVIMENTAÇÃO</v>
      </c>
      <c r="E33" s="68">
        <f>'Tabela Resumo'!F15</f>
        <v>0.39425246205362391</v>
      </c>
      <c r="F33" s="64">
        <f>'Tabela Resumo'!E15</f>
        <v>760731.1</v>
      </c>
      <c r="G33" s="64">
        <f>I33*$E$67*$F$33</f>
        <v>142052.97469793196</v>
      </c>
      <c r="H33" s="64">
        <f>I33*$F$67*$F$33</f>
        <v>1420.9107620680347</v>
      </c>
      <c r="I33" s="266">
        <v>0.18859999999999999</v>
      </c>
      <c r="J33" s="64">
        <f>L33*$E$67*$F$33</f>
        <v>194701.45259499157</v>
      </c>
      <c r="K33" s="64">
        <f>L33*$F$67*$F$33</f>
        <v>1947.5367550084145</v>
      </c>
      <c r="L33" s="266">
        <v>0.25850000000000001</v>
      </c>
      <c r="M33" s="64">
        <f>O33*$E$67*$F$33</f>
        <v>208936.87794913215</v>
      </c>
      <c r="N33" s="64">
        <f>O33*$F$67*$F$33</f>
        <v>2089.9291908678301</v>
      </c>
      <c r="O33" s="266">
        <v>0.27739999999999998</v>
      </c>
      <c r="P33" s="264"/>
      <c r="R33" s="131">
        <f t="shared" si="6"/>
        <v>1</v>
      </c>
    </row>
    <row r="34" spans="2:40" ht="14.1" customHeight="1" x14ac:dyDescent="0.25">
      <c r="B34" s="334"/>
      <c r="C34" s="64">
        <f>'Tabela Resumo'!C16</f>
        <v>7</v>
      </c>
      <c r="D34" s="65" t="str">
        <f>'Tabela Resumo'!D16</f>
        <v>SERVIÇOS COMPLEMENTARES</v>
      </c>
      <c r="E34" s="68">
        <f>'Tabela Resumo'!F16</f>
        <v>5.8124875730363422E-2</v>
      </c>
      <c r="F34" s="64">
        <f>'Tabela Resumo'!E16</f>
        <v>112155.04</v>
      </c>
      <c r="G34" s="64">
        <f>I34*$E$67*$F$34</f>
        <v>0</v>
      </c>
      <c r="H34" s="64">
        <f>I34*$F$67*$F$34</f>
        <v>0</v>
      </c>
      <c r="I34" s="266"/>
      <c r="J34" s="64">
        <f>L34*$E$67*$F$34</f>
        <v>0</v>
      </c>
      <c r="K34" s="64">
        <f>L34*$F$67*$F$34</f>
        <v>0</v>
      </c>
      <c r="L34" s="266"/>
      <c r="M34" s="64">
        <f>O34*$E$67*$F$34</f>
        <v>0</v>
      </c>
      <c r="N34" s="64">
        <f>O34*$F$67*$F$34</f>
        <v>0</v>
      </c>
      <c r="O34" s="266"/>
      <c r="P34" s="264"/>
      <c r="R34" s="131">
        <f t="shared" si="6"/>
        <v>1</v>
      </c>
    </row>
    <row r="35" spans="2:40" ht="14.1" customHeight="1" x14ac:dyDescent="0.25">
      <c r="B35" s="334"/>
      <c r="C35" s="64">
        <f>'Tabela Resumo'!C17</f>
        <v>8</v>
      </c>
      <c r="D35" s="65" t="str">
        <f>'Tabela Resumo'!D17</f>
        <v>PASSEIO COM ACESSIBILIDADE</v>
      </c>
      <c r="E35" s="68">
        <f>'Tabela Resumo'!F17</f>
        <v>6.6873678300176334E-2</v>
      </c>
      <c r="F35" s="64">
        <f>'Tabela Resumo'!E17</f>
        <v>129036.31999999998</v>
      </c>
      <c r="G35" s="64">
        <f>I35*$E$67*$F$35</f>
        <v>0</v>
      </c>
      <c r="H35" s="64">
        <f>I35*$F$67*$F$35</f>
        <v>0</v>
      </c>
      <c r="I35" s="266"/>
      <c r="J35" s="64">
        <f>L35*$E$67*$F$35</f>
        <v>0</v>
      </c>
      <c r="K35" s="64">
        <f>L35*$F$67*$F$35</f>
        <v>0</v>
      </c>
      <c r="L35" s="266"/>
      <c r="M35" s="64">
        <f>O35*$E$67*$F$35</f>
        <v>0</v>
      </c>
      <c r="N35" s="64">
        <f>O35*$F$67*$F$35</f>
        <v>0</v>
      </c>
      <c r="O35" s="266"/>
      <c r="P35" s="264"/>
      <c r="R35" s="131">
        <f t="shared" si="6"/>
        <v>1</v>
      </c>
    </row>
    <row r="36" spans="2:40" ht="14.1" customHeight="1" x14ac:dyDescent="0.25">
      <c r="B36" s="334"/>
      <c r="C36" s="64">
        <f>'Tabela Resumo'!C18</f>
        <v>9</v>
      </c>
      <c r="D36" s="65" t="str">
        <f>'Tabela Resumo'!D18</f>
        <v>SINALIZAÇÃO VIÁRIA</v>
      </c>
      <c r="E36" s="68">
        <f>'Tabela Resumo'!F18</f>
        <v>1.123646686355065E-2</v>
      </c>
      <c r="F36" s="64">
        <f>'Tabela Resumo'!E18</f>
        <v>21681.3606</v>
      </c>
      <c r="G36" s="64">
        <f>I36*$E$67*$F$36</f>
        <v>0</v>
      </c>
      <c r="H36" s="64">
        <f>I36*$F$67*$F$36</f>
        <v>0</v>
      </c>
      <c r="I36" s="266"/>
      <c r="J36" s="64">
        <f>L36*$E$67*$F$36</f>
        <v>0</v>
      </c>
      <c r="K36" s="64">
        <f>L36*$F$67*$F$36</f>
        <v>0</v>
      </c>
      <c r="L36" s="266"/>
      <c r="M36" s="64">
        <f>O36*$E$67*$F$36</f>
        <v>0</v>
      </c>
      <c r="N36" s="64">
        <f>O36*$F$67*$F$36</f>
        <v>0</v>
      </c>
      <c r="O36" s="266"/>
      <c r="P36" s="264"/>
      <c r="R36" s="131">
        <f t="shared" si="6"/>
        <v>1</v>
      </c>
    </row>
    <row r="37" spans="2:40" ht="14.1" customHeight="1" x14ac:dyDescent="0.25">
      <c r="B37" s="335"/>
      <c r="C37" s="74">
        <f>'Tabela Resumo'!C19</f>
        <v>10</v>
      </c>
      <c r="D37" s="65" t="str">
        <f>'Tabela Resumo'!D19</f>
        <v>ADMINISTRAÇÃO LOCAL</v>
      </c>
      <c r="E37" s="68">
        <f>'Tabela Resumo'!F19</f>
        <v>4.5409445032536203E-2</v>
      </c>
      <c r="F37" s="64">
        <f>'Tabela Resumo'!E19</f>
        <v>87619.94</v>
      </c>
      <c r="G37" s="64">
        <f>I37*$E$67*$F$37</f>
        <v>9638.1678044213932</v>
      </c>
      <c r="H37" s="64">
        <f>I37*$F$67*$F$37</f>
        <v>96.407529578607082</v>
      </c>
      <c r="I37" s="271">
        <v>0.1111</v>
      </c>
      <c r="J37" s="64">
        <f>L37*$E$67*$F$37</f>
        <v>9638.1678044213932</v>
      </c>
      <c r="K37" s="64">
        <f>L37*$F$67*$F$37</f>
        <v>96.407529578607082</v>
      </c>
      <c r="L37" s="271">
        <v>0.1111</v>
      </c>
      <c r="M37" s="64">
        <f>O37*$E$67*$F$37</f>
        <v>9638.1678044213932</v>
      </c>
      <c r="N37" s="64">
        <f>O37*$F$67*$F$37</f>
        <v>96.407529578607082</v>
      </c>
      <c r="O37" s="272">
        <v>0.1111</v>
      </c>
      <c r="P37" s="264"/>
      <c r="R37" s="131">
        <f t="shared" si="6"/>
        <v>0.99999999999999989</v>
      </c>
    </row>
    <row r="38" spans="2:40" ht="5.0999999999999996" customHeight="1" x14ac:dyDescent="0.25">
      <c r="B38" s="267"/>
      <c r="C38" s="273"/>
      <c r="D38" s="35"/>
      <c r="E38" s="36"/>
      <c r="F38" s="36"/>
      <c r="G38" s="36"/>
      <c r="H38" s="36"/>
      <c r="I38" s="36"/>
      <c r="J38" s="36"/>
      <c r="K38" s="36"/>
      <c r="L38" s="36"/>
      <c r="M38" s="36"/>
      <c r="N38" s="36"/>
      <c r="O38" s="274"/>
    </row>
    <row r="39" spans="2:40" ht="20.100000000000001" customHeight="1" x14ac:dyDescent="0.25">
      <c r="B39" s="336" t="s">
        <v>194</v>
      </c>
      <c r="C39" s="337"/>
      <c r="D39" s="338"/>
      <c r="E39" s="106">
        <f>SUM(E27:E38)</f>
        <v>1</v>
      </c>
      <c r="F39" s="19">
        <f>SUM(F27:F38)</f>
        <v>1929553.2006000001</v>
      </c>
      <c r="G39" s="19">
        <f>SUM(G27:G38)</f>
        <v>236109.98854335787</v>
      </c>
      <c r="H39" s="19">
        <f>SUM(H27:H38)</f>
        <v>2361.733180642093</v>
      </c>
      <c r="I39" s="106">
        <f>(G39+H39)/$F$39</f>
        <v>0.12358908873300126</v>
      </c>
      <c r="J39" s="19">
        <f>SUM(J27:J38)</f>
        <v>226054.60141524088</v>
      </c>
      <c r="K39" s="19">
        <f>SUM(K27:K38)</f>
        <v>2261.1523387590973</v>
      </c>
      <c r="L39" s="106">
        <f>(J39+K39)/$F$39</f>
        <v>0.11832571067903416</v>
      </c>
      <c r="M39" s="19">
        <f>SUM(M27:M38)</f>
        <v>218575.04575355354</v>
      </c>
      <c r="N39" s="19">
        <f>SUM(N27:N38)</f>
        <v>2186.3367204464371</v>
      </c>
      <c r="O39" s="106">
        <f>(M39+N39)/$F$39</f>
        <v>0.11441062231679001</v>
      </c>
      <c r="P39" s="131"/>
    </row>
    <row r="40" spans="2:40" ht="20.100000000000001" customHeight="1" x14ac:dyDescent="0.25">
      <c r="B40" s="336" t="s">
        <v>195</v>
      </c>
      <c r="C40" s="337"/>
      <c r="D40" s="338"/>
      <c r="E40" s="106"/>
      <c r="F40" s="19"/>
      <c r="G40" s="19">
        <f>G39+M23</f>
        <v>879917.61149234255</v>
      </c>
      <c r="H40" s="19">
        <f>H39+N23</f>
        <v>8801.5362336574235</v>
      </c>
      <c r="I40" s="106">
        <f>I39+O23</f>
        <v>0.46058286832912931</v>
      </c>
      <c r="J40" s="19">
        <f t="shared" ref="J40" si="7">J39+G40</f>
        <v>1105972.2129075835</v>
      </c>
      <c r="K40" s="19">
        <f t="shared" ref="K40" si="8">K39+H40</f>
        <v>11062.68857241652</v>
      </c>
      <c r="L40" s="106">
        <f t="shared" ref="L40" si="9">L39+I40</f>
        <v>0.5789085790081635</v>
      </c>
      <c r="M40" s="19">
        <f t="shared" ref="M40" si="10">M39+J40</f>
        <v>1324547.258661137</v>
      </c>
      <c r="N40" s="19">
        <f t="shared" ref="N40" si="11">N39+K40</f>
        <v>13249.025292862958</v>
      </c>
      <c r="O40" s="106">
        <f t="shared" ref="O40" si="12">O39+L40</f>
        <v>0.6933192013249535</v>
      </c>
      <c r="P40" s="131"/>
    </row>
    <row r="41" spans="2:40" ht="15" customHeight="1" x14ac:dyDescent="0.25"/>
    <row r="42" spans="2:40" ht="15" customHeight="1" x14ac:dyDescent="0.25">
      <c r="B42" s="339" t="s">
        <v>0</v>
      </c>
      <c r="C42" s="339"/>
      <c r="D42" s="339" t="s">
        <v>1</v>
      </c>
      <c r="E42" s="339" t="s">
        <v>393</v>
      </c>
      <c r="F42" s="341" t="s">
        <v>192</v>
      </c>
      <c r="G42" s="283" t="s">
        <v>624</v>
      </c>
      <c r="H42" s="283"/>
      <c r="I42" s="283"/>
      <c r="J42" s="283" t="s">
        <v>625</v>
      </c>
      <c r="K42" s="283"/>
      <c r="L42" s="283"/>
      <c r="M42" s="283" t="s">
        <v>626</v>
      </c>
      <c r="N42" s="283"/>
      <c r="O42" s="283"/>
      <c r="P42" s="33"/>
      <c r="Q42" s="33"/>
      <c r="R42" s="33"/>
      <c r="S42" s="33"/>
      <c r="T42" s="33"/>
      <c r="U42" s="33"/>
      <c r="V42" s="33"/>
      <c r="W42" s="33"/>
      <c r="X42" s="33"/>
      <c r="Y42" s="33"/>
      <c r="Z42" s="33"/>
      <c r="AA42" s="33"/>
      <c r="AB42" s="33"/>
      <c r="AC42" s="33"/>
      <c r="AD42" s="33"/>
      <c r="AE42" s="33"/>
      <c r="AF42" s="33"/>
      <c r="AG42" s="33"/>
      <c r="AH42" s="33"/>
      <c r="AI42" s="33"/>
      <c r="AJ42" s="12"/>
      <c r="AK42" s="32"/>
      <c r="AL42" s="32"/>
      <c r="AM42" s="12"/>
      <c r="AN42" s="34"/>
    </row>
    <row r="43" spans="2:40" ht="15" customHeight="1" x14ac:dyDescent="0.25">
      <c r="B43" s="340"/>
      <c r="C43" s="340"/>
      <c r="D43" s="340"/>
      <c r="E43" s="340"/>
      <c r="F43" s="341"/>
      <c r="G43" s="17" t="s">
        <v>396</v>
      </c>
      <c r="H43" s="17" t="s">
        <v>397</v>
      </c>
      <c r="I43" s="17" t="s">
        <v>7</v>
      </c>
      <c r="J43" s="17" t="s">
        <v>396</v>
      </c>
      <c r="K43" s="17" t="s">
        <v>397</v>
      </c>
      <c r="L43" s="17" t="s">
        <v>7</v>
      </c>
      <c r="M43" s="17" t="s">
        <v>396</v>
      </c>
      <c r="N43" s="17" t="s">
        <v>397</v>
      </c>
      <c r="O43" s="17" t="s">
        <v>7</v>
      </c>
      <c r="P43" s="33"/>
      <c r="Q43" s="33"/>
      <c r="R43" s="33"/>
      <c r="S43" s="33"/>
      <c r="T43" s="33"/>
      <c r="U43" s="33"/>
      <c r="V43" s="33"/>
      <c r="W43" s="33"/>
      <c r="X43" s="33"/>
      <c r="Y43" s="33"/>
      <c r="Z43" s="33"/>
      <c r="AA43" s="33"/>
      <c r="AB43" s="33"/>
      <c r="AC43" s="33"/>
      <c r="AD43" s="33"/>
      <c r="AE43" s="33"/>
      <c r="AF43" s="33"/>
      <c r="AG43" s="33"/>
      <c r="AH43" s="33"/>
      <c r="AI43" s="33"/>
      <c r="AJ43" s="12"/>
      <c r="AK43" s="32"/>
      <c r="AL43" s="32"/>
      <c r="AM43" s="12"/>
      <c r="AN43" s="34"/>
    </row>
    <row r="44" spans="2:40" ht="5.0999999999999996" customHeight="1" x14ac:dyDescent="0.25">
      <c r="B44" s="267"/>
      <c r="O44" s="41"/>
    </row>
    <row r="45" spans="2:40" ht="14.1" customHeight="1" x14ac:dyDescent="0.25">
      <c r="B45" s="333" t="s">
        <v>191</v>
      </c>
      <c r="C45" s="268">
        <f>'Tabela Resumo'!C10</f>
        <v>1</v>
      </c>
      <c r="D45" s="269" t="str">
        <f>'Tabela Resumo'!D10</f>
        <v>SERVIÇOS PRELIMINARES</v>
      </c>
      <c r="E45" s="270">
        <f>'Tabela Resumo'!F10</f>
        <v>6.1068438000755274E-3</v>
      </c>
      <c r="F45" s="268">
        <f>'Tabela Resumo'!E10</f>
        <v>11783.48</v>
      </c>
      <c r="G45" s="268">
        <f>I45*$E$67*$F$45</f>
        <v>0</v>
      </c>
      <c r="H45" s="268">
        <f>I45*$F$67*$F$45</f>
        <v>0</v>
      </c>
      <c r="I45" s="265"/>
      <c r="J45" s="268">
        <f>L45*$E$67*$F$45</f>
        <v>0</v>
      </c>
      <c r="K45" s="268">
        <f>L45*$F$67*$F$45</f>
        <v>0</v>
      </c>
      <c r="L45" s="265"/>
      <c r="M45" s="268">
        <f>O45*$E$67*$F$45</f>
        <v>0</v>
      </c>
      <c r="N45" s="268">
        <f>O45*$F$67*$F$45</f>
        <v>0</v>
      </c>
      <c r="O45" s="265"/>
      <c r="P45" s="264"/>
      <c r="R45" s="131">
        <f>R28</f>
        <v>1</v>
      </c>
    </row>
    <row r="46" spans="2:40" ht="14.1" customHeight="1" x14ac:dyDescent="0.25">
      <c r="B46" s="334"/>
      <c r="C46" s="64">
        <f>'Tabela Resumo'!C11</f>
        <v>2</v>
      </c>
      <c r="D46" s="65" t="str">
        <f>'Tabela Resumo'!D11</f>
        <v>DRENAGEM DE ÁGUAS PLUVIAIS - TERRAPLENAGEM</v>
      </c>
      <c r="E46" s="68">
        <f>'Tabela Resumo'!F11</f>
        <v>8.5720932674241593E-2</v>
      </c>
      <c r="F46" s="64">
        <f>'Tabela Resumo'!E11</f>
        <v>165403.1</v>
      </c>
      <c r="G46" s="64">
        <f>I46*$E$67*$F$46</f>
        <v>0</v>
      </c>
      <c r="H46" s="64">
        <f>I46*$F$67*$F$46</f>
        <v>0</v>
      </c>
      <c r="I46" s="271"/>
      <c r="J46" s="64">
        <f>L46*$E$67*$F$46</f>
        <v>0</v>
      </c>
      <c r="K46" s="64">
        <f>L46*$F$67*$F$46</f>
        <v>0</v>
      </c>
      <c r="L46" s="271"/>
      <c r="M46" s="64">
        <f>O46*$E$67*$F$46</f>
        <v>0</v>
      </c>
      <c r="N46" s="64">
        <f>O46*$F$67*$F$46</f>
        <v>0</v>
      </c>
      <c r="O46" s="272"/>
      <c r="P46" s="264"/>
      <c r="R46" s="131">
        <f t="shared" ref="R46:R54" si="13">R29</f>
        <v>1</v>
      </c>
    </row>
    <row r="47" spans="2:40" ht="14.1" customHeight="1" x14ac:dyDescent="0.25">
      <c r="B47" s="334"/>
      <c r="C47" s="64">
        <f>'Tabela Resumo'!C12</f>
        <v>3</v>
      </c>
      <c r="D47" s="65" t="str">
        <f>'Tabela Resumo'!D12</f>
        <v>DRENAGEM DE ÁGUAS PLUVIAIS - DISPOSITIVOS ESTRUTURAIS 01</v>
      </c>
      <c r="E47" s="68">
        <f>'Tabela Resumo'!F12</f>
        <v>0.23003103509246672</v>
      </c>
      <c r="F47" s="64">
        <f>'Tabela Resumo'!E12</f>
        <v>443857.12</v>
      </c>
      <c r="G47" s="64">
        <f>I47*$E$67*$F$47</f>
        <v>0</v>
      </c>
      <c r="H47" s="64">
        <f>I47*$F$67*$F$47</f>
        <v>0</v>
      </c>
      <c r="I47" s="271"/>
      <c r="J47" s="64">
        <f>L47*$E$67*$F$47</f>
        <v>0</v>
      </c>
      <c r="K47" s="64">
        <f>L47*$F$67*$F$47</f>
        <v>0</v>
      </c>
      <c r="L47" s="271"/>
      <c r="M47" s="64">
        <f>O47*$E$67*$F$47</f>
        <v>0</v>
      </c>
      <c r="N47" s="64">
        <f>O47*$F$67*$F$47</f>
        <v>0</v>
      </c>
      <c r="O47" s="272"/>
      <c r="P47" s="264"/>
      <c r="R47" s="131">
        <f t="shared" si="13"/>
        <v>1</v>
      </c>
    </row>
    <row r="48" spans="2:40" ht="14.1" customHeight="1" x14ac:dyDescent="0.25">
      <c r="B48" s="334"/>
      <c r="C48" s="64">
        <f>'Tabela Resumo'!C13</f>
        <v>4</v>
      </c>
      <c r="D48" s="65" t="str">
        <f>'Tabela Resumo'!D13</f>
        <v>DRENAGEM DE ÁGUAS PLUVIAIS - DISPOSITIVOS ESTRUTURAIS 02</v>
      </c>
      <c r="E48" s="68">
        <f>'Tabela Resumo'!F13</f>
        <v>4.6689715511335043E-2</v>
      </c>
      <c r="F48" s="64">
        <f>'Tabela Resumo'!E13</f>
        <v>90090.289999999979</v>
      </c>
      <c r="G48" s="64">
        <f>I48*$E$67*$F$48</f>
        <v>0</v>
      </c>
      <c r="H48" s="64">
        <f>I48*$F$67*$F$48</f>
        <v>0</v>
      </c>
      <c r="I48" s="266"/>
      <c r="J48" s="64">
        <f>L48*$E$67*$F$48</f>
        <v>0</v>
      </c>
      <c r="K48" s="64">
        <f>L48*$F$67*$F$48</f>
        <v>0</v>
      </c>
      <c r="L48" s="266"/>
      <c r="M48" s="64">
        <f>O48*$E$67*$F$48</f>
        <v>89198.070052039358</v>
      </c>
      <c r="N48" s="64">
        <f>O48*$F$67*$F$48</f>
        <v>892.21994796062745</v>
      </c>
      <c r="O48" s="266">
        <v>1</v>
      </c>
      <c r="P48" s="264"/>
      <c r="R48" s="131">
        <f t="shared" si="13"/>
        <v>1</v>
      </c>
    </row>
    <row r="49" spans="2:18" ht="14.1" customHeight="1" x14ac:dyDescent="0.25">
      <c r="B49" s="334"/>
      <c r="C49" s="64">
        <f>'Tabela Resumo'!C14</f>
        <v>5</v>
      </c>
      <c r="D49" s="65" t="str">
        <f>'Tabela Resumo'!D14</f>
        <v>IMPLANTAÇÃO ASFÁLTICA - TERRAPLENAGEM - VIÁRIO</v>
      </c>
      <c r="E49" s="68">
        <f>'Tabela Resumo'!F14</f>
        <v>5.5554544941630681E-2</v>
      </c>
      <c r="F49" s="64">
        <f>'Tabela Resumo'!E14</f>
        <v>107195.45</v>
      </c>
      <c r="G49" s="64">
        <f>I49*$E$67*$F$49</f>
        <v>0</v>
      </c>
      <c r="H49" s="64">
        <f>I49*$F$67*$F$49</f>
        <v>0</v>
      </c>
      <c r="I49" s="266"/>
      <c r="J49" s="64">
        <f>L49*$E$67*$F$49</f>
        <v>0</v>
      </c>
      <c r="K49" s="64">
        <f>L49*$F$67*$F$49</f>
        <v>0</v>
      </c>
      <c r="L49" s="266"/>
      <c r="M49" s="64">
        <f>O49*$E$67*$F$49</f>
        <v>0</v>
      </c>
      <c r="N49" s="64">
        <f>O49*$F$67*$F$49</f>
        <v>0</v>
      </c>
      <c r="O49" s="266"/>
      <c r="P49" s="264"/>
      <c r="R49" s="131">
        <f t="shared" si="13"/>
        <v>1</v>
      </c>
    </row>
    <row r="50" spans="2:18" ht="14.1" customHeight="1" x14ac:dyDescent="0.25">
      <c r="B50" s="334"/>
      <c r="C50" s="64">
        <f>'Tabela Resumo'!C15</f>
        <v>6</v>
      </c>
      <c r="D50" s="65" t="str">
        <f>'Tabela Resumo'!D15</f>
        <v>IMPLANTAÇÃO ASFÁLTICA - PAVIMENTAÇÃO</v>
      </c>
      <c r="E50" s="68">
        <f>'Tabela Resumo'!F15</f>
        <v>0.39425246205362391</v>
      </c>
      <c r="F50" s="64">
        <f>'Tabela Resumo'!E15</f>
        <v>760731.1</v>
      </c>
      <c r="G50" s="64">
        <f>I50*$E$67*$F$50</f>
        <v>207505.80344263127</v>
      </c>
      <c r="H50" s="64">
        <f>I50*$F$67*$F$50</f>
        <v>2075.614607368736</v>
      </c>
      <c r="I50" s="266">
        <v>0.27550000000000002</v>
      </c>
      <c r="J50" s="64">
        <f>L50*$E$67*$F$50</f>
        <v>0</v>
      </c>
      <c r="K50" s="64">
        <f>L50*$F$67*$F$50</f>
        <v>0</v>
      </c>
      <c r="L50" s="266"/>
      <c r="M50" s="64">
        <f>O50*$E$67*$F$50</f>
        <v>0</v>
      </c>
      <c r="N50" s="64">
        <f>O50*$F$67*$F$50</f>
        <v>0</v>
      </c>
      <c r="O50" s="266"/>
      <c r="P50" s="264"/>
      <c r="R50" s="131">
        <f t="shared" si="13"/>
        <v>1</v>
      </c>
    </row>
    <row r="51" spans="2:18" ht="14.1" customHeight="1" x14ac:dyDescent="0.25">
      <c r="B51" s="334"/>
      <c r="C51" s="64">
        <f>'Tabela Resumo'!C16</f>
        <v>7</v>
      </c>
      <c r="D51" s="65" t="str">
        <f>'Tabela Resumo'!D16</f>
        <v>SERVIÇOS COMPLEMENTARES</v>
      </c>
      <c r="E51" s="68">
        <f>'Tabela Resumo'!F16</f>
        <v>5.8124875730363422E-2</v>
      </c>
      <c r="F51" s="64">
        <f>'Tabela Resumo'!E16</f>
        <v>112155.04</v>
      </c>
      <c r="G51" s="64">
        <f>I51*$E$67*$F$51</f>
        <v>0</v>
      </c>
      <c r="H51" s="64">
        <f>I51*$F$67*$F$51</f>
        <v>0</v>
      </c>
      <c r="I51" s="266"/>
      <c r="J51" s="64">
        <f>L51*$E$67*$F$51</f>
        <v>111044.29916486313</v>
      </c>
      <c r="K51" s="64">
        <f>L51*$F$67*$F$51</f>
        <v>1110.7408351368622</v>
      </c>
      <c r="L51" s="266">
        <v>1</v>
      </c>
      <c r="M51" s="64">
        <f>O51*$E$67*$F$51</f>
        <v>0</v>
      </c>
      <c r="N51" s="64">
        <f>O51*$F$67*$F$51</f>
        <v>0</v>
      </c>
      <c r="O51" s="266"/>
      <c r="P51" s="264"/>
      <c r="R51" s="131">
        <f t="shared" si="13"/>
        <v>1</v>
      </c>
    </row>
    <row r="52" spans="2:18" ht="14.1" customHeight="1" x14ac:dyDescent="0.25">
      <c r="B52" s="334"/>
      <c r="C52" s="64">
        <f>'Tabela Resumo'!C17</f>
        <v>8</v>
      </c>
      <c r="D52" s="65" t="str">
        <f>'Tabela Resumo'!D17</f>
        <v>PASSEIO COM ACESSIBILIDADE</v>
      </c>
      <c r="E52" s="68">
        <f>'Tabela Resumo'!F17</f>
        <v>6.6873678300176334E-2</v>
      </c>
      <c r="F52" s="64">
        <f>'Tabela Resumo'!E17</f>
        <v>129036.31999999998</v>
      </c>
      <c r="G52" s="64">
        <f>I52*$E$67*$F$52</f>
        <v>0</v>
      </c>
      <c r="H52" s="64">
        <f>I52*$F$67*$F$52</f>
        <v>0</v>
      </c>
      <c r="I52" s="266"/>
      <c r="J52" s="64">
        <f>L52*$E$67*$F$52</f>
        <v>65999.986026295737</v>
      </c>
      <c r="K52" s="64">
        <f>L52*$F$67*$F$52</f>
        <v>660.17688570423718</v>
      </c>
      <c r="L52" s="266">
        <v>0.51659999999999995</v>
      </c>
      <c r="M52" s="64">
        <f>O52*$E$67*$F$52</f>
        <v>61758.407365682084</v>
      </c>
      <c r="N52" s="64">
        <f>O52*$F$67*$F$52</f>
        <v>617.74972231790218</v>
      </c>
      <c r="O52" s="266">
        <v>0.4834</v>
      </c>
      <c r="P52" s="264"/>
      <c r="R52" s="131">
        <f t="shared" si="13"/>
        <v>1</v>
      </c>
    </row>
    <row r="53" spans="2:18" ht="14.1" customHeight="1" x14ac:dyDescent="0.25">
      <c r="B53" s="334"/>
      <c r="C53" s="64">
        <f>'Tabela Resumo'!C18</f>
        <v>9</v>
      </c>
      <c r="D53" s="65" t="str">
        <f>'Tabela Resumo'!D18</f>
        <v>SINALIZAÇÃO VIÁRIA</v>
      </c>
      <c r="E53" s="68">
        <f>'Tabela Resumo'!F18</f>
        <v>1.123646686355065E-2</v>
      </c>
      <c r="F53" s="64">
        <f>'Tabela Resumo'!E18</f>
        <v>21681.3606</v>
      </c>
      <c r="G53" s="64">
        <f>I53*$E$67*$F$53</f>
        <v>0</v>
      </c>
      <c r="H53" s="64">
        <f>I53*$F$67*$F$53</f>
        <v>0</v>
      </c>
      <c r="I53" s="266"/>
      <c r="J53" s="64">
        <f>L53*$E$67*$F$53</f>
        <v>0</v>
      </c>
      <c r="K53" s="64">
        <f>L53*$F$67*$F$53</f>
        <v>0</v>
      </c>
      <c r="L53" s="266"/>
      <c r="M53" s="64">
        <f>O53*$E$67*$F$53</f>
        <v>21466.636655541086</v>
      </c>
      <c r="N53" s="64">
        <f>O53*$F$67*$F$53</f>
        <v>214.72394445891564</v>
      </c>
      <c r="O53" s="266">
        <v>1</v>
      </c>
      <c r="P53" s="264"/>
      <c r="R53" s="131">
        <f t="shared" si="13"/>
        <v>1</v>
      </c>
    </row>
    <row r="54" spans="2:18" ht="14.1" customHeight="1" x14ac:dyDescent="0.25">
      <c r="B54" s="335"/>
      <c r="C54" s="74">
        <f>'Tabela Resumo'!C19</f>
        <v>10</v>
      </c>
      <c r="D54" s="65" t="str">
        <f>'Tabela Resumo'!D19</f>
        <v>ADMINISTRAÇÃO LOCAL</v>
      </c>
      <c r="E54" s="68">
        <f>'Tabela Resumo'!F19</f>
        <v>4.5409445032536203E-2</v>
      </c>
      <c r="F54" s="64">
        <f>'Tabela Resumo'!E19</f>
        <v>87619.94</v>
      </c>
      <c r="G54" s="64">
        <f>I54*$E$67*$F$54</f>
        <v>9638.1678044213932</v>
      </c>
      <c r="H54" s="64">
        <f>I54*$F$67*$F$54</f>
        <v>96.407529578607082</v>
      </c>
      <c r="I54" s="271">
        <v>0.1111</v>
      </c>
      <c r="J54" s="64">
        <f>L54*$E$67*$F$54</f>
        <v>9638.1678044213932</v>
      </c>
      <c r="K54" s="64">
        <f>L54*$F$67*$F$54</f>
        <v>96.407529578607082</v>
      </c>
      <c r="L54" s="271">
        <v>0.1111</v>
      </c>
      <c r="M54" s="64">
        <f>O54*$E$67*$F$54</f>
        <v>9646.8430229672267</v>
      </c>
      <c r="N54" s="64">
        <f>O54*$F$67*$F$54</f>
        <v>96.494305032773241</v>
      </c>
      <c r="O54" s="272">
        <v>0.11119999999999999</v>
      </c>
      <c r="P54" s="264"/>
      <c r="R54" s="131">
        <f t="shared" si="13"/>
        <v>0.99999999999999989</v>
      </c>
    </row>
    <row r="55" spans="2:18" ht="5.0999999999999996" customHeight="1" x14ac:dyDescent="0.25">
      <c r="B55" s="267"/>
      <c r="C55" s="273"/>
      <c r="D55" s="35"/>
      <c r="E55" s="36"/>
      <c r="F55" s="36"/>
      <c r="G55" s="36"/>
      <c r="H55" s="36"/>
      <c r="I55" s="36"/>
      <c r="J55" s="36"/>
      <c r="K55" s="36"/>
      <c r="L55" s="36"/>
      <c r="M55" s="36"/>
      <c r="N55" s="36"/>
      <c r="O55" s="40"/>
    </row>
    <row r="56" spans="2:18" ht="20.100000000000001" customHeight="1" x14ac:dyDescent="0.25">
      <c r="B56" s="336" t="s">
        <v>194</v>
      </c>
      <c r="C56" s="337"/>
      <c r="D56" s="338"/>
      <c r="E56" s="106">
        <f>SUM(E44:E55)</f>
        <v>1</v>
      </c>
      <c r="F56" s="19">
        <f>SUM(F44:F55)</f>
        <v>1929553.2006000001</v>
      </c>
      <c r="G56" s="19">
        <f>SUM(G44:G55)</f>
        <v>217143.97124705266</v>
      </c>
      <c r="H56" s="19">
        <f>SUM(H44:H55)</f>
        <v>2172.0221369473429</v>
      </c>
      <c r="I56" s="106">
        <f>(G56+H56)/$F$56</f>
        <v>0.11366154263888814</v>
      </c>
      <c r="J56" s="19">
        <f>SUM(J44:J55)</f>
        <v>186682.45299558027</v>
      </c>
      <c r="K56" s="19">
        <f>SUM(K44:K55)</f>
        <v>1867.3252504197064</v>
      </c>
      <c r="L56" s="106">
        <f>(J56+K56)/$F$56</f>
        <v>9.7716807283349263E-2</v>
      </c>
      <c r="M56" s="19">
        <f>SUM(M44:M55)</f>
        <v>182069.95709622974</v>
      </c>
      <c r="N56" s="19">
        <f>SUM(N44:N55)</f>
        <v>1821.1879197702183</v>
      </c>
      <c r="O56" s="106">
        <f>(M56+N56)/$F$56</f>
        <v>9.5302448752808938E-2</v>
      </c>
      <c r="P56" s="131"/>
    </row>
    <row r="57" spans="2:18" ht="20.100000000000001" customHeight="1" x14ac:dyDescent="0.25">
      <c r="B57" s="336" t="s">
        <v>195</v>
      </c>
      <c r="C57" s="337"/>
      <c r="D57" s="338"/>
      <c r="E57" s="106"/>
      <c r="F57" s="19"/>
      <c r="G57" s="19">
        <f>G56+M40</f>
        <v>1541691.2299081897</v>
      </c>
      <c r="H57" s="19">
        <f>H56+N40</f>
        <v>15421.0474298103</v>
      </c>
      <c r="I57" s="106">
        <f>I56+O40</f>
        <v>0.80698074396384167</v>
      </c>
      <c r="J57" s="19">
        <f t="shared" ref="J57" si="14">J56+G57</f>
        <v>1728373.6829037699</v>
      </c>
      <c r="K57" s="19">
        <f t="shared" ref="K57" si="15">K56+H57</f>
        <v>17288.372680230008</v>
      </c>
      <c r="L57" s="106">
        <f t="shared" ref="L57" si="16">L56+I57</f>
        <v>0.90469755124719098</v>
      </c>
      <c r="M57" s="19">
        <f t="shared" ref="M57" si="17">M56+J57</f>
        <v>1910443.6399999997</v>
      </c>
      <c r="N57" s="19">
        <f t="shared" ref="N57" si="18">N56+K57</f>
        <v>19109.560600000226</v>
      </c>
      <c r="O57" s="106">
        <f t="shared" ref="O57" si="19">O56+L57</f>
        <v>0.99999999999999989</v>
      </c>
      <c r="P57" s="131"/>
    </row>
    <row r="58" spans="2:18" ht="15" customHeight="1" x14ac:dyDescent="0.25"/>
    <row r="59" spans="2:18" x14ac:dyDescent="0.25">
      <c r="M59" s="124"/>
    </row>
    <row r="65" spans="5:8" x14ac:dyDescent="0.25">
      <c r="E65" s="11" t="s">
        <v>394</v>
      </c>
      <c r="F65" s="11" t="s">
        <v>395</v>
      </c>
    </row>
    <row r="66" spans="5:8" x14ac:dyDescent="0.25">
      <c r="E66" s="107">
        <v>1910443.64</v>
      </c>
      <c r="F66" s="107">
        <f>F22-E66</f>
        <v>19109.560600000201</v>
      </c>
      <c r="H66" s="107">
        <v>1912356</v>
      </c>
    </row>
    <row r="67" spans="5:8" x14ac:dyDescent="0.25">
      <c r="E67" s="108">
        <f>E66/$F$22</f>
        <v>0.99009638055376858</v>
      </c>
      <c r="F67" s="108">
        <f>1-E67</f>
        <v>9.9036194462314153E-3</v>
      </c>
    </row>
  </sheetData>
  <mergeCells count="30">
    <mergeCell ref="M8:O8"/>
    <mergeCell ref="M25:O25"/>
    <mergeCell ref="M42:O42"/>
    <mergeCell ref="B56:D56"/>
    <mergeCell ref="B57:D57"/>
    <mergeCell ref="E42:E43"/>
    <mergeCell ref="F42:F43"/>
    <mergeCell ref="G42:I42"/>
    <mergeCell ref="J42:L42"/>
    <mergeCell ref="B45:B54"/>
    <mergeCell ref="B28:B37"/>
    <mergeCell ref="B39:D39"/>
    <mergeCell ref="B40:D40"/>
    <mergeCell ref="B42:C43"/>
    <mergeCell ref="D42:D43"/>
    <mergeCell ref="J25:L25"/>
    <mergeCell ref="B25:C26"/>
    <mergeCell ref="D25:D26"/>
    <mergeCell ref="E25:E26"/>
    <mergeCell ref="F25:F26"/>
    <mergeCell ref="G25:I25"/>
    <mergeCell ref="B11:B20"/>
    <mergeCell ref="B22:D22"/>
    <mergeCell ref="B23:D23"/>
    <mergeCell ref="B8:C9"/>
    <mergeCell ref="J8:L8"/>
    <mergeCell ref="D8:D9"/>
    <mergeCell ref="E8:E9"/>
    <mergeCell ref="F8:F9"/>
    <mergeCell ref="G8:I8"/>
  </mergeCells>
  <printOptions horizontalCentered="1"/>
  <pageMargins left="0.59055118110236227" right="0.39370078740157483" top="0.39370078740157483" bottom="0.98425196850393704" header="0.31496062992125984" footer="0.31496062992125984"/>
  <pageSetup paperSize="9" scale="65"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rowBreaks count="1" manualBreakCount="1">
    <brk id="41" min="1" max="14"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7">
    <tabColor rgb="FF00B050"/>
  </sheetPr>
  <dimension ref="B1:J14"/>
  <sheetViews>
    <sheetView showGridLines="0" view="pageBreakPreview" zoomScaleSheetLayoutView="100" workbookViewId="0">
      <selection activeCell="B2" sqref="B2"/>
    </sheetView>
  </sheetViews>
  <sheetFormatPr defaultRowHeight="12.75" x14ac:dyDescent="0.25"/>
  <cols>
    <col min="1" max="1" width="1.7109375" style="4" customWidth="1"/>
    <col min="2" max="2" width="10.7109375" style="4" customWidth="1"/>
    <col min="3" max="3" width="15.7109375" style="4" customWidth="1"/>
    <col min="4" max="4" width="26.7109375" style="4" customWidth="1"/>
    <col min="5" max="5" width="7.7109375" style="4" customWidth="1"/>
    <col min="6" max="6" width="1.7109375" style="4" customWidth="1"/>
    <col min="7" max="8" width="20.7109375" style="4" customWidth="1"/>
    <col min="9" max="9" width="1.7109375" style="4" customWidth="1"/>
    <col min="10" max="10" width="12.7109375" style="4" customWidth="1"/>
    <col min="11" max="16384" width="9.140625" style="4"/>
  </cols>
  <sheetData>
    <row r="1" spans="2:10" ht="5.0999999999999996" customHeight="1" x14ac:dyDescent="0.25"/>
    <row r="2" spans="2:10" ht="14.1" customHeight="1" x14ac:dyDescent="0.25">
      <c r="B2" s="102" t="str">
        <f>DADOS!$B$3</f>
        <v>CLIENTE:</v>
      </c>
      <c r="C2" s="80" t="str">
        <f>DADOS!$C$3</f>
        <v>PREFEITURA MUNICIPAL DE APARECIDA DO TABOADO / MS</v>
      </c>
      <c r="D2" s="36"/>
      <c r="E2" s="36"/>
      <c r="F2" s="36"/>
      <c r="G2" s="36"/>
      <c r="H2" s="36"/>
      <c r="I2" s="36"/>
      <c r="J2" s="40"/>
    </row>
    <row r="3" spans="2:10" ht="14.1" customHeight="1" x14ac:dyDescent="0.25">
      <c r="B3" s="103" t="str">
        <f>DADOS!$B$4</f>
        <v>ENDEREÇO:</v>
      </c>
      <c r="C3" s="81" t="str">
        <f>DADOS!$C$4</f>
        <v>RUA ELIAS TOLENTINO DE ALMEIDA, Nº 4.098 - JD. SÃO BENTO</v>
      </c>
      <c r="J3" s="41"/>
    </row>
    <row r="4" spans="2:10" ht="14.1" customHeight="1" x14ac:dyDescent="0.2">
      <c r="B4" s="82"/>
      <c r="C4" s="81"/>
      <c r="J4" s="41"/>
    </row>
    <row r="5" spans="2:10" ht="14.1" customHeight="1" x14ac:dyDescent="0.25">
      <c r="B5" s="103" t="str">
        <f>DADOS!$B$7</f>
        <v>OBRA:</v>
      </c>
      <c r="C5" s="81" t="str">
        <f>DADOS!$C$7</f>
        <v>PAVIMENTAÇÃO ASFÁLTICA E DRENAGEM DE ÁGUAS PLUVIAIS</v>
      </c>
      <c r="J5" s="41"/>
    </row>
    <row r="6" spans="2:10" ht="14.1" customHeight="1" x14ac:dyDescent="0.25">
      <c r="B6" s="83" t="str">
        <f>DADOS!$B$8</f>
        <v>LOCAL:</v>
      </c>
      <c r="C6" s="84" t="str">
        <f>DADOS!$C$8</f>
        <v>DIVERSAS RUAS NO BAIRRO PRIMAVERA, APARECIDA DO TABOADO / MS</v>
      </c>
      <c r="D6" s="42"/>
      <c r="E6" s="42"/>
      <c r="F6" s="42"/>
      <c r="G6" s="42"/>
      <c r="H6" s="42"/>
      <c r="I6" s="42"/>
      <c r="J6" s="43"/>
    </row>
    <row r="7" spans="2:10" ht="5.0999999999999996" customHeight="1" x14ac:dyDescent="0.25"/>
    <row r="8" spans="2:10" ht="30" customHeight="1" x14ac:dyDescent="0.25">
      <c r="B8" s="332" t="s">
        <v>0</v>
      </c>
      <c r="C8" s="332"/>
      <c r="D8" s="332"/>
      <c r="E8" s="332"/>
      <c r="F8" s="11"/>
      <c r="G8" s="14" t="s">
        <v>332</v>
      </c>
      <c r="H8" s="14" t="s">
        <v>331</v>
      </c>
      <c r="I8" s="11"/>
      <c r="J8" s="13" t="s">
        <v>5</v>
      </c>
    </row>
    <row r="9" spans="2:10" ht="5.0999999999999996" customHeight="1" x14ac:dyDescent="0.25"/>
    <row r="10" spans="2:10" ht="14.1" customHeight="1" x14ac:dyDescent="0.25">
      <c r="B10" s="342" t="s">
        <v>330</v>
      </c>
      <c r="C10" s="332" t="s">
        <v>333</v>
      </c>
      <c r="D10" s="332"/>
      <c r="E10" s="332"/>
      <c r="G10" s="27">
        <f>'Dre-Terraplenagem'!Q10</f>
        <v>1010.8</v>
      </c>
      <c r="H10" s="27">
        <f>'Pav-Terrapl'!P10</f>
        <v>816.95999999999992</v>
      </c>
      <c r="J10" s="19">
        <f>SUM(F10:I10)</f>
        <v>1827.7599999999998</v>
      </c>
    </row>
    <row r="11" spans="2:10" ht="14.1" customHeight="1" x14ac:dyDescent="0.25">
      <c r="B11" s="342"/>
      <c r="C11" s="341" t="s">
        <v>334</v>
      </c>
      <c r="D11" s="13" t="s">
        <v>368</v>
      </c>
      <c r="E11" s="50">
        <v>1</v>
      </c>
      <c r="G11" s="344">
        <f>TRUNC((E11*E12*E13),2)</f>
        <v>8</v>
      </c>
      <c r="H11" s="344"/>
      <c r="J11" s="343">
        <f>SUM(F11:I13)</f>
        <v>8</v>
      </c>
    </row>
    <row r="12" spans="2:10" ht="14.1" customHeight="1" x14ac:dyDescent="0.25">
      <c r="B12" s="342"/>
      <c r="C12" s="341"/>
      <c r="D12" s="13" t="s">
        <v>369</v>
      </c>
      <c r="E12" s="51">
        <v>4</v>
      </c>
      <c r="G12" s="344"/>
      <c r="H12" s="344"/>
      <c r="J12" s="343"/>
    </row>
    <row r="13" spans="2:10" ht="14.1" customHeight="1" x14ac:dyDescent="0.25">
      <c r="B13" s="342"/>
      <c r="C13" s="341"/>
      <c r="D13" s="13" t="s">
        <v>222</v>
      </c>
      <c r="E13" s="51">
        <v>2</v>
      </c>
      <c r="G13" s="344"/>
      <c r="H13" s="344"/>
      <c r="J13" s="343"/>
    </row>
    <row r="14" spans="2:10" ht="14.1" customHeight="1" x14ac:dyDescent="0.25">
      <c r="B14" s="342"/>
      <c r="C14" s="345" t="s">
        <v>618</v>
      </c>
      <c r="D14" s="332"/>
      <c r="E14" s="332"/>
      <c r="G14" s="344">
        <f>Orçamento!$P$170</f>
        <v>9</v>
      </c>
      <c r="H14" s="344"/>
      <c r="J14" s="19">
        <f>SUM(F14:I14)</f>
        <v>9</v>
      </c>
    </row>
  </sheetData>
  <mergeCells count="8">
    <mergeCell ref="B8:E8"/>
    <mergeCell ref="B10:B14"/>
    <mergeCell ref="J11:J13"/>
    <mergeCell ref="C10:E10"/>
    <mergeCell ref="C11:C13"/>
    <mergeCell ref="G11:H13"/>
    <mergeCell ref="G14:H14"/>
    <mergeCell ref="C14:E14"/>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AW105"/>
  <sheetViews>
    <sheetView showGridLines="0" view="pageBreakPreview" zoomScaleSheetLayoutView="100" workbookViewId="0">
      <pane ySplit="9" topLeftCell="A10" activePane="bottomLeft" state="frozen"/>
      <selection activeCell="K117" sqref="K117"/>
      <selection pane="bottomLeft" activeCell="N111" sqref="N111"/>
    </sheetView>
  </sheetViews>
  <sheetFormatPr defaultRowHeight="12.75" x14ac:dyDescent="0.25"/>
  <cols>
    <col min="1" max="1" width="1.7109375" style="221" customWidth="1"/>
    <col min="2" max="2" width="11.7109375" style="221" customWidth="1"/>
    <col min="3" max="3" width="9.7109375" style="221" customWidth="1"/>
    <col min="4" max="4" width="9.7109375" style="221" hidden="1" customWidth="1"/>
    <col min="5" max="10" width="9.7109375" style="221" customWidth="1"/>
    <col min="11" max="12" width="9.140625" style="221"/>
    <col min="13" max="16" width="9.7109375" style="221" customWidth="1"/>
    <col min="17" max="17" width="9.140625" style="221" customWidth="1"/>
    <col min="18" max="25" width="9.7109375" style="221" customWidth="1"/>
    <col min="26" max="26" width="10.7109375" style="221" customWidth="1"/>
    <col min="27" max="30" width="9.7109375" style="221" customWidth="1"/>
    <col min="31" max="31" width="1.7109375" style="221" hidden="1" customWidth="1"/>
    <col min="32" max="49" width="9.7109375" style="221" hidden="1" customWidth="1"/>
    <col min="50" max="16384" width="9.140625" style="221"/>
  </cols>
  <sheetData>
    <row r="1" spans="2:49" ht="14.1" customHeight="1" x14ac:dyDescent="0.2">
      <c r="B1" s="102" t="s">
        <v>385</v>
      </c>
      <c r="C1" s="80" t="s">
        <v>569</v>
      </c>
      <c r="D1" s="6"/>
      <c r="E1" s="6"/>
      <c r="F1" s="6"/>
      <c r="G1" s="6"/>
      <c r="H1" s="245"/>
      <c r="I1" s="245"/>
      <c r="J1" s="245"/>
      <c r="K1" s="245"/>
      <c r="L1" s="245"/>
      <c r="M1" s="245"/>
      <c r="N1" s="245"/>
      <c r="O1" s="245"/>
      <c r="P1" s="245"/>
      <c r="Q1" s="245"/>
      <c r="R1" s="245"/>
      <c r="S1" s="245"/>
      <c r="T1" s="245"/>
      <c r="U1" s="245"/>
      <c r="V1" s="245"/>
      <c r="W1" s="245"/>
      <c r="X1" s="245"/>
      <c r="Y1" s="245"/>
      <c r="Z1" s="246"/>
      <c r="AA1" s="397" t="s">
        <v>335</v>
      </c>
      <c r="AB1" s="398"/>
      <c r="AC1" s="398"/>
      <c r="AD1" s="346"/>
    </row>
    <row r="2" spans="2:49" ht="14.1" customHeight="1" x14ac:dyDescent="0.2">
      <c r="B2" s="103" t="s">
        <v>386</v>
      </c>
      <c r="C2" s="81" t="s">
        <v>570</v>
      </c>
      <c r="D2" s="3"/>
      <c r="E2" s="1"/>
      <c r="F2" s="1"/>
      <c r="G2" s="1"/>
      <c r="Z2" s="247"/>
      <c r="AA2" s="397" t="s">
        <v>336</v>
      </c>
      <c r="AB2" s="398"/>
      <c r="AC2" s="398"/>
      <c r="AD2" s="346"/>
    </row>
    <row r="3" spans="2:49" ht="14.1" customHeight="1" x14ac:dyDescent="0.2">
      <c r="B3" s="82"/>
      <c r="C3" s="81"/>
      <c r="D3" s="3"/>
      <c r="E3" s="1"/>
      <c r="F3" s="1"/>
      <c r="G3" s="1"/>
      <c r="K3" s="288" t="s">
        <v>350</v>
      </c>
      <c r="L3" s="288"/>
      <c r="M3" s="288"/>
      <c r="N3" s="288"/>
      <c r="O3" s="288"/>
      <c r="P3" s="288"/>
      <c r="Q3" s="288"/>
      <c r="R3" s="288"/>
      <c r="S3" s="288"/>
      <c r="T3" s="288"/>
      <c r="U3" s="288"/>
      <c r="V3" s="288"/>
      <c r="W3" s="288"/>
      <c r="X3" s="288"/>
      <c r="Y3" s="288"/>
      <c r="Z3" s="347"/>
      <c r="AA3" s="49" t="s">
        <v>342</v>
      </c>
      <c r="AB3" s="45">
        <v>1060.53</v>
      </c>
      <c r="AC3" s="44" t="s">
        <v>337</v>
      </c>
      <c r="AD3" s="47">
        <v>13</v>
      </c>
    </row>
    <row r="4" spans="2:49" ht="14.1" customHeight="1" x14ac:dyDescent="0.2">
      <c r="B4" s="103" t="s">
        <v>388</v>
      </c>
      <c r="C4" s="81" t="s">
        <v>390</v>
      </c>
      <c r="D4" s="3"/>
      <c r="E4" s="1"/>
      <c r="F4" s="1"/>
      <c r="G4" s="1"/>
      <c r="K4" s="288"/>
      <c r="L4" s="288"/>
      <c r="M4" s="288"/>
      <c r="N4" s="288"/>
      <c r="O4" s="288"/>
      <c r="P4" s="288"/>
      <c r="Q4" s="288"/>
      <c r="R4" s="288"/>
      <c r="S4" s="288"/>
      <c r="T4" s="288"/>
      <c r="U4" s="288"/>
      <c r="V4" s="288"/>
      <c r="W4" s="288"/>
      <c r="X4" s="288"/>
      <c r="Y4" s="288"/>
      <c r="Z4" s="347"/>
      <c r="AA4" s="49" t="s">
        <v>341</v>
      </c>
      <c r="AB4" s="46">
        <v>0.153</v>
      </c>
      <c r="AC4" s="44" t="s">
        <v>338</v>
      </c>
      <c r="AD4" s="46">
        <v>0.77800000000000002</v>
      </c>
    </row>
    <row r="5" spans="2:49" ht="14.1" customHeight="1" x14ac:dyDescent="0.2">
      <c r="B5" s="83" t="s">
        <v>389</v>
      </c>
      <c r="C5" s="84" t="s">
        <v>571</v>
      </c>
      <c r="D5" s="7"/>
      <c r="E5" s="8"/>
      <c r="F5" s="8"/>
      <c r="G5" s="8"/>
      <c r="H5" s="248"/>
      <c r="I5" s="248"/>
      <c r="J5" s="248"/>
      <c r="K5" s="248"/>
      <c r="L5" s="248"/>
      <c r="M5" s="248"/>
      <c r="N5" s="248"/>
      <c r="O5" s="248"/>
      <c r="P5" s="248"/>
      <c r="Q5" s="248"/>
      <c r="R5" s="248"/>
      <c r="S5" s="248"/>
      <c r="T5" s="248"/>
      <c r="U5" s="248"/>
      <c r="V5" s="248"/>
      <c r="W5" s="248"/>
      <c r="X5" s="248"/>
      <c r="Y5" s="248"/>
      <c r="Z5" s="249"/>
      <c r="AA5" s="49" t="s">
        <v>340</v>
      </c>
      <c r="AB5" s="47">
        <v>5</v>
      </c>
      <c r="AC5" s="44" t="s">
        <v>339</v>
      </c>
      <c r="AD5" s="47">
        <v>24</v>
      </c>
    </row>
    <row r="7" spans="2:49" ht="15" customHeight="1" x14ac:dyDescent="0.25">
      <c r="B7" s="401" t="s">
        <v>286</v>
      </c>
      <c r="C7" s="399" t="s">
        <v>291</v>
      </c>
      <c r="D7" s="400"/>
      <c r="E7" s="400"/>
      <c r="F7" s="400"/>
      <c r="G7" s="400"/>
      <c r="H7" s="400"/>
      <c r="I7" s="345"/>
      <c r="J7" s="339" t="s">
        <v>116</v>
      </c>
      <c r="K7" s="353" t="s">
        <v>292</v>
      </c>
      <c r="L7" s="349"/>
      <c r="M7" s="339" t="s">
        <v>295</v>
      </c>
      <c r="N7" s="339" t="s">
        <v>296</v>
      </c>
      <c r="O7" s="339" t="s">
        <v>293</v>
      </c>
      <c r="P7" s="339" t="s">
        <v>294</v>
      </c>
      <c r="Q7" s="339" t="s">
        <v>298</v>
      </c>
      <c r="R7" s="339" t="s">
        <v>303</v>
      </c>
      <c r="S7" s="339" t="s">
        <v>297</v>
      </c>
      <c r="T7" s="353" t="s">
        <v>299</v>
      </c>
      <c r="U7" s="354"/>
      <c r="V7" s="349"/>
      <c r="W7" s="353" t="s">
        <v>310</v>
      </c>
      <c r="X7" s="354"/>
      <c r="Y7" s="354"/>
      <c r="Z7" s="349"/>
      <c r="AA7" s="393" t="s">
        <v>307</v>
      </c>
      <c r="AB7" s="394"/>
      <c r="AC7" s="339" t="s">
        <v>306</v>
      </c>
      <c r="AD7" s="339" t="s">
        <v>305</v>
      </c>
      <c r="AG7" s="353" t="s">
        <v>283</v>
      </c>
      <c r="AH7" s="354"/>
      <c r="AI7" s="354"/>
      <c r="AJ7" s="349"/>
      <c r="AK7" s="393" t="s">
        <v>315</v>
      </c>
      <c r="AL7" s="403"/>
      <c r="AM7" s="394"/>
      <c r="AN7" s="393" t="s">
        <v>316</v>
      </c>
      <c r="AO7" s="403"/>
      <c r="AP7" s="394"/>
      <c r="AQ7" s="353" t="s">
        <v>317</v>
      </c>
      <c r="AR7" s="354"/>
      <c r="AS7" s="349"/>
      <c r="AT7" s="339" t="s">
        <v>326</v>
      </c>
      <c r="AU7" s="353" t="s">
        <v>318</v>
      </c>
      <c r="AV7" s="354"/>
      <c r="AW7" s="349"/>
    </row>
    <row r="8" spans="2:49" ht="15" customHeight="1" x14ac:dyDescent="0.25">
      <c r="B8" s="402"/>
      <c r="C8" s="399" t="s">
        <v>280</v>
      </c>
      <c r="D8" s="400"/>
      <c r="E8" s="400"/>
      <c r="F8" s="345"/>
      <c r="G8" s="399" t="s">
        <v>281</v>
      </c>
      <c r="H8" s="400"/>
      <c r="I8" s="345"/>
      <c r="J8" s="363"/>
      <c r="K8" s="339" t="s">
        <v>284</v>
      </c>
      <c r="L8" s="339" t="s">
        <v>285</v>
      </c>
      <c r="M8" s="363"/>
      <c r="N8" s="363"/>
      <c r="O8" s="363"/>
      <c r="P8" s="363"/>
      <c r="Q8" s="363"/>
      <c r="R8" s="363"/>
      <c r="S8" s="363"/>
      <c r="T8" s="339" t="s">
        <v>304</v>
      </c>
      <c r="U8" s="353" t="s">
        <v>300</v>
      </c>
      <c r="V8" s="349"/>
      <c r="W8" s="339" t="s">
        <v>311</v>
      </c>
      <c r="X8" s="339" t="s">
        <v>312</v>
      </c>
      <c r="Y8" s="339" t="s">
        <v>313</v>
      </c>
      <c r="Z8" s="339" t="s">
        <v>314</v>
      </c>
      <c r="AA8" s="395"/>
      <c r="AB8" s="396"/>
      <c r="AC8" s="363"/>
      <c r="AD8" s="363"/>
      <c r="AG8" s="339" t="s">
        <v>281</v>
      </c>
      <c r="AH8" s="353" t="s">
        <v>280</v>
      </c>
      <c r="AI8" s="354"/>
      <c r="AJ8" s="349"/>
      <c r="AK8" s="395"/>
      <c r="AL8" s="404"/>
      <c r="AM8" s="396"/>
      <c r="AN8" s="395"/>
      <c r="AO8" s="404"/>
      <c r="AP8" s="396"/>
      <c r="AQ8" s="241" t="s">
        <v>321</v>
      </c>
      <c r="AR8" s="241" t="s">
        <v>322</v>
      </c>
      <c r="AS8" s="241" t="s">
        <v>323</v>
      </c>
      <c r="AT8" s="340"/>
      <c r="AU8" s="241" t="s">
        <v>327</v>
      </c>
      <c r="AV8" s="241" t="s">
        <v>328</v>
      </c>
      <c r="AW8" s="241" t="s">
        <v>329</v>
      </c>
    </row>
    <row r="9" spans="2:49" ht="15" customHeight="1" x14ac:dyDescent="0.25">
      <c r="B9" s="384"/>
      <c r="C9" s="13" t="s">
        <v>287</v>
      </c>
      <c r="D9" s="13" t="s">
        <v>289</v>
      </c>
      <c r="E9" s="13" t="s">
        <v>288</v>
      </c>
      <c r="F9" s="13" t="s">
        <v>290</v>
      </c>
      <c r="G9" s="13" t="s">
        <v>287</v>
      </c>
      <c r="H9" s="13" t="s">
        <v>288</v>
      </c>
      <c r="I9" s="13" t="s">
        <v>290</v>
      </c>
      <c r="J9" s="340"/>
      <c r="K9" s="340"/>
      <c r="L9" s="340"/>
      <c r="M9" s="340"/>
      <c r="N9" s="340"/>
      <c r="O9" s="340"/>
      <c r="P9" s="340"/>
      <c r="Q9" s="340"/>
      <c r="R9" s="340"/>
      <c r="S9" s="340"/>
      <c r="T9" s="340"/>
      <c r="U9" s="14" t="s">
        <v>301</v>
      </c>
      <c r="V9" s="14" t="s">
        <v>302</v>
      </c>
      <c r="W9" s="340"/>
      <c r="X9" s="340"/>
      <c r="Y9" s="340"/>
      <c r="Z9" s="340"/>
      <c r="AA9" s="14" t="s">
        <v>308</v>
      </c>
      <c r="AB9" s="14" t="s">
        <v>309</v>
      </c>
      <c r="AC9" s="340"/>
      <c r="AD9" s="340"/>
      <c r="AG9" s="340"/>
      <c r="AH9" s="14" t="s">
        <v>223</v>
      </c>
      <c r="AI9" s="14" t="s">
        <v>282</v>
      </c>
      <c r="AJ9" s="14" t="s">
        <v>224</v>
      </c>
      <c r="AK9" s="14" t="s">
        <v>223</v>
      </c>
      <c r="AL9" s="14" t="s">
        <v>282</v>
      </c>
      <c r="AM9" s="14" t="s">
        <v>224</v>
      </c>
      <c r="AN9" s="14" t="s">
        <v>223</v>
      </c>
      <c r="AO9" s="14" t="s">
        <v>282</v>
      </c>
      <c r="AP9" s="14" t="s">
        <v>224</v>
      </c>
      <c r="AQ9" s="242" t="s">
        <v>320</v>
      </c>
      <c r="AR9" s="242" t="s">
        <v>324</v>
      </c>
      <c r="AS9" s="242" t="s">
        <v>325</v>
      </c>
      <c r="AT9" s="14" t="s">
        <v>319</v>
      </c>
      <c r="AU9" s="242" t="s">
        <v>320</v>
      </c>
      <c r="AV9" s="242" t="s">
        <v>324</v>
      </c>
      <c r="AW9" s="242" t="s">
        <v>325</v>
      </c>
    </row>
    <row r="10" spans="2:49" ht="5.0999999999999996" customHeight="1" x14ac:dyDescent="0.25"/>
    <row r="11" spans="2:49" ht="14.1" hidden="1" customHeight="1" x14ac:dyDescent="0.25">
      <c r="B11" s="121">
        <v>1</v>
      </c>
      <c r="C11" s="112">
        <v>405.17700000000002</v>
      </c>
      <c r="D11" s="127"/>
      <c r="E11" s="112">
        <v>403.67700000000002</v>
      </c>
      <c r="F11" s="95">
        <v>1.5</v>
      </c>
      <c r="G11" s="112">
        <v>405.077</v>
      </c>
      <c r="H11" s="112">
        <v>403.46283</v>
      </c>
      <c r="I11" s="95">
        <v>1.6141700000000014</v>
      </c>
      <c r="J11" s="95">
        <v>71.39</v>
      </c>
      <c r="K11" s="95">
        <v>2.4026000000000001</v>
      </c>
      <c r="L11" s="95">
        <v>0.6</v>
      </c>
      <c r="M11" s="95">
        <v>2.4026000000000001</v>
      </c>
      <c r="N11" s="95">
        <v>0.85553680563668799</v>
      </c>
      <c r="O11" s="95">
        <v>15</v>
      </c>
      <c r="P11" s="95">
        <v>101.5258000467022</v>
      </c>
      <c r="Q11" s="95">
        <v>0.47581283640599359</v>
      </c>
      <c r="R11" s="95">
        <v>275.84491768828042</v>
      </c>
      <c r="S11" s="95">
        <v>275.84491768828042</v>
      </c>
      <c r="T11" s="95">
        <v>0.14007564084608873</v>
      </c>
      <c r="U11" s="95">
        <v>0.3</v>
      </c>
      <c r="V11" s="95">
        <v>0.23218743610925818</v>
      </c>
      <c r="W11" s="94" t="s">
        <v>224</v>
      </c>
      <c r="X11" s="112">
        <v>1.4999999999999999E-2</v>
      </c>
      <c r="Y11" s="121">
        <v>1</v>
      </c>
      <c r="Z11" s="95">
        <v>0.6</v>
      </c>
      <c r="AA11" s="95">
        <v>0.46325150642144136</v>
      </c>
      <c r="AB11" s="95">
        <v>0.34092236943157211</v>
      </c>
      <c r="AC11" s="95">
        <v>1.1775817838062772</v>
      </c>
      <c r="AD11" s="95">
        <v>16.010403990360189</v>
      </c>
      <c r="AF11" s="39">
        <v>1</v>
      </c>
      <c r="AG11" s="250">
        <v>2</v>
      </c>
      <c r="AH11" s="250">
        <v>0</v>
      </c>
      <c r="AI11" s="250">
        <v>0</v>
      </c>
      <c r="AJ11" s="250">
        <v>0</v>
      </c>
      <c r="AK11" s="251">
        <v>10000</v>
      </c>
      <c r="AL11" s="251">
        <v>10000</v>
      </c>
      <c r="AM11" s="251">
        <v>10000</v>
      </c>
      <c r="AN11" s="251">
        <v>15</v>
      </c>
      <c r="AO11" s="251">
        <v>15</v>
      </c>
      <c r="AP11" s="251">
        <v>15</v>
      </c>
      <c r="AQ11" s="251">
        <v>0.37968376991359171</v>
      </c>
      <c r="AR11" s="251">
        <v>0.46325150642144136</v>
      </c>
      <c r="AS11" s="251">
        <v>0.39997735438199905</v>
      </c>
      <c r="AT11" s="251">
        <v>650.68591668491558</v>
      </c>
      <c r="AU11" s="251">
        <v>0.33754334411738723</v>
      </c>
      <c r="AV11" s="251">
        <v>0.34092236943157211</v>
      </c>
      <c r="AW11" s="251">
        <v>0.4800631922723122</v>
      </c>
    </row>
    <row r="12" spans="2:49" ht="14.1" hidden="1" customHeight="1" x14ac:dyDescent="0.25">
      <c r="B12" s="122">
        <v>2</v>
      </c>
      <c r="C12" s="123">
        <v>405.077</v>
      </c>
      <c r="D12" s="128"/>
      <c r="E12" s="123">
        <v>403.46283</v>
      </c>
      <c r="F12" s="64">
        <v>1.6141700000000014</v>
      </c>
      <c r="G12" s="123">
        <v>405.05399999999997</v>
      </c>
      <c r="H12" s="123">
        <v>403.10532999999998</v>
      </c>
      <c r="I12" s="64">
        <v>1.9486699999999928</v>
      </c>
      <c r="J12" s="64">
        <v>71.5</v>
      </c>
      <c r="K12" s="64">
        <v>1.1729000000000001</v>
      </c>
      <c r="L12" s="64">
        <v>0.6</v>
      </c>
      <c r="M12" s="64">
        <v>3.5754999999999999</v>
      </c>
      <c r="N12" s="64">
        <v>0.79708759947635999</v>
      </c>
      <c r="O12" s="64">
        <v>16.010403990360189</v>
      </c>
      <c r="P12" s="64">
        <v>98.763968123258678</v>
      </c>
      <c r="Q12" s="64">
        <v>0.481815242177764</v>
      </c>
      <c r="R12" s="64">
        <v>123.58858098311073</v>
      </c>
      <c r="S12" s="64">
        <v>399.43349867139113</v>
      </c>
      <c r="T12" s="64">
        <v>3.2167832167866513E-2</v>
      </c>
      <c r="U12" s="64">
        <v>0.5</v>
      </c>
      <c r="V12" s="64">
        <v>0.486852843941043</v>
      </c>
      <c r="W12" s="66" t="s">
        <v>224</v>
      </c>
      <c r="X12" s="123">
        <v>1.4999999999999999E-2</v>
      </c>
      <c r="Y12" s="122">
        <v>1</v>
      </c>
      <c r="Z12" s="64">
        <v>0.6</v>
      </c>
      <c r="AA12" s="64">
        <v>0.53743240453549235</v>
      </c>
      <c r="AB12" s="64">
        <v>0.41266880560783681</v>
      </c>
      <c r="AC12" s="64">
        <v>1.495472393306966</v>
      </c>
      <c r="AD12" s="64">
        <v>16.807253649370953</v>
      </c>
      <c r="AF12" s="39">
        <v>2</v>
      </c>
      <c r="AG12" s="252">
        <v>3</v>
      </c>
      <c r="AH12" s="252">
        <v>1</v>
      </c>
      <c r="AI12" s="252">
        <v>0</v>
      </c>
      <c r="AJ12" s="252">
        <v>0</v>
      </c>
      <c r="AK12" s="253">
        <v>403.46283</v>
      </c>
      <c r="AL12" s="253">
        <v>10000</v>
      </c>
      <c r="AM12" s="253">
        <v>10000</v>
      </c>
      <c r="AN12" s="253">
        <v>16.010403990360189</v>
      </c>
      <c r="AO12" s="253">
        <v>15</v>
      </c>
      <c r="AP12" s="253">
        <v>15</v>
      </c>
      <c r="AQ12" s="253">
        <v>0.40128433113660184</v>
      </c>
      <c r="AR12" s="253">
        <v>0.50568776253556047</v>
      </c>
      <c r="AS12" s="253">
        <v>0.53743240453549235</v>
      </c>
      <c r="AT12" s="253">
        <v>741.93111238642052</v>
      </c>
      <c r="AU12" s="253">
        <v>0.40779287943102988</v>
      </c>
      <c r="AV12" s="253">
        <v>0.41266880560783681</v>
      </c>
      <c r="AW12" s="253">
        <v>0.5387823722595565</v>
      </c>
    </row>
    <row r="13" spans="2:49" ht="14.1" hidden="1" customHeight="1" x14ac:dyDescent="0.25">
      <c r="B13" s="122">
        <v>3</v>
      </c>
      <c r="C13" s="123">
        <v>405.05399999999997</v>
      </c>
      <c r="D13" s="128"/>
      <c r="E13" s="123">
        <v>403.10532999999998</v>
      </c>
      <c r="F13" s="64">
        <v>1.9486699999999928</v>
      </c>
      <c r="G13" s="123">
        <v>405.07</v>
      </c>
      <c r="H13" s="123">
        <v>402.88959999999997</v>
      </c>
      <c r="I13" s="64">
        <v>2.1804000000000201</v>
      </c>
      <c r="J13" s="64">
        <v>71.91</v>
      </c>
      <c r="K13" s="64">
        <v>1.1687000000000001</v>
      </c>
      <c r="L13" s="64">
        <v>0.6</v>
      </c>
      <c r="M13" s="64">
        <v>4.7442000000000002</v>
      </c>
      <c r="N13" s="64">
        <v>0.75795424205841577</v>
      </c>
      <c r="O13" s="64">
        <v>16.807253649370953</v>
      </c>
      <c r="P13" s="64">
        <v>96.703653335460174</v>
      </c>
      <c r="Q13" s="64">
        <v>0.48625058810649829</v>
      </c>
      <c r="R13" s="64">
        <v>115.71277115208882</v>
      </c>
      <c r="S13" s="64">
        <v>515.14626982348</v>
      </c>
      <c r="T13" s="64">
        <v>-2.2250034765706514E-2</v>
      </c>
      <c r="U13" s="64">
        <v>0.3</v>
      </c>
      <c r="V13" s="64">
        <v>0.17459424842647642</v>
      </c>
      <c r="W13" s="66" t="s">
        <v>224</v>
      </c>
      <c r="X13" s="123">
        <v>1.4999999999999999E-2</v>
      </c>
      <c r="Y13" s="122">
        <v>1</v>
      </c>
      <c r="Z13" s="64">
        <v>0.8</v>
      </c>
      <c r="AA13" s="64">
        <v>0.55587601821351784</v>
      </c>
      <c r="AB13" s="64">
        <v>0.43291900851360476</v>
      </c>
      <c r="AC13" s="64">
        <v>1.3818450376452189</v>
      </c>
      <c r="AD13" s="64">
        <v>17.674572319228716</v>
      </c>
      <c r="AF13" s="39">
        <v>3</v>
      </c>
      <c r="AG13" s="252">
        <v>4</v>
      </c>
      <c r="AH13" s="252">
        <v>2</v>
      </c>
      <c r="AI13" s="252">
        <v>0</v>
      </c>
      <c r="AJ13" s="252">
        <v>0</v>
      </c>
      <c r="AK13" s="253">
        <v>403.10532999999998</v>
      </c>
      <c r="AL13" s="253">
        <v>10000</v>
      </c>
      <c r="AM13" s="253">
        <v>10000</v>
      </c>
      <c r="AN13" s="253">
        <v>16.807253649370953</v>
      </c>
      <c r="AO13" s="253">
        <v>15</v>
      </c>
      <c r="AP13" s="253">
        <v>15</v>
      </c>
      <c r="AQ13" s="253">
        <v>0.47267703123734073</v>
      </c>
      <c r="AR13" s="253">
        <v>0.55587601821351784</v>
      </c>
      <c r="AS13" s="253">
        <v>0.36967318512042696</v>
      </c>
      <c r="AT13" s="253">
        <v>582.49371287740951</v>
      </c>
      <c r="AU13" s="253">
        <v>0.42882671626435276</v>
      </c>
      <c r="AV13" s="253">
        <v>0.43291900851360476</v>
      </c>
      <c r="AW13" s="253">
        <v>0.54731887670622004</v>
      </c>
    </row>
    <row r="14" spans="2:49" ht="14.1" hidden="1" customHeight="1" x14ac:dyDescent="0.25">
      <c r="B14" s="122">
        <v>4</v>
      </c>
      <c r="C14" s="123">
        <v>405.07</v>
      </c>
      <c r="D14" s="128"/>
      <c r="E14" s="123">
        <v>402.88959999999997</v>
      </c>
      <c r="F14" s="64">
        <v>2.1804000000000201</v>
      </c>
      <c r="G14" s="123">
        <v>404.92700000000002</v>
      </c>
      <c r="H14" s="123">
        <v>402.67107999999996</v>
      </c>
      <c r="I14" s="64">
        <v>2.2559200000000601</v>
      </c>
      <c r="J14" s="64">
        <v>72.84</v>
      </c>
      <c r="K14" s="64">
        <v>1.1854</v>
      </c>
      <c r="L14" s="64">
        <v>0.6</v>
      </c>
      <c r="M14" s="64">
        <v>5.9296000000000006</v>
      </c>
      <c r="N14" s="64">
        <v>0.72845290442098465</v>
      </c>
      <c r="O14" s="64">
        <v>17.674572319228716</v>
      </c>
      <c r="P14" s="64">
        <v>94.569628552613992</v>
      </c>
      <c r="Q14" s="64">
        <v>0.49081044149178044</v>
      </c>
      <c r="R14" s="64">
        <v>111.34330801770776</v>
      </c>
      <c r="S14" s="64">
        <v>626.48957784118772</v>
      </c>
      <c r="T14" s="64">
        <v>0.19632070291045065</v>
      </c>
      <c r="U14" s="64">
        <v>0.3</v>
      </c>
      <c r="V14" s="64">
        <v>0.25822394697443923</v>
      </c>
      <c r="W14" s="66" t="s">
        <v>224</v>
      </c>
      <c r="X14" s="123">
        <v>1.4999999999999999E-2</v>
      </c>
      <c r="Y14" s="122">
        <v>1</v>
      </c>
      <c r="Z14" s="64">
        <v>0.8</v>
      </c>
      <c r="AA14" s="64">
        <v>0.64305534040033785</v>
      </c>
      <c r="AB14" s="64">
        <v>0.47890518052685599</v>
      </c>
      <c r="AC14" s="64">
        <v>1.44673799953226</v>
      </c>
      <c r="AD14" s="64">
        <v>18.513701449999107</v>
      </c>
      <c r="AF14" s="39">
        <v>4</v>
      </c>
      <c r="AG14" s="252">
        <v>5</v>
      </c>
      <c r="AH14" s="252">
        <v>3</v>
      </c>
      <c r="AI14" s="252">
        <v>0</v>
      </c>
      <c r="AJ14" s="252">
        <v>0</v>
      </c>
      <c r="AK14" s="253">
        <v>402.88959999999997</v>
      </c>
      <c r="AL14" s="253">
        <v>10000</v>
      </c>
      <c r="AM14" s="253">
        <v>10000</v>
      </c>
      <c r="AN14" s="253">
        <v>17.674572319228716</v>
      </c>
      <c r="AO14" s="253">
        <v>15</v>
      </c>
      <c r="AP14" s="253">
        <v>15</v>
      </c>
      <c r="AQ14" s="253">
        <v>0.51942930214438077</v>
      </c>
      <c r="AR14" s="253">
        <v>0.64305534040033785</v>
      </c>
      <c r="AS14" s="253">
        <v>0.61137825896975695</v>
      </c>
      <c r="AT14" s="253">
        <v>676.6186867928659</v>
      </c>
      <c r="AU14" s="253">
        <v>0.47389573618228076</v>
      </c>
      <c r="AV14" s="253">
        <v>0.47890518052685599</v>
      </c>
      <c r="AW14" s="253">
        <v>0.58174106117996993</v>
      </c>
    </row>
    <row r="15" spans="2:49" ht="14.1" customHeight="1" x14ac:dyDescent="0.25">
      <c r="B15" s="122">
        <v>5</v>
      </c>
      <c r="C15" s="123">
        <v>404.92700000000002</v>
      </c>
      <c r="D15" s="128"/>
      <c r="E15" s="123">
        <v>402.67107999999996</v>
      </c>
      <c r="F15" s="64">
        <v>2.2559200000000601</v>
      </c>
      <c r="G15" s="123">
        <v>404.64400000000001</v>
      </c>
      <c r="H15" s="123">
        <v>402.37182999999999</v>
      </c>
      <c r="I15" s="64">
        <v>2.2721700000000169</v>
      </c>
      <c r="J15" s="64">
        <v>85.5</v>
      </c>
      <c r="K15" s="64">
        <v>1.2024999999999999</v>
      </c>
      <c r="L15" s="64">
        <v>0.6</v>
      </c>
      <c r="M15" s="64">
        <v>7.1321000000000003</v>
      </c>
      <c r="N15" s="64">
        <v>0.70489965588625869</v>
      </c>
      <c r="O15" s="64">
        <v>18.513701449999107</v>
      </c>
      <c r="P15" s="64">
        <v>92.604656040453008</v>
      </c>
      <c r="Q15" s="64">
        <v>0.4949814847195686</v>
      </c>
      <c r="R15" s="64">
        <v>107.93602050319483</v>
      </c>
      <c r="S15" s="64">
        <v>734.42559834438259</v>
      </c>
      <c r="T15" s="64">
        <v>0.33099415204680172</v>
      </c>
      <c r="U15" s="64">
        <v>0.35</v>
      </c>
      <c r="V15" s="64">
        <v>0.35486602797906286</v>
      </c>
      <c r="W15" s="66" t="s">
        <v>224</v>
      </c>
      <c r="X15" s="123">
        <v>1.4999999999999999E-2</v>
      </c>
      <c r="Y15" s="122">
        <v>1</v>
      </c>
      <c r="Z15" s="64">
        <v>0.8</v>
      </c>
      <c r="AA15" s="64">
        <v>0.75469185866492527</v>
      </c>
      <c r="AB15" s="64">
        <v>0.51983336701306238</v>
      </c>
      <c r="AC15" s="64">
        <v>1.4947068487679203</v>
      </c>
      <c r="AD15" s="64">
        <v>19.467065650594442</v>
      </c>
      <c r="AF15" s="39">
        <v>5</v>
      </c>
      <c r="AG15" s="252">
        <v>8</v>
      </c>
      <c r="AH15" s="252">
        <v>4</v>
      </c>
      <c r="AI15" s="252">
        <v>0</v>
      </c>
      <c r="AJ15" s="252">
        <v>0</v>
      </c>
      <c r="AK15" s="253">
        <v>402.67107999999996</v>
      </c>
      <c r="AL15" s="253">
        <v>10000</v>
      </c>
      <c r="AM15" s="253">
        <v>10000</v>
      </c>
      <c r="AN15" s="253">
        <v>18.513701449999107</v>
      </c>
      <c r="AO15" s="253">
        <v>15</v>
      </c>
      <c r="AP15" s="253">
        <v>15</v>
      </c>
      <c r="AQ15" s="253">
        <v>0.54033939924364804</v>
      </c>
      <c r="AR15" s="253">
        <v>0.68491050937072506</v>
      </c>
      <c r="AS15" s="253">
        <v>0.75469185866492527</v>
      </c>
      <c r="AT15" s="253">
        <v>767.73582616484919</v>
      </c>
      <c r="AU15" s="253">
        <v>0.51397079504971344</v>
      </c>
      <c r="AV15" s="253">
        <v>0.51983336701306238</v>
      </c>
      <c r="AW15" s="253">
        <v>0.6112904382352401</v>
      </c>
    </row>
    <row r="16" spans="2:49" ht="14.1" hidden="1" customHeight="1" x14ac:dyDescent="0.25">
      <c r="B16" s="122">
        <v>6</v>
      </c>
      <c r="C16" s="123">
        <v>404.92</v>
      </c>
      <c r="D16" s="128"/>
      <c r="E16" s="123">
        <v>403.32</v>
      </c>
      <c r="F16" s="64">
        <v>1.6000000000000227</v>
      </c>
      <c r="G16" s="123">
        <v>404.94200000000001</v>
      </c>
      <c r="H16" s="123">
        <v>403.07238000000001</v>
      </c>
      <c r="I16" s="64">
        <v>1.8696199999999976</v>
      </c>
      <c r="J16" s="64">
        <v>82.54</v>
      </c>
      <c r="K16" s="64">
        <v>4.1776</v>
      </c>
      <c r="L16" s="64">
        <v>0.6</v>
      </c>
      <c r="M16" s="64">
        <v>4.1776</v>
      </c>
      <c r="N16" s="64">
        <v>0.77530934721414047</v>
      </c>
      <c r="O16" s="64">
        <v>15</v>
      </c>
      <c r="P16" s="64">
        <v>101.5258000467022</v>
      </c>
      <c r="Q16" s="64">
        <v>0.47581283640599359</v>
      </c>
      <c r="R16" s="64">
        <v>434.65701231984025</v>
      </c>
      <c r="S16" s="64">
        <v>434.65701231984025</v>
      </c>
      <c r="T16" s="64">
        <v>-2.665374363943707E-2</v>
      </c>
      <c r="U16" s="64">
        <v>0.3</v>
      </c>
      <c r="V16" s="64">
        <v>0.12429744309999941</v>
      </c>
      <c r="W16" s="66" t="s">
        <v>224</v>
      </c>
      <c r="X16" s="123">
        <v>1.4999999999999999E-2</v>
      </c>
      <c r="Y16" s="122">
        <v>1</v>
      </c>
      <c r="Z16" s="64">
        <v>0.8</v>
      </c>
      <c r="AA16" s="64">
        <v>0.49285472813857439</v>
      </c>
      <c r="AB16" s="64">
        <v>0.39658981540443344</v>
      </c>
      <c r="AC16" s="64">
        <v>1.3376591772877542</v>
      </c>
      <c r="AD16" s="64">
        <v>16.028413432976237</v>
      </c>
      <c r="AF16" s="39">
        <v>6</v>
      </c>
      <c r="AG16" s="252">
        <v>7</v>
      </c>
      <c r="AH16" s="252">
        <v>0</v>
      </c>
      <c r="AI16" s="252">
        <v>0</v>
      </c>
      <c r="AJ16" s="252">
        <v>0</v>
      </c>
      <c r="AK16" s="253">
        <v>10000</v>
      </c>
      <c r="AL16" s="253">
        <v>10000</v>
      </c>
      <c r="AM16" s="253">
        <v>10000</v>
      </c>
      <c r="AN16" s="253">
        <v>15</v>
      </c>
      <c r="AO16" s="253">
        <v>15</v>
      </c>
      <c r="AP16" s="253">
        <v>15</v>
      </c>
      <c r="AQ16" s="253">
        <v>0.43551254991315502</v>
      </c>
      <c r="AR16" s="253">
        <v>0.49285472813857439</v>
      </c>
      <c r="AS16" s="253">
        <v>0.2388469073676692</v>
      </c>
      <c r="AT16" s="253">
        <v>507.71645967906574</v>
      </c>
      <c r="AU16" s="253">
        <v>0.39318814282763609</v>
      </c>
      <c r="AV16" s="253">
        <v>0.39658981540443344</v>
      </c>
      <c r="AW16" s="253">
        <v>0.51908920218077637</v>
      </c>
    </row>
    <row r="17" spans="2:49" ht="14.1" customHeight="1" x14ac:dyDescent="0.25">
      <c r="B17" s="122">
        <v>7</v>
      </c>
      <c r="C17" s="123">
        <v>404.94200000000001</v>
      </c>
      <c r="D17" s="128"/>
      <c r="E17" s="123">
        <v>403.07238000000001</v>
      </c>
      <c r="F17" s="64">
        <v>1.8696199999999976</v>
      </c>
      <c r="G17" s="123">
        <v>404.64400000000001</v>
      </c>
      <c r="H17" s="123">
        <v>402.82476000000003</v>
      </c>
      <c r="I17" s="64">
        <v>1.8192399999999793</v>
      </c>
      <c r="J17" s="64">
        <v>82.54</v>
      </c>
      <c r="K17" s="64">
        <v>0.85809999999999997</v>
      </c>
      <c r="L17" s="64">
        <v>0.6</v>
      </c>
      <c r="M17" s="64">
        <v>5.0357000000000003</v>
      </c>
      <c r="N17" s="64">
        <v>0.74995179135513013</v>
      </c>
      <c r="O17" s="64">
        <v>16.028413432976237</v>
      </c>
      <c r="P17" s="64">
        <v>98.716293747637337</v>
      </c>
      <c r="Q17" s="64">
        <v>0.48191826525637488</v>
      </c>
      <c r="R17" s="64">
        <v>85.048315985841484</v>
      </c>
      <c r="S17" s="64">
        <v>519.70532830568175</v>
      </c>
      <c r="T17" s="64">
        <v>0.36103707293433701</v>
      </c>
      <c r="U17" s="64">
        <v>0.3</v>
      </c>
      <c r="V17" s="64">
        <v>0.17769825085151739</v>
      </c>
      <c r="W17" s="66" t="s">
        <v>224</v>
      </c>
      <c r="X17" s="123">
        <v>1.4999999999999999E-2</v>
      </c>
      <c r="Y17" s="122">
        <v>1</v>
      </c>
      <c r="Z17" s="64">
        <v>0.8</v>
      </c>
      <c r="AA17" s="64">
        <v>0.55944565913190336</v>
      </c>
      <c r="AB17" s="64">
        <v>0.43489138367580327</v>
      </c>
      <c r="AC17" s="64">
        <v>1.3843286068267675</v>
      </c>
      <c r="AD17" s="64">
        <v>17.022156291342824</v>
      </c>
      <c r="AF17" s="39">
        <v>7</v>
      </c>
      <c r="AG17" s="252">
        <v>8</v>
      </c>
      <c r="AH17" s="252">
        <v>6</v>
      </c>
      <c r="AI17" s="252">
        <v>0</v>
      </c>
      <c r="AJ17" s="252">
        <v>0</v>
      </c>
      <c r="AK17" s="253">
        <v>403.07238000000001</v>
      </c>
      <c r="AL17" s="253">
        <v>10000</v>
      </c>
      <c r="AM17" s="253">
        <v>10000</v>
      </c>
      <c r="AN17" s="253">
        <v>16.028413432976237</v>
      </c>
      <c r="AO17" s="253">
        <v>15</v>
      </c>
      <c r="AP17" s="253">
        <v>15</v>
      </c>
      <c r="AQ17" s="253">
        <v>0.47468873473371254</v>
      </c>
      <c r="AR17" s="253">
        <v>0.55944565913190336</v>
      </c>
      <c r="AS17" s="253">
        <v>0.37814308571430177</v>
      </c>
      <c r="AT17" s="253">
        <v>586.59452060232172</v>
      </c>
      <c r="AU17" s="253">
        <v>0.4307607100643594</v>
      </c>
      <c r="AV17" s="253">
        <v>0.43489138367580327</v>
      </c>
      <c r="AW17" s="253">
        <v>0.54882410937975079</v>
      </c>
    </row>
    <row r="18" spans="2:49" ht="14.1" customHeight="1" x14ac:dyDescent="0.25">
      <c r="B18" s="122">
        <v>8</v>
      </c>
      <c r="C18" s="123">
        <v>404.64400000000001</v>
      </c>
      <c r="D18" s="128"/>
      <c r="E18" s="123">
        <v>402.37182999999999</v>
      </c>
      <c r="F18" s="64">
        <v>2.2721700000000169</v>
      </c>
      <c r="G18" s="123">
        <v>404.23</v>
      </c>
      <c r="H18" s="123">
        <v>402.072405</v>
      </c>
      <c r="I18" s="64">
        <v>2.1575950000000148</v>
      </c>
      <c r="J18" s="64">
        <v>85.55</v>
      </c>
      <c r="K18" s="64">
        <v>1.0761000000000001</v>
      </c>
      <c r="L18" s="64">
        <v>0.6</v>
      </c>
      <c r="M18" s="64">
        <v>13.2439</v>
      </c>
      <c r="N18" s="64">
        <v>0.63136597133885297</v>
      </c>
      <c r="O18" s="64">
        <v>19.467065650594442</v>
      </c>
      <c r="P18" s="64">
        <v>90.482102674032518</v>
      </c>
      <c r="Q18" s="64">
        <v>0.49946069861924308</v>
      </c>
      <c r="R18" s="64">
        <v>85.296271701514883</v>
      </c>
      <c r="S18" s="64">
        <v>1339.4271983515791</v>
      </c>
      <c r="T18" s="64">
        <v>0.48392752776152809</v>
      </c>
      <c r="U18" s="64">
        <v>0.35</v>
      </c>
      <c r="V18" s="64">
        <v>0.35904893110566333</v>
      </c>
      <c r="W18" s="66" t="s">
        <v>224</v>
      </c>
      <c r="X18" s="123">
        <v>1.4999999999999999E-2</v>
      </c>
      <c r="Y18" s="122">
        <v>1</v>
      </c>
      <c r="Z18" s="64">
        <v>1</v>
      </c>
      <c r="AA18" s="64">
        <v>0.95768318231773786</v>
      </c>
      <c r="AB18" s="64">
        <v>0.66439203816951953</v>
      </c>
      <c r="AC18" s="64">
        <v>1.7306603520836101</v>
      </c>
      <c r="AD18" s="64">
        <v>20.290932292952498</v>
      </c>
      <c r="AF18" s="39">
        <v>8</v>
      </c>
      <c r="AG18" s="252">
        <v>9</v>
      </c>
      <c r="AH18" s="252">
        <v>5</v>
      </c>
      <c r="AI18" s="252">
        <v>7</v>
      </c>
      <c r="AJ18" s="252">
        <v>0</v>
      </c>
      <c r="AK18" s="253">
        <v>402.37182999999999</v>
      </c>
      <c r="AL18" s="253">
        <v>402.82476000000003</v>
      </c>
      <c r="AM18" s="253">
        <v>10000</v>
      </c>
      <c r="AN18" s="253">
        <v>19.467065650594442</v>
      </c>
      <c r="AO18" s="253">
        <v>17.022156291342824</v>
      </c>
      <c r="AP18" s="253">
        <v>15</v>
      </c>
      <c r="AQ18" s="253">
        <v>0.67738480782717658</v>
      </c>
      <c r="AR18" s="253">
        <v>0.86004873324447018</v>
      </c>
      <c r="AS18" s="253">
        <v>0.95768318231773786</v>
      </c>
      <c r="AT18" s="253">
        <v>773.93995692972919</v>
      </c>
      <c r="AU18" s="253">
        <v>0.65673747273388194</v>
      </c>
      <c r="AV18" s="253">
        <v>0.66439203816951953</v>
      </c>
      <c r="AW18" s="253">
        <v>0.70173840655663733</v>
      </c>
    </row>
    <row r="19" spans="2:49" ht="14.1" hidden="1" customHeight="1" x14ac:dyDescent="0.25">
      <c r="B19" s="122">
        <v>9</v>
      </c>
      <c r="C19" s="123">
        <v>404.23</v>
      </c>
      <c r="D19" s="128"/>
      <c r="E19" s="123">
        <v>402.072405</v>
      </c>
      <c r="F19" s="64">
        <v>2.1575950000000148</v>
      </c>
      <c r="G19" s="123">
        <v>403.62200000000001</v>
      </c>
      <c r="H19" s="123">
        <v>401.68743000000001</v>
      </c>
      <c r="I19" s="64">
        <v>1.9345700000000079</v>
      </c>
      <c r="J19" s="64">
        <v>85.55</v>
      </c>
      <c r="K19" s="64">
        <v>0.51219999999999999</v>
      </c>
      <c r="L19" s="64">
        <v>0.6</v>
      </c>
      <c r="M19" s="64">
        <v>13.7561</v>
      </c>
      <c r="N19" s="64">
        <v>0.62711592915661019</v>
      </c>
      <c r="O19" s="64">
        <v>20.290932292952498</v>
      </c>
      <c r="P19" s="64">
        <v>88.735167611001998</v>
      </c>
      <c r="Q19" s="64">
        <v>0.50312919588578831</v>
      </c>
      <c r="R19" s="64">
        <v>39.837762792989729</v>
      </c>
      <c r="S19" s="64">
        <v>1379.2649611445688</v>
      </c>
      <c r="T19" s="64">
        <v>0.71069549970777801</v>
      </c>
      <c r="U19" s="64">
        <v>0.45</v>
      </c>
      <c r="V19" s="64">
        <v>0.38072449414033155</v>
      </c>
      <c r="W19" s="66" t="s">
        <v>224</v>
      </c>
      <c r="X19" s="123">
        <v>1.4999999999999999E-2</v>
      </c>
      <c r="Y19" s="122">
        <v>1</v>
      </c>
      <c r="Z19" s="64">
        <v>1</v>
      </c>
      <c r="AA19" s="64">
        <v>0.79856365371695892</v>
      </c>
      <c r="AB19" s="64">
        <v>0.6745142031845387</v>
      </c>
      <c r="AC19" s="64">
        <v>2.0511842196701822</v>
      </c>
      <c r="AD19" s="64">
        <v>20.986059195577848</v>
      </c>
      <c r="AF19" s="39">
        <v>9</v>
      </c>
      <c r="AG19" s="252">
        <v>12</v>
      </c>
      <c r="AH19" s="252">
        <v>8</v>
      </c>
      <c r="AI19" s="252">
        <v>0</v>
      </c>
      <c r="AJ19" s="252">
        <v>0</v>
      </c>
      <c r="AK19" s="253">
        <v>402.072405</v>
      </c>
      <c r="AL19" s="253">
        <v>10000</v>
      </c>
      <c r="AM19" s="253">
        <v>10000</v>
      </c>
      <c r="AN19" s="253">
        <v>20.290932292952498</v>
      </c>
      <c r="AO19" s="253">
        <v>15</v>
      </c>
      <c r="AP19" s="253">
        <v>15</v>
      </c>
      <c r="AQ19" s="253">
        <v>0.64664632758243246</v>
      </c>
      <c r="AR19" s="253">
        <v>0.79856365371695892</v>
      </c>
      <c r="AS19" s="253">
        <v>0.74764670353836038</v>
      </c>
      <c r="AT19" s="253">
        <v>672.42373840334346</v>
      </c>
      <c r="AU19" s="253">
        <v>0.66664141143539024</v>
      </c>
      <c r="AV19" s="253">
        <v>0.6745142031845387</v>
      </c>
      <c r="AW19" s="253">
        <v>0.70817851675154586</v>
      </c>
    </row>
    <row r="20" spans="2:49" ht="14.1" hidden="1" customHeight="1" x14ac:dyDescent="0.25">
      <c r="B20" s="122">
        <v>10</v>
      </c>
      <c r="C20" s="123">
        <v>404.19799999999998</v>
      </c>
      <c r="D20" s="128"/>
      <c r="E20" s="123">
        <v>402.69799999999998</v>
      </c>
      <c r="F20" s="64">
        <v>1.5</v>
      </c>
      <c r="G20" s="123">
        <v>403.74099999999999</v>
      </c>
      <c r="H20" s="123">
        <v>402.22714999999999</v>
      </c>
      <c r="I20" s="64">
        <v>1.5138499999999908</v>
      </c>
      <c r="J20" s="64">
        <v>62.78</v>
      </c>
      <c r="K20" s="64">
        <v>4.867</v>
      </c>
      <c r="L20" s="64">
        <v>0.6</v>
      </c>
      <c r="M20" s="64">
        <v>4.867</v>
      </c>
      <c r="N20" s="64">
        <v>0.75451430898877869</v>
      </c>
      <c r="O20" s="64">
        <v>15</v>
      </c>
      <c r="P20" s="64">
        <v>101.5258000467022</v>
      </c>
      <c r="Q20" s="64">
        <v>0.47581283640599359</v>
      </c>
      <c r="R20" s="64">
        <v>492.80334011328847</v>
      </c>
      <c r="S20" s="64">
        <v>492.80334011328847</v>
      </c>
      <c r="T20" s="64">
        <v>0.72793883402356419</v>
      </c>
      <c r="U20" s="64">
        <v>0.75</v>
      </c>
      <c r="V20" s="64">
        <v>0.74106453188272658</v>
      </c>
      <c r="W20" s="66" t="s">
        <v>224</v>
      </c>
      <c r="X20" s="123">
        <v>1.4999999999999999E-2</v>
      </c>
      <c r="Y20" s="122">
        <v>1</v>
      </c>
      <c r="Z20" s="64">
        <v>0.6</v>
      </c>
      <c r="AA20" s="64">
        <v>0.54776811262809955</v>
      </c>
      <c r="AB20" s="64">
        <v>0.45990355199703614</v>
      </c>
      <c r="AC20" s="64">
        <v>1.8201968757284472</v>
      </c>
      <c r="AD20" s="64">
        <v>15.574846241791613</v>
      </c>
      <c r="AF20" s="39">
        <v>10</v>
      </c>
      <c r="AG20" s="252">
        <v>11</v>
      </c>
      <c r="AH20" s="252">
        <v>0</v>
      </c>
      <c r="AI20" s="252">
        <v>0</v>
      </c>
      <c r="AJ20" s="252">
        <v>0</v>
      </c>
      <c r="AK20" s="253">
        <v>10000</v>
      </c>
      <c r="AL20" s="253">
        <v>10000</v>
      </c>
      <c r="AM20" s="253">
        <v>10000</v>
      </c>
      <c r="AN20" s="253">
        <v>15</v>
      </c>
      <c r="AO20" s="253">
        <v>15</v>
      </c>
      <c r="AP20" s="253">
        <v>15</v>
      </c>
      <c r="AQ20" s="253">
        <v>0.40270466738944283</v>
      </c>
      <c r="AR20" s="253">
        <v>0.50856660511398788</v>
      </c>
      <c r="AS20" s="253">
        <v>0.54776811262809955</v>
      </c>
      <c r="AT20" s="253">
        <v>752.06049699075572</v>
      </c>
      <c r="AU20" s="253">
        <v>0.45397336100544594</v>
      </c>
      <c r="AV20" s="253">
        <v>0.45990355199703614</v>
      </c>
      <c r="AW20" s="253">
        <v>0.57524056849140448</v>
      </c>
    </row>
    <row r="21" spans="2:49" ht="14.1" hidden="1" customHeight="1" x14ac:dyDescent="0.25">
      <c r="B21" s="122">
        <v>11</v>
      </c>
      <c r="C21" s="123">
        <v>403.74099999999999</v>
      </c>
      <c r="D21" s="128">
        <v>0.1</v>
      </c>
      <c r="E21" s="123">
        <v>402.12714999999997</v>
      </c>
      <c r="F21" s="64">
        <v>1.6138500000000136</v>
      </c>
      <c r="G21" s="123">
        <v>403.62200000000001</v>
      </c>
      <c r="H21" s="123">
        <v>402.00594999999998</v>
      </c>
      <c r="I21" s="64">
        <v>1.6160500000000297</v>
      </c>
      <c r="J21" s="64">
        <v>20.2</v>
      </c>
      <c r="K21" s="64">
        <v>0.56830000000000003</v>
      </c>
      <c r="L21" s="64">
        <v>0.6</v>
      </c>
      <c r="M21" s="64">
        <v>5.4352999999999998</v>
      </c>
      <c r="N21" s="64">
        <v>0.73982706236855245</v>
      </c>
      <c r="O21" s="64">
        <v>15.574846241791613</v>
      </c>
      <c r="P21" s="64">
        <v>99.933222701404617</v>
      </c>
      <c r="Q21" s="64">
        <v>0.479282399989093</v>
      </c>
      <c r="R21" s="64">
        <v>55.942450365144765</v>
      </c>
      <c r="S21" s="64">
        <v>548.74579047843326</v>
      </c>
      <c r="T21" s="64">
        <v>0.5891089108909473</v>
      </c>
      <c r="U21" s="64">
        <v>0.6</v>
      </c>
      <c r="V21" s="64">
        <v>0.19811219846309872</v>
      </c>
      <c r="W21" s="66" t="s">
        <v>224</v>
      </c>
      <c r="X21" s="123">
        <v>1.4999999999999999E-2</v>
      </c>
      <c r="Y21" s="122">
        <v>1</v>
      </c>
      <c r="Z21" s="64">
        <v>0.8</v>
      </c>
      <c r="AA21" s="64">
        <v>0.45634045345758761</v>
      </c>
      <c r="AB21" s="64">
        <v>0.44726331926044804</v>
      </c>
      <c r="AC21" s="64">
        <v>1.8523046131306315</v>
      </c>
      <c r="AD21" s="64">
        <v>15.756601804175954</v>
      </c>
      <c r="AF21" s="39">
        <v>11</v>
      </c>
      <c r="AG21" s="252">
        <v>12</v>
      </c>
      <c r="AH21" s="252">
        <v>10</v>
      </c>
      <c r="AI21" s="252">
        <v>0</v>
      </c>
      <c r="AJ21" s="252">
        <v>0</v>
      </c>
      <c r="AK21" s="253">
        <v>402.22714999999999</v>
      </c>
      <c r="AL21" s="253">
        <v>10000</v>
      </c>
      <c r="AM21" s="253">
        <v>10000</v>
      </c>
      <c r="AN21" s="253">
        <v>15.574846241791613</v>
      </c>
      <c r="AO21" s="253">
        <v>15</v>
      </c>
      <c r="AP21" s="253">
        <v>15</v>
      </c>
      <c r="AQ21" s="253">
        <v>0.4123278407923972</v>
      </c>
      <c r="AR21" s="253">
        <v>0.45634045345758761</v>
      </c>
      <c r="AS21" s="253">
        <v>0.17846140026326016</v>
      </c>
      <c r="AT21" s="253">
        <v>462.89108796927866</v>
      </c>
      <c r="AU21" s="253">
        <v>0.44288989391428013</v>
      </c>
      <c r="AV21" s="253">
        <v>0.44726331926044804</v>
      </c>
      <c r="AW21" s="253">
        <v>0.55820493944853222</v>
      </c>
    </row>
    <row r="22" spans="2:49" ht="14.1" hidden="1" customHeight="1" x14ac:dyDescent="0.25">
      <c r="B22" s="122">
        <v>12</v>
      </c>
      <c r="C22" s="123">
        <v>403.62200000000001</v>
      </c>
      <c r="D22" s="128"/>
      <c r="E22" s="123">
        <v>401.68743000000001</v>
      </c>
      <c r="F22" s="64">
        <v>1.9345700000000079</v>
      </c>
      <c r="G22" s="123">
        <v>403.09800000000001</v>
      </c>
      <c r="H22" s="123">
        <v>401.05038000000002</v>
      </c>
      <c r="I22" s="64">
        <v>2.0476199999999949</v>
      </c>
      <c r="J22" s="64">
        <v>84.94</v>
      </c>
      <c r="K22" s="64">
        <v>0.27139999999999997</v>
      </c>
      <c r="L22" s="64">
        <v>0.6</v>
      </c>
      <c r="M22" s="64">
        <v>19.462800000000001</v>
      </c>
      <c r="N22" s="64">
        <v>0.58955109870299516</v>
      </c>
      <c r="O22" s="64">
        <v>20.986059195577848</v>
      </c>
      <c r="P22" s="64">
        <v>87.319922000612266</v>
      </c>
      <c r="Q22" s="64">
        <v>0.50609067882294723</v>
      </c>
      <c r="R22" s="64">
        <v>19.642882348587314</v>
      </c>
      <c r="S22" s="64">
        <v>1947.6536339715894</v>
      </c>
      <c r="T22" s="64">
        <v>0.61690605133035192</v>
      </c>
      <c r="U22" s="64">
        <v>0.75</v>
      </c>
      <c r="V22" s="64">
        <v>0.75916969320254402</v>
      </c>
      <c r="W22" s="66" t="s">
        <v>224</v>
      </c>
      <c r="X22" s="123">
        <v>1.4999999999999999E-2</v>
      </c>
      <c r="Y22" s="122">
        <v>1</v>
      </c>
      <c r="Z22" s="64">
        <v>1</v>
      </c>
      <c r="AA22" s="64">
        <v>0.94171866892267186</v>
      </c>
      <c r="AB22" s="64">
        <v>0.80594600700395658</v>
      </c>
      <c r="AC22" s="64">
        <v>2.5394141844383462</v>
      </c>
      <c r="AD22" s="64">
        <v>21.543536851386001</v>
      </c>
      <c r="AF22" s="39">
        <v>12</v>
      </c>
      <c r="AG22" s="252">
        <v>13</v>
      </c>
      <c r="AH22" s="252">
        <v>9</v>
      </c>
      <c r="AI22" s="252">
        <v>11</v>
      </c>
      <c r="AJ22" s="252">
        <v>0</v>
      </c>
      <c r="AK22" s="253">
        <v>401.68743000000001</v>
      </c>
      <c r="AL22" s="253">
        <v>402.00594999999998</v>
      </c>
      <c r="AM22" s="253">
        <v>10000</v>
      </c>
      <c r="AN22" s="253">
        <v>20.986059195577848</v>
      </c>
      <c r="AO22" s="253">
        <v>15.756601804175954</v>
      </c>
      <c r="AP22" s="253">
        <v>15</v>
      </c>
      <c r="AQ22" s="253">
        <v>0.67520511781360526</v>
      </c>
      <c r="AR22" s="253">
        <v>0.85558766231854078</v>
      </c>
      <c r="AS22" s="253">
        <v>0.94171866892267186</v>
      </c>
      <c r="AT22" s="253">
        <v>766.96966013142162</v>
      </c>
      <c r="AU22" s="253">
        <v>0.79511115120401799</v>
      </c>
      <c r="AV22" s="253">
        <v>0.80594600700395658</v>
      </c>
      <c r="AW22" s="253">
        <v>0.78859744118420338</v>
      </c>
    </row>
    <row r="23" spans="2:49" ht="14.1" hidden="1" customHeight="1" x14ac:dyDescent="0.25">
      <c r="B23" s="122">
        <v>13</v>
      </c>
      <c r="C23" s="123">
        <v>403.09800000000001</v>
      </c>
      <c r="D23" s="128">
        <v>0.1</v>
      </c>
      <c r="E23" s="123">
        <v>400.95038</v>
      </c>
      <c r="F23" s="64">
        <v>2.1476200000000176</v>
      </c>
      <c r="G23" s="123">
        <v>402.74599999999998</v>
      </c>
      <c r="H23" s="123">
        <v>400.61061999999998</v>
      </c>
      <c r="I23" s="64">
        <v>2.1353799999999978</v>
      </c>
      <c r="J23" s="64">
        <v>84.94</v>
      </c>
      <c r="K23" s="64">
        <v>0.62629999999999997</v>
      </c>
      <c r="L23" s="64">
        <v>0.6</v>
      </c>
      <c r="M23" s="64">
        <v>20.089100000000002</v>
      </c>
      <c r="N23" s="64">
        <v>0.58623674250806757</v>
      </c>
      <c r="O23" s="64">
        <v>21.543536851386001</v>
      </c>
      <c r="P23" s="64">
        <v>86.221583939723061</v>
      </c>
      <c r="Q23" s="64">
        <v>0.50838328287866641</v>
      </c>
      <c r="R23" s="64">
        <v>44.708998915081317</v>
      </c>
      <c r="S23" s="64">
        <v>1992.3626328866708</v>
      </c>
      <c r="T23" s="64">
        <v>0.41441017188607521</v>
      </c>
      <c r="U23" s="64">
        <v>0.4</v>
      </c>
      <c r="V23" s="64">
        <v>0.30043616388948391</v>
      </c>
      <c r="W23" s="66" t="s">
        <v>224</v>
      </c>
      <c r="X23" s="123">
        <v>1.4999999999999999E-2</v>
      </c>
      <c r="Y23" s="122">
        <v>1</v>
      </c>
      <c r="Z23" s="64">
        <v>1.2</v>
      </c>
      <c r="AA23" s="64">
        <v>0.91611828993783284</v>
      </c>
      <c r="AB23" s="64">
        <v>0.77348552917627922</v>
      </c>
      <c r="AC23" s="64">
        <v>2.1505024048905379</v>
      </c>
      <c r="AD23" s="64">
        <v>22.201832635407097</v>
      </c>
      <c r="AF23" s="39">
        <v>13</v>
      </c>
      <c r="AG23" s="252">
        <v>18</v>
      </c>
      <c r="AH23" s="252">
        <v>12</v>
      </c>
      <c r="AI23" s="252">
        <v>0</v>
      </c>
      <c r="AJ23" s="252">
        <v>0</v>
      </c>
      <c r="AK23" s="253">
        <v>401.05038000000002</v>
      </c>
      <c r="AL23" s="253">
        <v>10000</v>
      </c>
      <c r="AM23" s="253">
        <v>10000</v>
      </c>
      <c r="AN23" s="253">
        <v>21.543536851386001</v>
      </c>
      <c r="AO23" s="253">
        <v>15</v>
      </c>
      <c r="AP23" s="253">
        <v>15</v>
      </c>
      <c r="AQ23" s="253">
        <v>0.75407282151809585</v>
      </c>
      <c r="AR23" s="253">
        <v>0.91611828993783284</v>
      </c>
      <c r="AS23" s="253">
        <v>0.76981065291206274</v>
      </c>
      <c r="AT23" s="253">
        <v>643.37763983913339</v>
      </c>
      <c r="AU23" s="253">
        <v>0.76479364916278558</v>
      </c>
      <c r="AV23" s="253">
        <v>0.77348552917627922</v>
      </c>
      <c r="AW23" s="253">
        <v>0.76283152026388323</v>
      </c>
    </row>
    <row r="24" spans="2:49" ht="14.1" hidden="1" customHeight="1" x14ac:dyDescent="0.25">
      <c r="B24" s="122">
        <v>14</v>
      </c>
      <c r="C24" s="123">
        <v>402.50299999999999</v>
      </c>
      <c r="D24" s="128"/>
      <c r="E24" s="123">
        <v>401.00299999999999</v>
      </c>
      <c r="F24" s="64">
        <v>1.5</v>
      </c>
      <c r="G24" s="123">
        <v>402.66300000000001</v>
      </c>
      <c r="H24" s="123">
        <v>400.78661</v>
      </c>
      <c r="I24" s="64">
        <v>1.8763900000000149</v>
      </c>
      <c r="J24" s="64">
        <v>72.13</v>
      </c>
      <c r="K24" s="64">
        <v>2.8811</v>
      </c>
      <c r="L24" s="64">
        <v>0.6</v>
      </c>
      <c r="M24" s="64">
        <v>2.8811</v>
      </c>
      <c r="N24" s="64">
        <v>0.82832089486710769</v>
      </c>
      <c r="O24" s="64">
        <v>15</v>
      </c>
      <c r="P24" s="64">
        <v>101.5258000467022</v>
      </c>
      <c r="Q24" s="64">
        <v>0.47581283640599359</v>
      </c>
      <c r="R24" s="64">
        <v>320.2593112977288</v>
      </c>
      <c r="S24" s="64">
        <v>320.2593112977288</v>
      </c>
      <c r="T24" s="64">
        <v>-0.22182171079997925</v>
      </c>
      <c r="U24" s="64">
        <v>0.3</v>
      </c>
      <c r="V24" s="64">
        <v>0.31297689186496447</v>
      </c>
      <c r="W24" s="66" t="s">
        <v>224</v>
      </c>
      <c r="X24" s="123">
        <v>1.4999999999999999E-2</v>
      </c>
      <c r="Y24" s="122">
        <v>1</v>
      </c>
      <c r="Z24" s="64">
        <v>0.6</v>
      </c>
      <c r="AA24" s="64">
        <v>0.58712525453282116</v>
      </c>
      <c r="AB24" s="64">
        <v>0.36821781135594162</v>
      </c>
      <c r="AC24" s="64">
        <v>1.1387227654349221</v>
      </c>
      <c r="AD24" s="64">
        <v>16.055714966941505</v>
      </c>
      <c r="AF24" s="39">
        <v>14</v>
      </c>
      <c r="AG24" s="252">
        <v>15</v>
      </c>
      <c r="AH24" s="252">
        <v>0</v>
      </c>
      <c r="AI24" s="252">
        <v>0</v>
      </c>
      <c r="AJ24" s="252">
        <v>0</v>
      </c>
      <c r="AK24" s="253">
        <v>10000</v>
      </c>
      <c r="AL24" s="253">
        <v>10000</v>
      </c>
      <c r="AM24" s="253">
        <v>10000</v>
      </c>
      <c r="AN24" s="253">
        <v>15</v>
      </c>
      <c r="AO24" s="253">
        <v>15</v>
      </c>
      <c r="AP24" s="253">
        <v>15</v>
      </c>
      <c r="AQ24" s="253">
        <v>0.40801239843533277</v>
      </c>
      <c r="AR24" s="253">
        <v>0.51942149463392884</v>
      </c>
      <c r="AS24" s="253">
        <v>0.58712525453282116</v>
      </c>
      <c r="AT24" s="253">
        <v>781.23422579460816</v>
      </c>
      <c r="AU24" s="253">
        <v>0.36428533782056954</v>
      </c>
      <c r="AV24" s="253">
        <v>0.36821781135594162</v>
      </c>
      <c r="AW24" s="253">
        <v>0.50293056789086366</v>
      </c>
    </row>
    <row r="25" spans="2:49" ht="14.1" hidden="1" customHeight="1" x14ac:dyDescent="0.25">
      <c r="B25" s="122">
        <v>15</v>
      </c>
      <c r="C25" s="123">
        <v>402.66300000000001</v>
      </c>
      <c r="D25" s="128"/>
      <c r="E25" s="123">
        <v>400.78661</v>
      </c>
      <c r="F25" s="64">
        <v>1.8763900000000149</v>
      </c>
      <c r="G25" s="123">
        <v>402.80200000000002</v>
      </c>
      <c r="H25" s="123">
        <v>400.46215999999998</v>
      </c>
      <c r="I25" s="64">
        <v>2.3398400000000379</v>
      </c>
      <c r="J25" s="64">
        <v>108.15</v>
      </c>
      <c r="K25" s="64">
        <v>2.4996</v>
      </c>
      <c r="L25" s="64">
        <v>0.6</v>
      </c>
      <c r="M25" s="64">
        <v>5.3807</v>
      </c>
      <c r="N25" s="64">
        <v>0.74115782367598415</v>
      </c>
      <c r="O25" s="64">
        <v>16.055714966941505</v>
      </c>
      <c r="P25" s="64">
        <v>98.644121665877279</v>
      </c>
      <c r="Q25" s="64">
        <v>0.48207419080687575</v>
      </c>
      <c r="R25" s="64">
        <v>244.73638787868472</v>
      </c>
      <c r="S25" s="64">
        <v>564.9956991764135</v>
      </c>
      <c r="T25" s="64">
        <v>-0.12852519648637079</v>
      </c>
      <c r="U25" s="64">
        <v>0.3</v>
      </c>
      <c r="V25" s="64">
        <v>0.21001924737604191</v>
      </c>
      <c r="W25" s="66" t="s">
        <v>224</v>
      </c>
      <c r="X25" s="123">
        <v>1.4999999999999999E-2</v>
      </c>
      <c r="Y25" s="122">
        <v>1</v>
      </c>
      <c r="Z25" s="64">
        <v>0.8</v>
      </c>
      <c r="AA25" s="64">
        <v>0.59490700750025038</v>
      </c>
      <c r="AB25" s="64">
        <v>0.45404800126827899</v>
      </c>
      <c r="AC25" s="64">
        <v>1.4095225104694522</v>
      </c>
      <c r="AD25" s="64">
        <v>17.334516821194732</v>
      </c>
      <c r="AF25" s="39">
        <v>15</v>
      </c>
      <c r="AG25" s="252">
        <v>16</v>
      </c>
      <c r="AH25" s="252">
        <v>14</v>
      </c>
      <c r="AI25" s="252">
        <v>0</v>
      </c>
      <c r="AJ25" s="252">
        <v>0</v>
      </c>
      <c r="AK25" s="253">
        <v>400.78661</v>
      </c>
      <c r="AL25" s="253">
        <v>10000</v>
      </c>
      <c r="AM25" s="253">
        <v>10000</v>
      </c>
      <c r="AN25" s="253">
        <v>16.055714966941505</v>
      </c>
      <c r="AO25" s="253">
        <v>15</v>
      </c>
      <c r="AP25" s="253">
        <v>15</v>
      </c>
      <c r="AQ25" s="253">
        <v>0.49419657124941979</v>
      </c>
      <c r="AR25" s="253">
        <v>0.59490700750025038</v>
      </c>
      <c r="AS25" s="253">
        <v>0.46876215374506258</v>
      </c>
      <c r="AT25" s="253">
        <v>626.31548868923039</v>
      </c>
      <c r="AU25" s="253">
        <v>0.4495400108329547</v>
      </c>
      <c r="AV25" s="253">
        <v>0.45404800126827899</v>
      </c>
      <c r="AW25" s="253">
        <v>0.56330569546941001</v>
      </c>
    </row>
    <row r="26" spans="2:49" ht="14.1" hidden="1" customHeight="1" x14ac:dyDescent="0.25">
      <c r="B26" s="122">
        <v>16</v>
      </c>
      <c r="C26" s="123">
        <v>402.80200000000002</v>
      </c>
      <c r="D26" s="128"/>
      <c r="E26" s="123">
        <v>400.46215999999998</v>
      </c>
      <c r="F26" s="64">
        <v>2.3398400000000379</v>
      </c>
      <c r="G26" s="123">
        <v>402.846</v>
      </c>
      <c r="H26" s="123">
        <v>400.08349499999997</v>
      </c>
      <c r="I26" s="64">
        <v>2.7625050000000329</v>
      </c>
      <c r="J26" s="64">
        <v>108.19</v>
      </c>
      <c r="K26" s="64">
        <v>1.6492</v>
      </c>
      <c r="L26" s="64">
        <v>0.6</v>
      </c>
      <c r="M26" s="64">
        <v>7.0298999999999996</v>
      </c>
      <c r="N26" s="64">
        <v>0.70671295369835097</v>
      </c>
      <c r="O26" s="64">
        <v>17.334516821194732</v>
      </c>
      <c r="P26" s="64">
        <v>95.393398060849677</v>
      </c>
      <c r="Q26" s="64">
        <v>0.48905414898180671</v>
      </c>
      <c r="R26" s="64">
        <v>151.0510979194965</v>
      </c>
      <c r="S26" s="64">
        <v>716.04679709591005</v>
      </c>
      <c r="T26" s="64">
        <v>-4.0669193086221203E-2</v>
      </c>
      <c r="U26" s="64">
        <v>0.35</v>
      </c>
      <c r="V26" s="64">
        <v>0.33732740617691059</v>
      </c>
      <c r="W26" s="66" t="s">
        <v>224</v>
      </c>
      <c r="X26" s="123">
        <v>1.4999999999999999E-2</v>
      </c>
      <c r="Y26" s="122">
        <v>1</v>
      </c>
      <c r="Z26" s="64">
        <v>0.8</v>
      </c>
      <c r="AA26" s="64">
        <v>0.70708595758393855</v>
      </c>
      <c r="AB26" s="64">
        <v>0.51308102198057282</v>
      </c>
      <c r="AC26" s="64">
        <v>1.5232398879235656</v>
      </c>
      <c r="AD26" s="64">
        <v>18.518287467540326</v>
      </c>
      <c r="AF26" s="39">
        <v>16</v>
      </c>
      <c r="AG26" s="252">
        <v>17</v>
      </c>
      <c r="AH26" s="252">
        <v>15</v>
      </c>
      <c r="AI26" s="252">
        <v>0</v>
      </c>
      <c r="AJ26" s="252">
        <v>0</v>
      </c>
      <c r="AK26" s="253">
        <v>400.46215999999998</v>
      </c>
      <c r="AL26" s="253">
        <v>10000</v>
      </c>
      <c r="AM26" s="253">
        <v>10000</v>
      </c>
      <c r="AN26" s="253">
        <v>17.334516821194732</v>
      </c>
      <c r="AO26" s="253">
        <v>15</v>
      </c>
      <c r="AP26" s="253">
        <v>15</v>
      </c>
      <c r="AQ26" s="253">
        <v>0.53377908285949993</v>
      </c>
      <c r="AR26" s="253">
        <v>0.67158778158189936</v>
      </c>
      <c r="AS26" s="253">
        <v>0.70708595758393855</v>
      </c>
      <c r="AT26" s="253">
        <v>734.50224704101265</v>
      </c>
      <c r="AU26" s="253">
        <v>0.5073614595169933</v>
      </c>
      <c r="AV26" s="253">
        <v>0.51308102198057282</v>
      </c>
      <c r="AW26" s="253">
        <v>0.60648059258852594</v>
      </c>
    </row>
    <row r="27" spans="2:49" ht="14.1" hidden="1" customHeight="1" x14ac:dyDescent="0.25">
      <c r="B27" s="122">
        <v>17</v>
      </c>
      <c r="C27" s="123">
        <v>402.846</v>
      </c>
      <c r="D27" s="128"/>
      <c r="E27" s="123">
        <v>400.08349499999997</v>
      </c>
      <c r="F27" s="64">
        <v>2.7625050000000329</v>
      </c>
      <c r="G27" s="123">
        <v>402.74599999999998</v>
      </c>
      <c r="H27" s="123">
        <v>399.93285499999996</v>
      </c>
      <c r="I27" s="64">
        <v>2.81314500000002</v>
      </c>
      <c r="J27" s="64">
        <v>43.04</v>
      </c>
      <c r="K27" s="64">
        <v>0.25919999999999999</v>
      </c>
      <c r="L27" s="64">
        <v>0.6</v>
      </c>
      <c r="M27" s="64">
        <v>7.2890999999999995</v>
      </c>
      <c r="N27" s="64">
        <v>0.70217286802274936</v>
      </c>
      <c r="O27" s="64">
        <v>18.518287467540326</v>
      </c>
      <c r="P27" s="64">
        <v>92.594172872739321</v>
      </c>
      <c r="Q27" s="64">
        <v>0.49500367174489623</v>
      </c>
      <c r="R27" s="64">
        <v>23.174125781496496</v>
      </c>
      <c r="S27" s="64">
        <v>739.22092287740657</v>
      </c>
      <c r="T27" s="64">
        <v>0.23234200743499708</v>
      </c>
      <c r="U27" s="64">
        <v>0.35</v>
      </c>
      <c r="V27" s="64">
        <v>0.35951524845043303</v>
      </c>
      <c r="W27" s="66" t="s">
        <v>224</v>
      </c>
      <c r="X27" s="123">
        <v>1.4999999999999999E-2</v>
      </c>
      <c r="Y27" s="122">
        <v>1</v>
      </c>
      <c r="Z27" s="64">
        <v>0.8</v>
      </c>
      <c r="AA27" s="64">
        <v>0.76742590460767579</v>
      </c>
      <c r="AB27" s="64">
        <v>0.52158166386444105</v>
      </c>
      <c r="AC27" s="64">
        <v>1.4911767864435308</v>
      </c>
      <c r="AD27" s="64">
        <v>18.999339305159243</v>
      </c>
      <c r="AF27" s="39">
        <v>17</v>
      </c>
      <c r="AG27" s="252">
        <v>18</v>
      </c>
      <c r="AH27" s="252">
        <v>16</v>
      </c>
      <c r="AI27" s="252">
        <v>0</v>
      </c>
      <c r="AJ27" s="252">
        <v>0</v>
      </c>
      <c r="AK27" s="253">
        <v>400.08349499999997</v>
      </c>
      <c r="AL27" s="253">
        <v>10000</v>
      </c>
      <c r="AM27" s="253">
        <v>10000</v>
      </c>
      <c r="AN27" s="253">
        <v>18.518287467540326</v>
      </c>
      <c r="AO27" s="253">
        <v>15</v>
      </c>
      <c r="AP27" s="253">
        <v>15</v>
      </c>
      <c r="AQ27" s="253">
        <v>0.5420370612712665</v>
      </c>
      <c r="AR27" s="253">
        <v>0.68838662310354348</v>
      </c>
      <c r="AS27" s="253">
        <v>0.76742590460767579</v>
      </c>
      <c r="AT27" s="253">
        <v>774.57797257608217</v>
      </c>
      <c r="AU27" s="253">
        <v>0.51568192283007308</v>
      </c>
      <c r="AV27" s="253">
        <v>0.52158166386444105</v>
      </c>
      <c r="AW27" s="253">
        <v>0.61253175091144663</v>
      </c>
    </row>
    <row r="28" spans="2:49" ht="14.1" hidden="1" customHeight="1" x14ac:dyDescent="0.25">
      <c r="B28" s="122">
        <v>18</v>
      </c>
      <c r="C28" s="123">
        <v>402.74599999999998</v>
      </c>
      <c r="D28" s="128"/>
      <c r="E28" s="123">
        <v>399.93285499999996</v>
      </c>
      <c r="F28" s="64">
        <v>2.81314500000002</v>
      </c>
      <c r="G28" s="123">
        <v>402.59199999999998</v>
      </c>
      <c r="H28" s="123">
        <v>399.60147999999998</v>
      </c>
      <c r="I28" s="64">
        <v>2.9905200000000036</v>
      </c>
      <c r="J28" s="64">
        <v>60.25</v>
      </c>
      <c r="K28" s="64">
        <v>0.58540000000000003</v>
      </c>
      <c r="L28" s="64">
        <v>0.6</v>
      </c>
      <c r="M28" s="64">
        <v>27.9636</v>
      </c>
      <c r="N28" s="64">
        <v>0.55272159323477199</v>
      </c>
      <c r="O28" s="64">
        <v>22.201832635407097</v>
      </c>
      <c r="P28" s="64">
        <v>84.964515628233315</v>
      </c>
      <c r="Q28" s="64">
        <v>0.51100176217619309</v>
      </c>
      <c r="R28" s="64">
        <v>39.025760478529449</v>
      </c>
      <c r="S28" s="64">
        <v>2770.6093162426068</v>
      </c>
      <c r="T28" s="64">
        <v>0.25560165975103127</v>
      </c>
      <c r="U28" s="64">
        <v>0.55000000000000004</v>
      </c>
      <c r="V28" s="64">
        <v>0.58098646209556304</v>
      </c>
      <c r="W28" s="66" t="s">
        <v>224</v>
      </c>
      <c r="X28" s="123">
        <v>1.4999999999999999E-2</v>
      </c>
      <c r="Y28" s="122">
        <v>1</v>
      </c>
      <c r="Z28" s="64">
        <v>1.2</v>
      </c>
      <c r="AA28" s="64">
        <v>1.1935754996178094</v>
      </c>
      <c r="AB28" s="64">
        <v>0.91692250876768777</v>
      </c>
      <c r="AC28" s="64">
        <v>2.4513840927485195</v>
      </c>
      <c r="AD28" s="64">
        <v>22.611465164898135</v>
      </c>
      <c r="AF28" s="39">
        <v>18</v>
      </c>
      <c r="AG28" s="252">
        <v>19</v>
      </c>
      <c r="AH28" s="252">
        <v>13</v>
      </c>
      <c r="AI28" s="252">
        <v>17</v>
      </c>
      <c r="AJ28" s="252">
        <v>0</v>
      </c>
      <c r="AK28" s="253">
        <v>400.61061999999998</v>
      </c>
      <c r="AL28" s="253">
        <v>399.93285499999996</v>
      </c>
      <c r="AM28" s="253">
        <v>10000</v>
      </c>
      <c r="AN28" s="253">
        <v>22.201832635407097</v>
      </c>
      <c r="AO28" s="253">
        <v>18.999339305159243</v>
      </c>
      <c r="AP28" s="253">
        <v>15</v>
      </c>
      <c r="AQ28" s="253">
        <v>0.81866847074196636</v>
      </c>
      <c r="AR28" s="253">
        <v>1.0439062939874908</v>
      </c>
      <c r="AS28" s="253">
        <v>1.1935754996178094</v>
      </c>
      <c r="AT28" s="253">
        <v>784.87669601928849</v>
      </c>
      <c r="AU28" s="253">
        <v>0.90506555731849903</v>
      </c>
      <c r="AV28" s="253">
        <v>0.91692250876768777</v>
      </c>
      <c r="AW28" s="253">
        <v>0.84540774323920187</v>
      </c>
    </row>
    <row r="29" spans="2:49" ht="14.1" hidden="1" customHeight="1" x14ac:dyDescent="0.25">
      <c r="B29" s="122">
        <v>19</v>
      </c>
      <c r="C29" s="123">
        <v>402.59199999999998</v>
      </c>
      <c r="D29" s="128"/>
      <c r="E29" s="123">
        <v>399.60147999999998</v>
      </c>
      <c r="F29" s="64">
        <v>2.9905200000000036</v>
      </c>
      <c r="G29" s="123">
        <v>402.334</v>
      </c>
      <c r="H29" s="123">
        <v>399.25165499999997</v>
      </c>
      <c r="I29" s="64">
        <v>3.0823450000000321</v>
      </c>
      <c r="J29" s="64">
        <v>99.95</v>
      </c>
      <c r="K29" s="64">
        <v>1.2095</v>
      </c>
      <c r="L29" s="64">
        <v>0.6</v>
      </c>
      <c r="M29" s="64">
        <v>29.173099999999998</v>
      </c>
      <c r="N29" s="64">
        <v>0.54857132282605092</v>
      </c>
      <c r="O29" s="64">
        <v>22.611465164898135</v>
      </c>
      <c r="P29" s="64">
        <v>84.203175801473009</v>
      </c>
      <c r="Q29" s="64">
        <v>0.51258511007995289</v>
      </c>
      <c r="R29" s="64">
        <v>79.55466892499922</v>
      </c>
      <c r="S29" s="64">
        <v>2850.1639851676059</v>
      </c>
      <c r="T29" s="64">
        <v>0.25812906453224749</v>
      </c>
      <c r="U29" s="64">
        <v>0.35</v>
      </c>
      <c r="V29" s="64">
        <v>0.18702588808210815</v>
      </c>
      <c r="W29" s="66" t="s">
        <v>224</v>
      </c>
      <c r="X29" s="123">
        <v>1.4999999999999999E-2</v>
      </c>
      <c r="Y29" s="122">
        <v>1</v>
      </c>
      <c r="Z29" s="64">
        <v>1.5</v>
      </c>
      <c r="AA29" s="64">
        <v>1.0106657039974034</v>
      </c>
      <c r="AB29" s="64">
        <v>0.872168838051252</v>
      </c>
      <c r="AC29" s="64">
        <v>2.2503356484798207</v>
      </c>
      <c r="AD29" s="64">
        <v>23.351725105435744</v>
      </c>
      <c r="AF29" s="39">
        <v>19</v>
      </c>
      <c r="AG29" s="252">
        <v>20</v>
      </c>
      <c r="AH29" s="252">
        <v>18</v>
      </c>
      <c r="AI29" s="252">
        <v>0</v>
      </c>
      <c r="AJ29" s="252">
        <v>0</v>
      </c>
      <c r="AK29" s="253">
        <v>399.60147999999998</v>
      </c>
      <c r="AL29" s="253">
        <v>10000</v>
      </c>
      <c r="AM29" s="253">
        <v>10000</v>
      </c>
      <c r="AN29" s="253">
        <v>22.611465164898135</v>
      </c>
      <c r="AO29" s="253">
        <v>15</v>
      </c>
      <c r="AP29" s="253">
        <v>15</v>
      </c>
      <c r="AQ29" s="253">
        <v>0.86840376447005585</v>
      </c>
      <c r="AR29" s="253">
        <v>1.0106657039974034</v>
      </c>
      <c r="AS29" s="253">
        <v>0.62114470363528584</v>
      </c>
      <c r="AT29" s="253">
        <v>562.9113816061647</v>
      </c>
      <c r="AU29" s="253">
        <v>0.86324520960044404</v>
      </c>
      <c r="AV29" s="253">
        <v>0.872168838051252</v>
      </c>
      <c r="AW29" s="253">
        <v>0.81186033210489794</v>
      </c>
    </row>
    <row r="30" spans="2:49" ht="14.1" hidden="1" customHeight="1" x14ac:dyDescent="0.25">
      <c r="B30" s="122">
        <v>20</v>
      </c>
      <c r="C30" s="123">
        <v>402.334</v>
      </c>
      <c r="D30" s="128"/>
      <c r="E30" s="123">
        <v>399.25165499999997</v>
      </c>
      <c r="F30" s="64">
        <v>3.0823450000000321</v>
      </c>
      <c r="G30" s="123">
        <v>402.20699999999999</v>
      </c>
      <c r="H30" s="123">
        <v>398.98950499999995</v>
      </c>
      <c r="I30" s="64">
        <v>3.2174950000000422</v>
      </c>
      <c r="J30" s="64">
        <v>74.900000000000006</v>
      </c>
      <c r="K30" s="64">
        <v>1.4792000000000001</v>
      </c>
      <c r="L30" s="64">
        <v>0.6</v>
      </c>
      <c r="M30" s="64">
        <v>30.652299999999997</v>
      </c>
      <c r="N30" s="64">
        <v>0.5437629011203986</v>
      </c>
      <c r="O30" s="64">
        <v>23.351725105435744</v>
      </c>
      <c r="P30" s="64">
        <v>82.866099864333265</v>
      </c>
      <c r="Q30" s="64">
        <v>0.51536179151695061</v>
      </c>
      <c r="R30" s="64">
        <v>95.424046653786093</v>
      </c>
      <c r="S30" s="64">
        <v>2945.5880318213922</v>
      </c>
      <c r="T30" s="64">
        <v>0.1695594125500795</v>
      </c>
      <c r="U30" s="64">
        <v>0.35</v>
      </c>
      <c r="V30" s="64">
        <v>0.19975885628118828</v>
      </c>
      <c r="W30" s="66" t="s">
        <v>224</v>
      </c>
      <c r="X30" s="123">
        <v>1.4999999999999999E-2</v>
      </c>
      <c r="Y30" s="122">
        <v>1</v>
      </c>
      <c r="Z30" s="64">
        <v>1.5</v>
      </c>
      <c r="AA30" s="64">
        <v>1.0349279880438589</v>
      </c>
      <c r="AB30" s="64">
        <v>0.88711321578431401</v>
      </c>
      <c r="AC30" s="64">
        <v>2.2650541190738602</v>
      </c>
      <c r="AD30" s="64">
        <v>23.902852481519702</v>
      </c>
      <c r="AF30" s="39">
        <v>20</v>
      </c>
      <c r="AG30" s="252">
        <v>24</v>
      </c>
      <c r="AH30" s="252">
        <v>19</v>
      </c>
      <c r="AI30" s="252">
        <v>0</v>
      </c>
      <c r="AJ30" s="252">
        <v>0</v>
      </c>
      <c r="AK30" s="253">
        <v>399.25165499999997</v>
      </c>
      <c r="AL30" s="253">
        <v>10000</v>
      </c>
      <c r="AM30" s="253">
        <v>10000</v>
      </c>
      <c r="AN30" s="253">
        <v>23.351725105435744</v>
      </c>
      <c r="AO30" s="253">
        <v>15</v>
      </c>
      <c r="AP30" s="253">
        <v>15</v>
      </c>
      <c r="AQ30" s="253">
        <v>0.88229808754322459</v>
      </c>
      <c r="AR30" s="253">
        <v>1.0349279880438589</v>
      </c>
      <c r="AS30" s="253">
        <v>0.67602636874200428</v>
      </c>
      <c r="AT30" s="253">
        <v>577.9774643531922</v>
      </c>
      <c r="AU30" s="253">
        <v>0.87788633590704712</v>
      </c>
      <c r="AV30" s="253">
        <v>0.88711321578431401</v>
      </c>
      <c r="AW30" s="253">
        <v>0.82023690361157775</v>
      </c>
    </row>
    <row r="31" spans="2:49" ht="14.1" hidden="1" customHeight="1" x14ac:dyDescent="0.25">
      <c r="B31" s="122">
        <v>21</v>
      </c>
      <c r="C31" s="123">
        <v>403.30099999999999</v>
      </c>
      <c r="D31" s="128"/>
      <c r="E31" s="123">
        <v>401.80099999999999</v>
      </c>
      <c r="F31" s="64">
        <v>1.5</v>
      </c>
      <c r="G31" s="123">
        <v>403.495</v>
      </c>
      <c r="H31" s="123">
        <v>401.61068</v>
      </c>
      <c r="I31" s="64">
        <v>1.8843200000000024</v>
      </c>
      <c r="J31" s="64">
        <v>47.58</v>
      </c>
      <c r="K31" s="64">
        <v>0.79</v>
      </c>
      <c r="L31" s="64">
        <v>0.6</v>
      </c>
      <c r="M31" s="64">
        <v>0.79</v>
      </c>
      <c r="N31" s="64">
        <v>1</v>
      </c>
      <c r="O31" s="64">
        <v>15</v>
      </c>
      <c r="P31" s="64">
        <v>101.5258000467022</v>
      </c>
      <c r="Q31" s="64">
        <v>0.47581283640599359</v>
      </c>
      <c r="R31" s="64">
        <v>106.01612039451936</v>
      </c>
      <c r="S31" s="64">
        <v>106.01612039451936</v>
      </c>
      <c r="T31" s="64">
        <v>-0.407734342160607</v>
      </c>
      <c r="U31" s="64">
        <v>0.4</v>
      </c>
      <c r="V31" s="64">
        <v>3.4296717589843137E-2</v>
      </c>
      <c r="W31" s="66" t="s">
        <v>224</v>
      </c>
      <c r="X31" s="123">
        <v>1.4999999999999999E-2</v>
      </c>
      <c r="Y31" s="122">
        <v>1</v>
      </c>
      <c r="Z31" s="64">
        <v>0.6</v>
      </c>
      <c r="AA31" s="64">
        <v>0.23050961192153097</v>
      </c>
      <c r="AB31" s="64">
        <v>0.20816408340516537</v>
      </c>
      <c r="AC31" s="64">
        <v>1.0595959702681652</v>
      </c>
      <c r="AD31" s="64">
        <v>15.748398467200008</v>
      </c>
      <c r="AF31" s="39">
        <v>21</v>
      </c>
      <c r="AG31" s="252">
        <v>22</v>
      </c>
      <c r="AH31" s="252">
        <v>0</v>
      </c>
      <c r="AI31" s="252">
        <v>0</v>
      </c>
      <c r="AJ31" s="252">
        <v>0</v>
      </c>
      <c r="AK31" s="253">
        <v>10000</v>
      </c>
      <c r="AL31" s="253">
        <v>10000</v>
      </c>
      <c r="AM31" s="253">
        <v>10000</v>
      </c>
      <c r="AN31" s="253">
        <v>15</v>
      </c>
      <c r="AO31" s="253">
        <v>15</v>
      </c>
      <c r="AP31" s="253">
        <v>15</v>
      </c>
      <c r="AQ31" s="253">
        <v>0.22342951011412115</v>
      </c>
      <c r="AR31" s="253">
        <v>0.23050961192153097</v>
      </c>
      <c r="AS31" s="253">
        <v>2.3646704270233458E-2</v>
      </c>
      <c r="AT31" s="253">
        <v>277.92595629028227</v>
      </c>
      <c r="AU31" s="253">
        <v>0.20712826776039339</v>
      </c>
      <c r="AV31" s="253">
        <v>0.20816408340516537</v>
      </c>
      <c r="AW31" s="253">
        <v>0.35632931741295548</v>
      </c>
    </row>
    <row r="32" spans="2:49" ht="14.1" hidden="1" customHeight="1" x14ac:dyDescent="0.25">
      <c r="B32" s="122">
        <v>22</v>
      </c>
      <c r="C32" s="123">
        <v>403.495</v>
      </c>
      <c r="D32" s="128"/>
      <c r="E32" s="123">
        <v>401.61068</v>
      </c>
      <c r="F32" s="64">
        <v>1.8843200000000024</v>
      </c>
      <c r="G32" s="123">
        <v>402.863</v>
      </c>
      <c r="H32" s="123">
        <v>401.26623999999998</v>
      </c>
      <c r="I32" s="64">
        <v>1.5967600000000175</v>
      </c>
      <c r="J32" s="64">
        <v>86.11</v>
      </c>
      <c r="K32" s="64">
        <v>3.6143999999999998</v>
      </c>
      <c r="L32" s="64">
        <v>0.6</v>
      </c>
      <c r="M32" s="64">
        <v>4.4043999999999999</v>
      </c>
      <c r="N32" s="64">
        <v>0.76804763782221952</v>
      </c>
      <c r="O32" s="64">
        <v>15.748398467200008</v>
      </c>
      <c r="P32" s="64">
        <v>99.463547465845991</v>
      </c>
      <c r="Q32" s="64">
        <v>0.48030123960512455</v>
      </c>
      <c r="R32" s="64">
        <v>368.41242185943878</v>
      </c>
      <c r="S32" s="64">
        <v>474.42854225395814</v>
      </c>
      <c r="T32" s="64">
        <v>0.73394495412844618</v>
      </c>
      <c r="U32" s="64">
        <v>0.4</v>
      </c>
      <c r="V32" s="64">
        <v>0.14808478246855858</v>
      </c>
      <c r="W32" s="66" t="s">
        <v>224</v>
      </c>
      <c r="X32" s="123">
        <v>1.4999999999999999E-2</v>
      </c>
      <c r="Y32" s="122">
        <v>1</v>
      </c>
      <c r="Z32" s="64">
        <v>0.8</v>
      </c>
      <c r="AA32" s="64">
        <v>0.47422781309152112</v>
      </c>
      <c r="AB32" s="64">
        <v>0.414914105865683</v>
      </c>
      <c r="AC32" s="64">
        <v>1.5286046599976639</v>
      </c>
      <c r="AD32" s="64">
        <v>16.687272136909257</v>
      </c>
      <c r="AF32" s="39">
        <v>22</v>
      </c>
      <c r="AG32" s="252">
        <v>23</v>
      </c>
      <c r="AH32" s="252">
        <v>21</v>
      </c>
      <c r="AI32" s="252">
        <v>0</v>
      </c>
      <c r="AJ32" s="252">
        <v>0</v>
      </c>
      <c r="AK32" s="253">
        <v>401.61068</v>
      </c>
      <c r="AL32" s="253">
        <v>10000</v>
      </c>
      <c r="AM32" s="253">
        <v>10000</v>
      </c>
      <c r="AN32" s="253">
        <v>15.748398467200008</v>
      </c>
      <c r="AO32" s="253">
        <v>15</v>
      </c>
      <c r="AP32" s="253">
        <v>15</v>
      </c>
      <c r="AQ32" s="253">
        <v>0.42385573510003355</v>
      </c>
      <c r="AR32" s="253">
        <v>0.47422781309152112</v>
      </c>
      <c r="AS32" s="253">
        <v>0.20669661013411286</v>
      </c>
      <c r="AT32" s="253">
        <v>484.94853945620071</v>
      </c>
      <c r="AU32" s="253">
        <v>0.41116802119531698</v>
      </c>
      <c r="AV32" s="253">
        <v>0.414914105865683</v>
      </c>
      <c r="AW32" s="253">
        <v>0.53345048302909159</v>
      </c>
    </row>
    <row r="33" spans="2:49" ht="14.1" hidden="1" customHeight="1" x14ac:dyDescent="0.25">
      <c r="B33" s="122">
        <v>23</v>
      </c>
      <c r="C33" s="123">
        <v>402.863</v>
      </c>
      <c r="D33" s="128"/>
      <c r="E33" s="123">
        <v>401.26623999999998</v>
      </c>
      <c r="F33" s="64">
        <v>1.5967600000000175</v>
      </c>
      <c r="G33" s="123">
        <v>402.20699999999999</v>
      </c>
      <c r="H33" s="123">
        <v>400.57727999999997</v>
      </c>
      <c r="I33" s="64">
        <v>1.6297200000000203</v>
      </c>
      <c r="J33" s="64">
        <v>86.12</v>
      </c>
      <c r="K33" s="64">
        <v>0.55869999999999997</v>
      </c>
      <c r="L33" s="64">
        <v>0.6</v>
      </c>
      <c r="M33" s="64">
        <v>4.9630999999999998</v>
      </c>
      <c r="N33" s="64">
        <v>0.7518928611179454</v>
      </c>
      <c r="O33" s="64">
        <v>16.687272136909257</v>
      </c>
      <c r="P33" s="64">
        <v>97.007582212610899</v>
      </c>
      <c r="Q33" s="64">
        <v>0.48559842633593897</v>
      </c>
      <c r="R33" s="64">
        <v>54.973049024749123</v>
      </c>
      <c r="S33" s="64">
        <v>529.40159127870731</v>
      </c>
      <c r="T33" s="64">
        <v>0.76172782164422415</v>
      </c>
      <c r="U33" s="64">
        <v>0.8</v>
      </c>
      <c r="V33" s="64">
        <v>0.18439082129319617</v>
      </c>
      <c r="W33" s="66" t="s">
        <v>224</v>
      </c>
      <c r="X33" s="123">
        <v>1.4999999999999999E-2</v>
      </c>
      <c r="Y33" s="122">
        <v>1</v>
      </c>
      <c r="Z33" s="64">
        <v>0.8</v>
      </c>
      <c r="AA33" s="64">
        <v>0.40636226339865805</v>
      </c>
      <c r="AB33" s="64">
        <v>0.43905859778139739</v>
      </c>
      <c r="AC33" s="64">
        <v>2.0646118391706696</v>
      </c>
      <c r="AD33" s="64">
        <v>17.382479490708938</v>
      </c>
      <c r="AF33" s="39">
        <v>23</v>
      </c>
      <c r="AG33" s="252">
        <v>24</v>
      </c>
      <c r="AH33" s="252">
        <v>22</v>
      </c>
      <c r="AI33" s="252">
        <v>0</v>
      </c>
      <c r="AJ33" s="252">
        <v>0</v>
      </c>
      <c r="AK33" s="253">
        <v>401.26623999999998</v>
      </c>
      <c r="AL33" s="253">
        <v>10000</v>
      </c>
      <c r="AM33" s="253">
        <v>10000</v>
      </c>
      <c r="AN33" s="253">
        <v>16.687272136909257</v>
      </c>
      <c r="AO33" s="253">
        <v>15</v>
      </c>
      <c r="AP33" s="253">
        <v>15</v>
      </c>
      <c r="AQ33" s="253">
        <v>0.37811159188417415</v>
      </c>
      <c r="AR33" s="253">
        <v>0.40636226339865805</v>
      </c>
      <c r="AS33" s="253">
        <v>0.11244147091873966</v>
      </c>
      <c r="AT33" s="253">
        <v>400.65157560331176</v>
      </c>
      <c r="AU33" s="253">
        <v>0.43484654219518015</v>
      </c>
      <c r="AV33" s="253">
        <v>0.43905859778139739</v>
      </c>
      <c r="AW33" s="253">
        <v>0.55199549283150384</v>
      </c>
    </row>
    <row r="34" spans="2:49" ht="14.1" hidden="1" customHeight="1" x14ac:dyDescent="0.25">
      <c r="B34" s="122">
        <v>24</v>
      </c>
      <c r="C34" s="123">
        <v>402.20699999999999</v>
      </c>
      <c r="D34" s="128"/>
      <c r="E34" s="123">
        <v>398.98950499999995</v>
      </c>
      <c r="F34" s="64">
        <v>3.2174950000000422</v>
      </c>
      <c r="G34" s="123">
        <v>401.976</v>
      </c>
      <c r="H34" s="123">
        <v>398.71870999999993</v>
      </c>
      <c r="I34" s="64">
        <v>3.2572900000000686</v>
      </c>
      <c r="J34" s="64">
        <v>77.37</v>
      </c>
      <c r="K34" s="64">
        <v>0.73919999999999997</v>
      </c>
      <c r="L34" s="64">
        <v>0.6</v>
      </c>
      <c r="M34" s="64">
        <v>36.354599999999991</v>
      </c>
      <c r="N34" s="64">
        <v>0.52749753199240212</v>
      </c>
      <c r="O34" s="64">
        <v>23.902852481519702</v>
      </c>
      <c r="P34" s="64">
        <v>81.901666333889636</v>
      </c>
      <c r="Q34" s="64">
        <v>0.51736186957081154</v>
      </c>
      <c r="R34" s="64">
        <v>45.898848140845509</v>
      </c>
      <c r="S34" s="64">
        <v>3520.8884712409449</v>
      </c>
      <c r="T34" s="64">
        <v>0.29856533540131125</v>
      </c>
      <c r="U34" s="64">
        <v>0.35</v>
      </c>
      <c r="V34" s="64">
        <v>0.28540827881416353</v>
      </c>
      <c r="W34" s="66" t="s">
        <v>224</v>
      </c>
      <c r="X34" s="123">
        <v>1.4999999999999999E-2</v>
      </c>
      <c r="Y34" s="122">
        <v>1</v>
      </c>
      <c r="Z34" s="64">
        <v>1.5</v>
      </c>
      <c r="AA34" s="64">
        <v>1.1812024666759589</v>
      </c>
      <c r="AB34" s="64">
        <v>0.972637738587529</v>
      </c>
      <c r="AC34" s="64">
        <v>2.3586972088953009</v>
      </c>
      <c r="AD34" s="64">
        <v>24.44955258153124</v>
      </c>
      <c r="AF34" s="39">
        <v>24</v>
      </c>
      <c r="AG34" s="252">
        <v>25</v>
      </c>
      <c r="AH34" s="252">
        <v>20</v>
      </c>
      <c r="AI34" s="252">
        <v>23</v>
      </c>
      <c r="AJ34" s="252">
        <v>0</v>
      </c>
      <c r="AK34" s="253">
        <v>398.98950499999995</v>
      </c>
      <c r="AL34" s="253">
        <v>400.57727999999997</v>
      </c>
      <c r="AM34" s="253">
        <v>10000</v>
      </c>
      <c r="AN34" s="253">
        <v>23.902852481519702</v>
      </c>
      <c r="AO34" s="253">
        <v>17.382479490708938</v>
      </c>
      <c r="AP34" s="253">
        <v>15</v>
      </c>
      <c r="AQ34" s="253">
        <v>0.96152553918412664</v>
      </c>
      <c r="AR34" s="253">
        <v>1.1812024666759589</v>
      </c>
      <c r="AS34" s="253">
        <v>1.0694620775377768</v>
      </c>
      <c r="AT34" s="253">
        <v>663.43374412370031</v>
      </c>
      <c r="AU34" s="253">
        <v>0.96162879445471228</v>
      </c>
      <c r="AV34" s="253">
        <v>0.972637738587529</v>
      </c>
      <c r="AW34" s="253">
        <v>0.86714136257478935</v>
      </c>
    </row>
    <row r="35" spans="2:49" ht="14.1" hidden="1" customHeight="1" x14ac:dyDescent="0.25">
      <c r="B35" s="122">
        <v>25</v>
      </c>
      <c r="C35" s="123">
        <v>401.976</v>
      </c>
      <c r="D35" s="128"/>
      <c r="E35" s="123">
        <v>398.71870999999993</v>
      </c>
      <c r="F35" s="64">
        <v>3.2572900000000686</v>
      </c>
      <c r="G35" s="123">
        <v>401.68</v>
      </c>
      <c r="H35" s="123">
        <v>398.40706999999992</v>
      </c>
      <c r="I35" s="64">
        <v>3.2729300000000876</v>
      </c>
      <c r="J35" s="64">
        <v>89.04</v>
      </c>
      <c r="K35" s="64">
        <v>1.4025000000000001</v>
      </c>
      <c r="L35" s="64">
        <v>0.6</v>
      </c>
      <c r="M35" s="64">
        <v>37.757099999999994</v>
      </c>
      <c r="N35" s="64">
        <v>0.52395530732059037</v>
      </c>
      <c r="O35" s="64">
        <v>24.44955258153124</v>
      </c>
      <c r="P35" s="64">
        <v>80.969953166255863</v>
      </c>
      <c r="Q35" s="64">
        <v>0.51929227537852218</v>
      </c>
      <c r="R35" s="64">
        <v>85.835137193089082</v>
      </c>
      <c r="S35" s="64">
        <v>3606.7236084340338</v>
      </c>
      <c r="T35" s="64">
        <v>0.33243486073673884</v>
      </c>
      <c r="U35" s="64">
        <v>0.35</v>
      </c>
      <c r="V35" s="64">
        <v>0.29949374386690292</v>
      </c>
      <c r="W35" s="66" t="s">
        <v>224</v>
      </c>
      <c r="X35" s="123">
        <v>1.4999999999999999E-2</v>
      </c>
      <c r="Y35" s="122">
        <v>1</v>
      </c>
      <c r="Z35" s="64">
        <v>1.5</v>
      </c>
      <c r="AA35" s="64">
        <v>1.2030266981225779</v>
      </c>
      <c r="AB35" s="64">
        <v>0.98479931269245569</v>
      </c>
      <c r="AC35" s="64">
        <v>2.3741448695213436</v>
      </c>
      <c r="AD35" s="64">
        <v>25.074619745313537</v>
      </c>
      <c r="AF35" s="39">
        <v>25</v>
      </c>
      <c r="AG35" s="252">
        <v>26</v>
      </c>
      <c r="AH35" s="252">
        <v>24</v>
      </c>
      <c r="AI35" s="252">
        <v>0</v>
      </c>
      <c r="AJ35" s="252">
        <v>0</v>
      </c>
      <c r="AK35" s="253">
        <v>398.71870999999993</v>
      </c>
      <c r="AL35" s="253">
        <v>10000</v>
      </c>
      <c r="AM35" s="253">
        <v>10000</v>
      </c>
      <c r="AN35" s="253">
        <v>24.44955258153124</v>
      </c>
      <c r="AO35" s="253">
        <v>15</v>
      </c>
      <c r="AP35" s="253">
        <v>15</v>
      </c>
      <c r="AQ35" s="253">
        <v>0.97275356354926568</v>
      </c>
      <c r="AR35" s="253">
        <v>1.2030266981225779</v>
      </c>
      <c r="AS35" s="253">
        <v>1.1377833573992906</v>
      </c>
      <c r="AT35" s="253">
        <v>675.185533534147</v>
      </c>
      <c r="AU35" s="253">
        <v>0.97353077427763179</v>
      </c>
      <c r="AV35" s="253">
        <v>0.98479931269245569</v>
      </c>
      <c r="AW35" s="253">
        <v>0.87367612871789735</v>
      </c>
    </row>
    <row r="36" spans="2:49" ht="14.1" hidden="1" customHeight="1" x14ac:dyDescent="0.25">
      <c r="B36" s="122">
        <v>26</v>
      </c>
      <c r="C36" s="123">
        <v>401.68</v>
      </c>
      <c r="D36" s="128"/>
      <c r="E36" s="123">
        <v>398.40706999999992</v>
      </c>
      <c r="F36" s="64">
        <v>3.2729300000000876</v>
      </c>
      <c r="G36" s="123">
        <v>401.238</v>
      </c>
      <c r="H36" s="123">
        <v>398.18509999999992</v>
      </c>
      <c r="I36" s="64">
        <v>3.0529000000000792</v>
      </c>
      <c r="J36" s="64">
        <v>63.42</v>
      </c>
      <c r="K36" s="64">
        <v>2.0243000000000002</v>
      </c>
      <c r="L36" s="64">
        <v>0.6</v>
      </c>
      <c r="M36" s="64">
        <v>39.781399999999991</v>
      </c>
      <c r="N36" s="64">
        <v>0.51910707597034733</v>
      </c>
      <c r="O36" s="64">
        <v>25.074619745313537</v>
      </c>
      <c r="P36" s="64">
        <v>79.933879558910775</v>
      </c>
      <c r="Q36" s="64">
        <v>0.52143719891735052</v>
      </c>
      <c r="R36" s="64">
        <v>121.67377073236365</v>
      </c>
      <c r="S36" s="64">
        <v>3728.3973791663975</v>
      </c>
      <c r="T36" s="64">
        <v>0.69694102806686742</v>
      </c>
      <c r="U36" s="64">
        <v>0.35</v>
      </c>
      <c r="V36" s="64">
        <v>0.32004158874809657</v>
      </c>
      <c r="W36" s="66" t="s">
        <v>224</v>
      </c>
      <c r="X36" s="123">
        <v>1.4999999999999999E-2</v>
      </c>
      <c r="Y36" s="122">
        <v>1</v>
      </c>
      <c r="Z36" s="64">
        <v>1.5</v>
      </c>
      <c r="AA36" s="64">
        <v>1.2339631726280293</v>
      </c>
      <c r="AB36" s="64">
        <v>1.0018011154119386</v>
      </c>
      <c r="AC36" s="64">
        <v>2.3970699296667068</v>
      </c>
      <c r="AD36" s="64">
        <v>25.515574757479982</v>
      </c>
      <c r="AF36" s="39">
        <v>26</v>
      </c>
      <c r="AG36" s="252">
        <v>27</v>
      </c>
      <c r="AH36" s="252">
        <v>25</v>
      </c>
      <c r="AI36" s="252">
        <v>0</v>
      </c>
      <c r="AJ36" s="252">
        <v>0</v>
      </c>
      <c r="AK36" s="253">
        <v>398.40706999999992</v>
      </c>
      <c r="AL36" s="253">
        <v>10000</v>
      </c>
      <c r="AM36" s="253">
        <v>10000</v>
      </c>
      <c r="AN36" s="253">
        <v>25.074619745313537</v>
      </c>
      <c r="AO36" s="253">
        <v>15</v>
      </c>
      <c r="AP36" s="253">
        <v>15</v>
      </c>
      <c r="AQ36" s="253">
        <v>0.9884350296837765</v>
      </c>
      <c r="AR36" s="253">
        <v>1.2339631726280293</v>
      </c>
      <c r="AS36" s="253">
        <v>1.2390988902876168</v>
      </c>
      <c r="AT36" s="253">
        <v>691.28792670730877</v>
      </c>
      <c r="AU36" s="253">
        <v>0.99016718675783788</v>
      </c>
      <c r="AV36" s="253">
        <v>1.0018011154119386</v>
      </c>
      <c r="AW36" s="253">
        <v>0.88275839897147201</v>
      </c>
    </row>
    <row r="37" spans="2:49" ht="14.1" hidden="1" customHeight="1" x14ac:dyDescent="0.25">
      <c r="B37" s="122">
        <v>27</v>
      </c>
      <c r="C37" s="123">
        <v>401.238</v>
      </c>
      <c r="D37" s="128"/>
      <c r="E37" s="123">
        <v>398.18509999999992</v>
      </c>
      <c r="F37" s="64">
        <v>3.0529000000000792</v>
      </c>
      <c r="G37" s="123">
        <v>400.738</v>
      </c>
      <c r="H37" s="123">
        <v>397.65753799999993</v>
      </c>
      <c r="I37" s="64">
        <v>3.0804620000000682</v>
      </c>
      <c r="J37" s="64">
        <v>99.54</v>
      </c>
      <c r="K37" s="64">
        <v>0.31259999999999999</v>
      </c>
      <c r="L37" s="64">
        <v>0.6</v>
      </c>
      <c r="M37" s="64">
        <v>40.093999999999994</v>
      </c>
      <c r="N37" s="64">
        <v>0.51838433514545501</v>
      </c>
      <c r="O37" s="64">
        <v>25.515574757479982</v>
      </c>
      <c r="P37" s="64">
        <v>79.220989544030104</v>
      </c>
      <c r="Q37" s="64">
        <v>0.52291223137474085</v>
      </c>
      <c r="R37" s="64">
        <v>18.648424546514299</v>
      </c>
      <c r="S37" s="64">
        <v>3747.0458037129119</v>
      </c>
      <c r="T37" s="64">
        <v>0.50231062889290734</v>
      </c>
      <c r="U37" s="64">
        <v>0.53</v>
      </c>
      <c r="V37" s="64">
        <v>0.32325111640416998</v>
      </c>
      <c r="W37" s="66" t="s">
        <v>224</v>
      </c>
      <c r="X37" s="123">
        <v>1.4999999999999999E-2</v>
      </c>
      <c r="Y37" s="122">
        <v>1</v>
      </c>
      <c r="Z37" s="64">
        <v>1.5</v>
      </c>
      <c r="AA37" s="64">
        <v>1.0602002956409193</v>
      </c>
      <c r="AB37" s="64">
        <v>1.0043830318708911</v>
      </c>
      <c r="AC37" s="64">
        <v>2.806262706898631</v>
      </c>
      <c r="AD37" s="64">
        <v>26.106752481476271</v>
      </c>
      <c r="AF37" s="39">
        <v>27</v>
      </c>
      <c r="AG37" s="252">
        <v>46</v>
      </c>
      <c r="AH37" s="252">
        <v>26</v>
      </c>
      <c r="AI37" s="252">
        <v>0</v>
      </c>
      <c r="AJ37" s="252">
        <v>0</v>
      </c>
      <c r="AK37" s="253">
        <v>398.18509999999992</v>
      </c>
      <c r="AL37" s="253">
        <v>10000</v>
      </c>
      <c r="AM37" s="253">
        <v>10000</v>
      </c>
      <c r="AN37" s="253">
        <v>25.515574757479982</v>
      </c>
      <c r="AO37" s="253">
        <v>15</v>
      </c>
      <c r="AP37" s="253">
        <v>15</v>
      </c>
      <c r="AQ37" s="253">
        <v>0.89652508083955285</v>
      </c>
      <c r="AR37" s="253">
        <v>1.0602002956409193</v>
      </c>
      <c r="AS37" s="253">
        <v>0.73639321053002049</v>
      </c>
      <c r="AT37" s="253">
        <v>593.44183509446054</v>
      </c>
      <c r="AU37" s="253">
        <v>0.99269336446982426</v>
      </c>
      <c r="AV37" s="253">
        <v>1.0043830318708911</v>
      </c>
      <c r="AW37" s="253">
        <v>0.88413229067397525</v>
      </c>
    </row>
    <row r="38" spans="2:49" ht="14.1" hidden="1" customHeight="1" x14ac:dyDescent="0.25">
      <c r="B38" s="122">
        <v>28</v>
      </c>
      <c r="C38" s="123">
        <v>404.99599999999998</v>
      </c>
      <c r="D38" s="128"/>
      <c r="E38" s="123">
        <v>403.49599999999998</v>
      </c>
      <c r="F38" s="64">
        <v>1.5</v>
      </c>
      <c r="G38" s="123">
        <v>404.64600000000002</v>
      </c>
      <c r="H38" s="123">
        <v>403.12619000000001</v>
      </c>
      <c r="I38" s="64">
        <v>1.5198100000000068</v>
      </c>
      <c r="J38" s="64">
        <v>82.18</v>
      </c>
      <c r="K38" s="64">
        <v>1.1832</v>
      </c>
      <c r="L38" s="64">
        <v>0.6</v>
      </c>
      <c r="M38" s="64">
        <v>1.1832</v>
      </c>
      <c r="N38" s="64">
        <v>0.97050024049313199</v>
      </c>
      <c r="O38" s="64">
        <v>15</v>
      </c>
      <c r="P38" s="64">
        <v>101.5258000467022</v>
      </c>
      <c r="Q38" s="64">
        <v>0.47581283640599359</v>
      </c>
      <c r="R38" s="64">
        <v>154.0985756267597</v>
      </c>
      <c r="S38" s="64">
        <v>154.0985756267597</v>
      </c>
      <c r="T38" s="64">
        <v>0.42589437819416626</v>
      </c>
      <c r="U38" s="64">
        <v>0.45</v>
      </c>
      <c r="V38" s="64">
        <v>7.2461278333791387E-2</v>
      </c>
      <c r="W38" s="66" t="s">
        <v>224</v>
      </c>
      <c r="X38" s="123">
        <v>1.4999999999999999E-2</v>
      </c>
      <c r="Y38" s="122">
        <v>1</v>
      </c>
      <c r="Z38" s="64">
        <v>0.6</v>
      </c>
      <c r="AA38" s="64">
        <v>0.27351923174454584</v>
      </c>
      <c r="AB38" s="64">
        <v>0.25246532717930059</v>
      </c>
      <c r="AC38" s="64">
        <v>1.2278392829489584</v>
      </c>
      <c r="AD38" s="64">
        <v>16.115509729723808</v>
      </c>
      <c r="AF38" s="39">
        <v>28</v>
      </c>
      <c r="AG38" s="252">
        <v>29</v>
      </c>
      <c r="AH38" s="252">
        <v>0</v>
      </c>
      <c r="AI38" s="252">
        <v>0</v>
      </c>
      <c r="AJ38" s="252">
        <v>0</v>
      </c>
      <c r="AK38" s="253">
        <v>10000</v>
      </c>
      <c r="AL38" s="253">
        <v>10000</v>
      </c>
      <c r="AM38" s="253">
        <v>10000</v>
      </c>
      <c r="AN38" s="253">
        <v>15</v>
      </c>
      <c r="AO38" s="253">
        <v>15</v>
      </c>
      <c r="AP38" s="253">
        <v>15</v>
      </c>
      <c r="AQ38" s="253">
        <v>0.26007730307296817</v>
      </c>
      <c r="AR38" s="253">
        <v>0.27351923174454584</v>
      </c>
      <c r="AS38" s="253">
        <v>5.3166579201997993E-2</v>
      </c>
      <c r="AT38" s="253">
        <v>348.62184726257505</v>
      </c>
      <c r="AU38" s="253">
        <v>0.25072099204141174</v>
      </c>
      <c r="AV38" s="253">
        <v>0.25246532717930059</v>
      </c>
      <c r="AW38" s="253">
        <v>0.40038699585445137</v>
      </c>
    </row>
    <row r="39" spans="2:49" ht="14.1" hidden="1" customHeight="1" x14ac:dyDescent="0.25">
      <c r="B39" s="122">
        <v>29</v>
      </c>
      <c r="C39" s="123">
        <v>404.64600000000002</v>
      </c>
      <c r="D39" s="128"/>
      <c r="E39" s="123">
        <v>403.12619000000001</v>
      </c>
      <c r="F39" s="64">
        <v>1.5198100000000068</v>
      </c>
      <c r="G39" s="123">
        <v>404.20400000000001</v>
      </c>
      <c r="H39" s="123">
        <v>402.67419999999998</v>
      </c>
      <c r="I39" s="64">
        <v>1.5298000000000229</v>
      </c>
      <c r="J39" s="64">
        <v>82.18</v>
      </c>
      <c r="K39" s="64">
        <v>0.50700000000000001</v>
      </c>
      <c r="L39" s="64">
        <v>0.6</v>
      </c>
      <c r="M39" s="64">
        <v>1.6901999999999999</v>
      </c>
      <c r="N39" s="64">
        <v>0.91080838194855807</v>
      </c>
      <c r="O39" s="64">
        <v>16.115509729723808</v>
      </c>
      <c r="P39" s="64">
        <v>98.486473605864148</v>
      </c>
      <c r="Q39" s="64">
        <v>0.48241463262693224</v>
      </c>
      <c r="R39" s="64">
        <v>60.948676480024574</v>
      </c>
      <c r="S39" s="64">
        <v>215.04725210678427</v>
      </c>
      <c r="T39" s="64">
        <v>0.53784375760526559</v>
      </c>
      <c r="U39" s="64">
        <v>0.55000000000000004</v>
      </c>
      <c r="V39" s="64">
        <v>0.14111609091746644</v>
      </c>
      <c r="W39" s="66" t="s">
        <v>224</v>
      </c>
      <c r="X39" s="123">
        <v>1.4999999999999999E-2</v>
      </c>
      <c r="Y39" s="122">
        <v>1</v>
      </c>
      <c r="Z39" s="64">
        <v>0.6</v>
      </c>
      <c r="AA39" s="64">
        <v>0.31525614680154213</v>
      </c>
      <c r="AB39" s="64">
        <v>0.29982695159986794</v>
      </c>
      <c r="AC39" s="64">
        <v>1.4286821477373652</v>
      </c>
      <c r="AD39" s="64">
        <v>17.074202094457167</v>
      </c>
      <c r="AF39" s="39">
        <v>29</v>
      </c>
      <c r="AG39" s="252">
        <v>31</v>
      </c>
      <c r="AH39" s="252">
        <v>28</v>
      </c>
      <c r="AI39" s="252">
        <v>0</v>
      </c>
      <c r="AJ39" s="252">
        <v>0</v>
      </c>
      <c r="AK39" s="253">
        <v>403.12619000000001</v>
      </c>
      <c r="AL39" s="253">
        <v>10000</v>
      </c>
      <c r="AM39" s="253">
        <v>10000</v>
      </c>
      <c r="AN39" s="253">
        <v>16.115509729723808</v>
      </c>
      <c r="AO39" s="253">
        <v>15</v>
      </c>
      <c r="AP39" s="253">
        <v>15</v>
      </c>
      <c r="AQ39" s="253">
        <v>0.29097901021018718</v>
      </c>
      <c r="AR39" s="253">
        <v>0.31525614680154213</v>
      </c>
      <c r="AS39" s="253">
        <v>9.677543438820542E-2</v>
      </c>
      <c r="AT39" s="253">
        <v>418.11502930896302</v>
      </c>
      <c r="AU39" s="253">
        <v>0.29723982809296706</v>
      </c>
      <c r="AV39" s="253">
        <v>0.29982695159986794</v>
      </c>
      <c r="AW39" s="253">
        <v>0.44421574539305581</v>
      </c>
    </row>
    <row r="40" spans="2:49" ht="14.1" customHeight="1" x14ac:dyDescent="0.25">
      <c r="B40" s="122">
        <v>30</v>
      </c>
      <c r="C40" s="123">
        <v>404.51600000000002</v>
      </c>
      <c r="D40" s="128"/>
      <c r="E40" s="123">
        <v>403.01600000000002</v>
      </c>
      <c r="F40" s="64">
        <v>1.5</v>
      </c>
      <c r="G40" s="123">
        <v>404.20400000000001</v>
      </c>
      <c r="H40" s="123">
        <v>402.67652000000004</v>
      </c>
      <c r="I40" s="64">
        <v>1.5274799999999686</v>
      </c>
      <c r="J40" s="64">
        <v>75.44</v>
      </c>
      <c r="K40" s="64">
        <v>1.2309000000000001</v>
      </c>
      <c r="L40" s="64">
        <v>0.6</v>
      </c>
      <c r="M40" s="64">
        <v>1.2309000000000001</v>
      </c>
      <c r="N40" s="64">
        <v>0.96369664411239175</v>
      </c>
      <c r="O40" s="64">
        <v>15</v>
      </c>
      <c r="P40" s="64">
        <v>101.5258000467022</v>
      </c>
      <c r="Q40" s="64">
        <v>0.47581283640599359</v>
      </c>
      <c r="R40" s="64">
        <v>159.1871232406306</v>
      </c>
      <c r="S40" s="64">
        <v>159.1871232406306</v>
      </c>
      <c r="T40" s="64">
        <v>0.41357370095441653</v>
      </c>
      <c r="U40" s="64">
        <v>0.45</v>
      </c>
      <c r="V40" s="64">
        <v>7.7325833752879242E-2</v>
      </c>
      <c r="W40" s="66" t="s">
        <v>224</v>
      </c>
      <c r="X40" s="123">
        <v>1.4999999999999999E-2</v>
      </c>
      <c r="Y40" s="122">
        <v>1</v>
      </c>
      <c r="Z40" s="64">
        <v>0.6</v>
      </c>
      <c r="AA40" s="64">
        <v>0.27877370043714633</v>
      </c>
      <c r="AB40" s="64">
        <v>0.25673243202244811</v>
      </c>
      <c r="AC40" s="64">
        <v>1.2373993356599546</v>
      </c>
      <c r="AD40" s="64">
        <v>16.016109591381628</v>
      </c>
      <c r="AF40" s="39">
        <v>30</v>
      </c>
      <c r="AG40" s="252">
        <v>31</v>
      </c>
      <c r="AH40" s="252">
        <v>0</v>
      </c>
      <c r="AI40" s="252">
        <v>0</v>
      </c>
      <c r="AJ40" s="252">
        <v>0</v>
      </c>
      <c r="AK40" s="253">
        <v>10000</v>
      </c>
      <c r="AL40" s="253">
        <v>10000</v>
      </c>
      <c r="AM40" s="253">
        <v>10000</v>
      </c>
      <c r="AN40" s="253">
        <v>15</v>
      </c>
      <c r="AO40" s="253">
        <v>15</v>
      </c>
      <c r="AP40" s="253">
        <v>15</v>
      </c>
      <c r="AQ40" s="253">
        <v>0.26418194934089428</v>
      </c>
      <c r="AR40" s="253">
        <v>0.27877370043714633</v>
      </c>
      <c r="AS40" s="253">
        <v>5.7798125570604549E-2</v>
      </c>
      <c r="AT40" s="253">
        <v>357.35145534918229</v>
      </c>
      <c r="AU40" s="253">
        <v>0.25491554626662211</v>
      </c>
      <c r="AV40" s="253">
        <v>0.25673243202244811</v>
      </c>
      <c r="AW40" s="253">
        <v>0.40446210290206197</v>
      </c>
    </row>
    <row r="41" spans="2:49" ht="14.1" customHeight="1" x14ac:dyDescent="0.25">
      <c r="B41" s="122">
        <v>31</v>
      </c>
      <c r="C41" s="123">
        <v>404.20400000000001</v>
      </c>
      <c r="D41" s="128">
        <v>0.1</v>
      </c>
      <c r="E41" s="123">
        <v>402.57419999999996</v>
      </c>
      <c r="F41" s="64">
        <v>1.6298000000000457</v>
      </c>
      <c r="G41" s="123">
        <v>404.04500000000002</v>
      </c>
      <c r="H41" s="123">
        <v>402.30305499999997</v>
      </c>
      <c r="I41" s="64">
        <v>1.7419450000000438</v>
      </c>
      <c r="J41" s="64">
        <v>77.47</v>
      </c>
      <c r="K41" s="64">
        <v>0.75049999999999994</v>
      </c>
      <c r="L41" s="64">
        <v>0.6</v>
      </c>
      <c r="M41" s="64">
        <v>3.6715999999999998</v>
      </c>
      <c r="N41" s="64">
        <v>0.79333341256206824</v>
      </c>
      <c r="O41" s="64">
        <v>17.074202094457167</v>
      </c>
      <c r="P41" s="64">
        <v>96.035178595308636</v>
      </c>
      <c r="Q41" s="64">
        <v>0.48768251270910656</v>
      </c>
      <c r="R41" s="64">
        <v>77.465123040783226</v>
      </c>
      <c r="S41" s="64">
        <v>451.69949838819809</v>
      </c>
      <c r="T41" s="64">
        <v>0.20524073835031859</v>
      </c>
      <c r="U41" s="64">
        <v>0.35</v>
      </c>
      <c r="V41" s="64">
        <v>0.13423569958498324</v>
      </c>
      <c r="W41" s="66" t="s">
        <v>224</v>
      </c>
      <c r="X41" s="123">
        <v>1.4999999999999999E-2</v>
      </c>
      <c r="Y41" s="122">
        <v>1</v>
      </c>
      <c r="Z41" s="64">
        <v>0.8</v>
      </c>
      <c r="AA41" s="64">
        <v>0.47996336305857856</v>
      </c>
      <c r="AB41" s="64">
        <v>0.40453731947135085</v>
      </c>
      <c r="AC41" s="64">
        <v>1.4345612955527738</v>
      </c>
      <c r="AD41" s="64">
        <v>17.974244965172669</v>
      </c>
      <c r="AF41" s="39">
        <v>31</v>
      </c>
      <c r="AG41" s="252">
        <v>32</v>
      </c>
      <c r="AH41" s="252">
        <v>29</v>
      </c>
      <c r="AI41" s="252">
        <v>30</v>
      </c>
      <c r="AJ41" s="252">
        <v>0</v>
      </c>
      <c r="AK41" s="253">
        <v>402.67419999999998</v>
      </c>
      <c r="AL41" s="253">
        <v>402.67652000000004</v>
      </c>
      <c r="AM41" s="253">
        <v>10000</v>
      </c>
      <c r="AN41" s="253">
        <v>17.074202094457167</v>
      </c>
      <c r="AO41" s="253">
        <v>16.016109591381628</v>
      </c>
      <c r="AP41" s="253">
        <v>15</v>
      </c>
      <c r="AQ41" s="253">
        <v>0.42748148010008158</v>
      </c>
      <c r="AR41" s="253">
        <v>0.47996336305857856</v>
      </c>
      <c r="AS41" s="253">
        <v>0.2162898798057829</v>
      </c>
      <c r="AT41" s="253">
        <v>491.98348541782156</v>
      </c>
      <c r="AU41" s="253">
        <v>0.4009872766761034</v>
      </c>
      <c r="AV41" s="253">
        <v>0.40453731947135085</v>
      </c>
      <c r="AW41" s="253">
        <v>0.52534946519601222</v>
      </c>
    </row>
    <row r="42" spans="2:49" ht="14.1" customHeight="1" x14ac:dyDescent="0.25">
      <c r="B42" s="122">
        <v>32</v>
      </c>
      <c r="C42" s="123">
        <v>404.04500000000002</v>
      </c>
      <c r="D42" s="128"/>
      <c r="E42" s="123">
        <v>402.30305499999997</v>
      </c>
      <c r="F42" s="64">
        <v>1.7419450000000438</v>
      </c>
      <c r="G42" s="123">
        <v>404.084</v>
      </c>
      <c r="H42" s="123">
        <v>402.15038499999997</v>
      </c>
      <c r="I42" s="64">
        <v>1.9336150000000316</v>
      </c>
      <c r="J42" s="64">
        <v>50.89</v>
      </c>
      <c r="K42" s="64">
        <v>1.5267999999999999</v>
      </c>
      <c r="L42" s="64">
        <v>0.6</v>
      </c>
      <c r="M42" s="64">
        <v>5.1983999999999995</v>
      </c>
      <c r="N42" s="64">
        <v>0.74571897587274527</v>
      </c>
      <c r="O42" s="64">
        <v>17.974244965172669</v>
      </c>
      <c r="P42" s="64">
        <v>93.857028837442726</v>
      </c>
      <c r="Q42" s="64">
        <v>0.49232597207394518</v>
      </c>
      <c r="R42" s="64">
        <v>146.15347177084649</v>
      </c>
      <c r="S42" s="64">
        <v>597.85297015904462</v>
      </c>
      <c r="T42" s="64">
        <v>-7.6635881312610066E-2</v>
      </c>
      <c r="U42" s="64">
        <v>0.3</v>
      </c>
      <c r="V42" s="64">
        <v>0.23515682957438902</v>
      </c>
      <c r="W42" s="66" t="s">
        <v>224</v>
      </c>
      <c r="X42" s="123">
        <v>1.4999999999999999E-2</v>
      </c>
      <c r="Y42" s="122">
        <v>1</v>
      </c>
      <c r="Z42" s="64">
        <v>0.8</v>
      </c>
      <c r="AA42" s="64">
        <v>0.62063351647660392</v>
      </c>
      <c r="AB42" s="64">
        <v>0.46748397258519775</v>
      </c>
      <c r="AC42" s="64">
        <v>1.4288237069627616</v>
      </c>
      <c r="AD42" s="64">
        <v>18.567856803031663</v>
      </c>
      <c r="AF42" s="39">
        <v>32</v>
      </c>
      <c r="AG42" s="252">
        <v>33</v>
      </c>
      <c r="AH42" s="252">
        <v>31</v>
      </c>
      <c r="AI42" s="252">
        <v>0</v>
      </c>
      <c r="AJ42" s="252">
        <v>0</v>
      </c>
      <c r="AK42" s="253">
        <v>402.30305499999997</v>
      </c>
      <c r="AL42" s="253">
        <v>10000</v>
      </c>
      <c r="AM42" s="253">
        <v>10000</v>
      </c>
      <c r="AN42" s="253">
        <v>17.974244965172669</v>
      </c>
      <c r="AO42" s="253">
        <v>15</v>
      </c>
      <c r="AP42" s="253">
        <v>15</v>
      </c>
      <c r="AQ42" s="253">
        <v>0.50784650276215981</v>
      </c>
      <c r="AR42" s="253">
        <v>0.62063351647660392</v>
      </c>
      <c r="AS42" s="253">
        <v>0.54208658608266735</v>
      </c>
      <c r="AT42" s="253">
        <v>653.78623081444505</v>
      </c>
      <c r="AU42" s="253">
        <v>0.46270655634826263</v>
      </c>
      <c r="AV42" s="253">
        <v>0.46748397258519775</v>
      </c>
      <c r="AW42" s="253">
        <v>0.57331874736113075</v>
      </c>
    </row>
    <row r="43" spans="2:49" ht="14.1" hidden="1" customHeight="1" x14ac:dyDescent="0.25">
      <c r="B43" s="122">
        <v>33</v>
      </c>
      <c r="C43" s="123">
        <v>404.084</v>
      </c>
      <c r="D43" s="128"/>
      <c r="E43" s="123">
        <v>402.15038499999997</v>
      </c>
      <c r="F43" s="64">
        <v>1.9336150000000316</v>
      </c>
      <c r="G43" s="123">
        <v>403.83</v>
      </c>
      <c r="H43" s="123">
        <v>401.92385499999995</v>
      </c>
      <c r="I43" s="64">
        <v>1.9061450000000377</v>
      </c>
      <c r="J43" s="64">
        <v>75.510000000000005</v>
      </c>
      <c r="K43" s="64">
        <v>0.28110000000000002</v>
      </c>
      <c r="L43" s="64">
        <v>0.6</v>
      </c>
      <c r="M43" s="64">
        <v>5.4794999999999998</v>
      </c>
      <c r="N43" s="64">
        <v>0.73876126152274846</v>
      </c>
      <c r="O43" s="64">
        <v>18.567856803031663</v>
      </c>
      <c r="P43" s="64">
        <v>92.481035265153295</v>
      </c>
      <c r="Q43" s="64">
        <v>0.49524307856940691</v>
      </c>
      <c r="R43" s="64">
        <v>26.422158814111739</v>
      </c>
      <c r="S43" s="64">
        <v>624.27512897315637</v>
      </c>
      <c r="T43" s="64">
        <v>0.33637928751161317</v>
      </c>
      <c r="U43" s="64">
        <v>0.3</v>
      </c>
      <c r="V43" s="64">
        <v>0.25640168803716279</v>
      </c>
      <c r="W43" s="66" t="s">
        <v>224</v>
      </c>
      <c r="X43" s="123">
        <v>1.4999999999999999E-2</v>
      </c>
      <c r="Y43" s="122">
        <v>1</v>
      </c>
      <c r="Z43" s="64">
        <v>0.8</v>
      </c>
      <c r="AA43" s="64">
        <v>0.64132147641902315</v>
      </c>
      <c r="AB43" s="64">
        <v>0.47803112518500179</v>
      </c>
      <c r="AC43" s="64">
        <v>1.4453087487358693</v>
      </c>
      <c r="AD43" s="64">
        <v>19.438605008977792</v>
      </c>
      <c r="AF43" s="39">
        <v>33</v>
      </c>
      <c r="AG43" s="252">
        <v>36</v>
      </c>
      <c r="AH43" s="252">
        <v>32</v>
      </c>
      <c r="AI43" s="252">
        <v>0</v>
      </c>
      <c r="AJ43" s="252">
        <v>0</v>
      </c>
      <c r="AK43" s="253">
        <v>402.15038499999997</v>
      </c>
      <c r="AL43" s="253">
        <v>10000</v>
      </c>
      <c r="AM43" s="253">
        <v>10000</v>
      </c>
      <c r="AN43" s="253">
        <v>18.567856803031663</v>
      </c>
      <c r="AO43" s="253">
        <v>15</v>
      </c>
      <c r="AP43" s="253">
        <v>15</v>
      </c>
      <c r="AQ43" s="253">
        <v>0.51854352716092278</v>
      </c>
      <c r="AR43" s="253">
        <v>0.64132147641902315</v>
      </c>
      <c r="AS43" s="253">
        <v>0.60583765395240663</v>
      </c>
      <c r="AT43" s="253">
        <v>674.89378298838267</v>
      </c>
      <c r="AU43" s="253">
        <v>0.47303953361707402</v>
      </c>
      <c r="AV43" s="253">
        <v>0.47803112518500179</v>
      </c>
      <c r="AW43" s="253">
        <v>0.58109933853864748</v>
      </c>
    </row>
    <row r="44" spans="2:49" ht="14.1" hidden="1" customHeight="1" x14ac:dyDescent="0.25">
      <c r="B44" s="122">
        <v>34</v>
      </c>
      <c r="C44" s="123">
        <v>404.54399999999998</v>
      </c>
      <c r="D44" s="128"/>
      <c r="E44" s="123">
        <v>403.04399999999998</v>
      </c>
      <c r="F44" s="64">
        <v>1.5</v>
      </c>
      <c r="G44" s="123">
        <v>404.20800000000003</v>
      </c>
      <c r="H44" s="123">
        <v>402.66186999999996</v>
      </c>
      <c r="I44" s="64">
        <v>1.546130000000062</v>
      </c>
      <c r="J44" s="64">
        <v>109.18</v>
      </c>
      <c r="K44" s="64">
        <v>1.5478000000000001</v>
      </c>
      <c r="L44" s="64">
        <v>0.6</v>
      </c>
      <c r="M44" s="64">
        <v>1.5478000000000001</v>
      </c>
      <c r="N44" s="64">
        <v>0.92518963369797524</v>
      </c>
      <c r="O44" s="64">
        <v>15</v>
      </c>
      <c r="P44" s="64">
        <v>101.5258000467022</v>
      </c>
      <c r="Q44" s="64">
        <v>0.47581283640599359</v>
      </c>
      <c r="R44" s="64">
        <v>192.1721356154639</v>
      </c>
      <c r="S44" s="64">
        <v>192.1721356154639</v>
      </c>
      <c r="T44" s="64">
        <v>0.30774867191789324</v>
      </c>
      <c r="U44" s="64">
        <v>0.35</v>
      </c>
      <c r="V44" s="64">
        <v>0.1126910889438021</v>
      </c>
      <c r="W44" s="66" t="s">
        <v>224</v>
      </c>
      <c r="X44" s="123">
        <v>1.4999999999999999E-2</v>
      </c>
      <c r="Y44" s="122">
        <v>1</v>
      </c>
      <c r="Z44" s="64">
        <v>0.6</v>
      </c>
      <c r="AA44" s="64">
        <v>0.33940382278208858</v>
      </c>
      <c r="AB44" s="64">
        <v>0.28292564678771398</v>
      </c>
      <c r="AC44" s="64">
        <v>1.1650622626950031</v>
      </c>
      <c r="AD44" s="64">
        <v>16.561862163879074</v>
      </c>
      <c r="AF44" s="39">
        <v>34</v>
      </c>
      <c r="AG44" s="252">
        <v>35</v>
      </c>
      <c r="AH44" s="252">
        <v>0</v>
      </c>
      <c r="AI44" s="252">
        <v>0</v>
      </c>
      <c r="AJ44" s="252">
        <v>0</v>
      </c>
      <c r="AK44" s="253">
        <v>10000</v>
      </c>
      <c r="AL44" s="253">
        <v>10000</v>
      </c>
      <c r="AM44" s="253">
        <v>10000</v>
      </c>
      <c r="AN44" s="253">
        <v>15</v>
      </c>
      <c r="AO44" s="253">
        <v>15</v>
      </c>
      <c r="AP44" s="253">
        <v>15</v>
      </c>
      <c r="AQ44" s="253">
        <v>0.30734497286097712</v>
      </c>
      <c r="AR44" s="253">
        <v>0.33940382278208858</v>
      </c>
      <c r="AS44" s="253">
        <v>0.12954693992129646</v>
      </c>
      <c r="AT44" s="253">
        <v>458.18279839047312</v>
      </c>
      <c r="AU44" s="253">
        <v>0.28064844207815587</v>
      </c>
      <c r="AV44" s="253">
        <v>0.28292564678771398</v>
      </c>
      <c r="AW44" s="253">
        <v>0.42891322285292482</v>
      </c>
    </row>
    <row r="45" spans="2:49" ht="14.1" hidden="1" customHeight="1" x14ac:dyDescent="0.25">
      <c r="B45" s="122">
        <v>35</v>
      </c>
      <c r="C45" s="123">
        <v>404.20800000000003</v>
      </c>
      <c r="D45" s="128"/>
      <c r="E45" s="123">
        <v>402.66186999999996</v>
      </c>
      <c r="F45" s="64">
        <v>1.546130000000062</v>
      </c>
      <c r="G45" s="123">
        <v>403.83</v>
      </c>
      <c r="H45" s="123">
        <v>402.30438999999996</v>
      </c>
      <c r="I45" s="64">
        <v>1.5256100000000288</v>
      </c>
      <c r="J45" s="64">
        <v>59.58</v>
      </c>
      <c r="K45" s="64">
        <v>0.78010000000000002</v>
      </c>
      <c r="L45" s="64">
        <v>0.6</v>
      </c>
      <c r="M45" s="64">
        <v>2.3279000000000001</v>
      </c>
      <c r="N45" s="64">
        <v>0.86036027752595923</v>
      </c>
      <c r="O45" s="64">
        <v>16.561862163879074</v>
      </c>
      <c r="P45" s="64">
        <v>97.327605337852901</v>
      </c>
      <c r="Q45" s="64">
        <v>0.48491095493839587</v>
      </c>
      <c r="R45" s="64">
        <v>87.995589286147563</v>
      </c>
      <c r="S45" s="64">
        <v>280.16772490161145</v>
      </c>
      <c r="T45" s="64">
        <v>0.63444108761336482</v>
      </c>
      <c r="U45" s="64">
        <v>0.6</v>
      </c>
      <c r="V45" s="64">
        <v>0.23952174635097545</v>
      </c>
      <c r="W45" s="66" t="s">
        <v>224</v>
      </c>
      <c r="X45" s="123">
        <v>1.4999999999999999E-2</v>
      </c>
      <c r="Y45" s="122">
        <v>1</v>
      </c>
      <c r="Z45" s="64">
        <v>0.6</v>
      </c>
      <c r="AA45" s="64">
        <v>0.36493982377908979</v>
      </c>
      <c r="AB45" s="64">
        <v>0.34366826555575536</v>
      </c>
      <c r="AC45" s="64">
        <v>1.5562358028339665</v>
      </c>
      <c r="AD45" s="64">
        <v>17.199940274016178</v>
      </c>
      <c r="AF45" s="39">
        <v>35</v>
      </c>
      <c r="AG45" s="252">
        <v>36</v>
      </c>
      <c r="AH45" s="252">
        <v>34</v>
      </c>
      <c r="AI45" s="252">
        <v>0</v>
      </c>
      <c r="AJ45" s="252">
        <v>0</v>
      </c>
      <c r="AK45" s="253">
        <v>402.66186999999996</v>
      </c>
      <c r="AL45" s="253">
        <v>10000</v>
      </c>
      <c r="AM45" s="253">
        <v>10000</v>
      </c>
      <c r="AN45" s="253">
        <v>16.561862163879074</v>
      </c>
      <c r="AO45" s="253">
        <v>15</v>
      </c>
      <c r="AP45" s="253">
        <v>15</v>
      </c>
      <c r="AQ45" s="253">
        <v>0.32368964503391179</v>
      </c>
      <c r="AR45" s="253">
        <v>0.36493982377908979</v>
      </c>
      <c r="AS45" s="253">
        <v>0.17083392620680712</v>
      </c>
      <c r="AT45" s="253">
        <v>500.08082249813413</v>
      </c>
      <c r="AU45" s="253">
        <v>0.34023451269437061</v>
      </c>
      <c r="AV45" s="253">
        <v>0.34366826555575536</v>
      </c>
      <c r="AW45" s="253">
        <v>0.48239561925232782</v>
      </c>
    </row>
    <row r="46" spans="2:49" ht="14.1" hidden="1" customHeight="1" x14ac:dyDescent="0.25">
      <c r="B46" s="122">
        <v>36</v>
      </c>
      <c r="C46" s="123">
        <v>403.83</v>
      </c>
      <c r="D46" s="128"/>
      <c r="E46" s="123">
        <v>401.92385499999995</v>
      </c>
      <c r="F46" s="64">
        <v>1.9061450000000377</v>
      </c>
      <c r="G46" s="123">
        <v>403.40899999999999</v>
      </c>
      <c r="H46" s="123">
        <v>401.58929499999994</v>
      </c>
      <c r="I46" s="64">
        <v>1.8197050000000559</v>
      </c>
      <c r="J46" s="64">
        <v>55.76</v>
      </c>
      <c r="K46" s="64">
        <v>0.58850000000000002</v>
      </c>
      <c r="L46" s="64">
        <v>0.6</v>
      </c>
      <c r="M46" s="64">
        <v>8.3958999999999993</v>
      </c>
      <c r="N46" s="64">
        <v>0.68472475329479832</v>
      </c>
      <c r="O46" s="64">
        <v>19.438605008977792</v>
      </c>
      <c r="P46" s="64">
        <v>90.543859151524089</v>
      </c>
      <c r="Q46" s="64">
        <v>0.49933072841054005</v>
      </c>
      <c r="R46" s="64">
        <v>50.61066349011567</v>
      </c>
      <c r="S46" s="64">
        <v>955.05351736488353</v>
      </c>
      <c r="T46" s="64">
        <v>0.75502152080342944</v>
      </c>
      <c r="U46" s="64">
        <v>0.6</v>
      </c>
      <c r="V46" s="64">
        <v>0.60010083455080032</v>
      </c>
      <c r="W46" s="66" t="s">
        <v>224</v>
      </c>
      <c r="X46" s="123">
        <v>1.4999999999999999E-2</v>
      </c>
      <c r="Y46" s="122">
        <v>1</v>
      </c>
      <c r="Z46" s="64">
        <v>0.8</v>
      </c>
      <c r="AA46" s="64">
        <v>0.74177497041467066</v>
      </c>
      <c r="AB46" s="64">
        <v>0.59527545311699048</v>
      </c>
      <c r="AC46" s="64">
        <v>1.964037913263377</v>
      </c>
      <c r="AD46" s="64">
        <v>19.911779853036268</v>
      </c>
      <c r="AF46" s="39">
        <v>36</v>
      </c>
      <c r="AG46" s="252">
        <v>37</v>
      </c>
      <c r="AH46" s="252">
        <v>33</v>
      </c>
      <c r="AI46" s="252">
        <v>35</v>
      </c>
      <c r="AJ46" s="252">
        <v>0</v>
      </c>
      <c r="AK46" s="253">
        <v>401.92385499999995</v>
      </c>
      <c r="AL46" s="253">
        <v>402.30438999999996</v>
      </c>
      <c r="AM46" s="253">
        <v>10000</v>
      </c>
      <c r="AN46" s="253">
        <v>19.438605008977792</v>
      </c>
      <c r="AO46" s="253">
        <v>17.199940274016178</v>
      </c>
      <c r="AP46" s="253">
        <v>15</v>
      </c>
      <c r="AQ46" s="253">
        <v>0.53856620255976095</v>
      </c>
      <c r="AR46" s="253">
        <v>0.68129224262124288</v>
      </c>
      <c r="AS46" s="253">
        <v>0.74177497041467066</v>
      </c>
      <c r="AT46" s="253">
        <v>759.7975124640667</v>
      </c>
      <c r="AU46" s="253">
        <v>0.58775867582034402</v>
      </c>
      <c r="AV46" s="253">
        <v>0.59527545311699048</v>
      </c>
      <c r="AW46" s="253">
        <v>0.66344711253594679</v>
      </c>
    </row>
    <row r="47" spans="2:49" ht="14.1" hidden="1" customHeight="1" x14ac:dyDescent="0.25">
      <c r="B47" s="122">
        <v>37</v>
      </c>
      <c r="C47" s="123">
        <v>403.40899999999999</v>
      </c>
      <c r="D47" s="128">
        <v>0.1</v>
      </c>
      <c r="E47" s="123">
        <v>401.48929499999991</v>
      </c>
      <c r="F47" s="64">
        <v>1.9197050000000786</v>
      </c>
      <c r="G47" s="123">
        <v>403.26499999999999</v>
      </c>
      <c r="H47" s="123">
        <v>401.33123499999994</v>
      </c>
      <c r="I47" s="64">
        <v>1.9337650000000508</v>
      </c>
      <c r="J47" s="64">
        <v>45.16</v>
      </c>
      <c r="K47" s="64">
        <v>0.35630000000000001</v>
      </c>
      <c r="L47" s="64">
        <v>0.6</v>
      </c>
      <c r="M47" s="64">
        <v>8.7521999999999984</v>
      </c>
      <c r="N47" s="64">
        <v>0.67967787429222515</v>
      </c>
      <c r="O47" s="64">
        <v>19.911779853036268</v>
      </c>
      <c r="P47" s="64">
        <v>89.529467936060882</v>
      </c>
      <c r="Q47" s="64">
        <v>0.50146307121389255</v>
      </c>
      <c r="R47" s="64">
        <v>30.203422369509141</v>
      </c>
      <c r="S47" s="64">
        <v>985.25693973439263</v>
      </c>
      <c r="T47" s="64">
        <v>0.31886625332153556</v>
      </c>
      <c r="U47" s="64">
        <v>0.35</v>
      </c>
      <c r="V47" s="64">
        <v>0.19427388108162938</v>
      </c>
      <c r="W47" s="66" t="s">
        <v>224</v>
      </c>
      <c r="X47" s="123">
        <v>1.4999999999999999E-2</v>
      </c>
      <c r="Y47" s="122">
        <v>1</v>
      </c>
      <c r="Z47" s="64">
        <v>1</v>
      </c>
      <c r="AA47" s="64">
        <v>0.68304950472320813</v>
      </c>
      <c r="AB47" s="64">
        <v>0.56704697387554537</v>
      </c>
      <c r="AC47" s="64">
        <v>1.7237633809415787</v>
      </c>
      <c r="AD47" s="64">
        <v>20.348421375294116</v>
      </c>
      <c r="AF47" s="39">
        <v>37</v>
      </c>
      <c r="AG47" s="252">
        <v>39</v>
      </c>
      <c r="AH47" s="252">
        <v>36</v>
      </c>
      <c r="AI47" s="252">
        <v>0</v>
      </c>
      <c r="AJ47" s="252">
        <v>0</v>
      </c>
      <c r="AK47" s="253">
        <v>401.58929499999994</v>
      </c>
      <c r="AL47" s="253">
        <v>10000</v>
      </c>
      <c r="AM47" s="253">
        <v>10000</v>
      </c>
      <c r="AN47" s="253">
        <v>19.911779853036268</v>
      </c>
      <c r="AO47" s="253">
        <v>15</v>
      </c>
      <c r="AP47" s="253">
        <v>15</v>
      </c>
      <c r="AQ47" s="253">
        <v>0.58418620826380663</v>
      </c>
      <c r="AR47" s="253">
        <v>0.68304950472320813</v>
      </c>
      <c r="AS47" s="253">
        <v>0.43483910305999235</v>
      </c>
      <c r="AT47" s="253">
        <v>571.573193065635</v>
      </c>
      <c r="AU47" s="253">
        <v>0.56140973231644897</v>
      </c>
      <c r="AV47" s="253">
        <v>0.56704697387554537</v>
      </c>
      <c r="AW47" s="253">
        <v>0.63768167758861061</v>
      </c>
    </row>
    <row r="48" spans="2:49" ht="14.1" hidden="1" customHeight="1" x14ac:dyDescent="0.25">
      <c r="B48" s="122">
        <v>38</v>
      </c>
      <c r="C48" s="123">
        <v>403.61399999999998</v>
      </c>
      <c r="D48" s="128"/>
      <c r="E48" s="123">
        <v>402.11399999999998</v>
      </c>
      <c r="F48" s="64">
        <v>1.5</v>
      </c>
      <c r="G48" s="123">
        <v>403.26499999999999</v>
      </c>
      <c r="H48" s="123">
        <v>401.74793999999997</v>
      </c>
      <c r="I48" s="64">
        <v>1.517060000000015</v>
      </c>
      <c r="J48" s="64">
        <v>61.01</v>
      </c>
      <c r="K48" s="64">
        <v>0.96009999999999995</v>
      </c>
      <c r="L48" s="64">
        <v>0.6</v>
      </c>
      <c r="M48" s="64">
        <v>0.96009999999999995</v>
      </c>
      <c r="N48" s="64">
        <v>1</v>
      </c>
      <c r="O48" s="64">
        <v>15</v>
      </c>
      <c r="P48" s="64">
        <v>101.5258000467022</v>
      </c>
      <c r="Q48" s="64">
        <v>0.47581283640599359</v>
      </c>
      <c r="R48" s="64">
        <v>128.84313568452919</v>
      </c>
      <c r="S48" s="64">
        <v>128.84313568452919</v>
      </c>
      <c r="T48" s="64">
        <v>0.5720373709227824</v>
      </c>
      <c r="U48" s="64">
        <v>0.6</v>
      </c>
      <c r="V48" s="64">
        <v>5.0656049100374745E-2</v>
      </c>
      <c r="W48" s="66" t="s">
        <v>224</v>
      </c>
      <c r="X48" s="123">
        <v>1.4999999999999999E-2</v>
      </c>
      <c r="Y48" s="122">
        <v>1</v>
      </c>
      <c r="Z48" s="64">
        <v>0.6</v>
      </c>
      <c r="AA48" s="64">
        <v>0.22961573808163069</v>
      </c>
      <c r="AB48" s="64">
        <v>0.23019561625681109</v>
      </c>
      <c r="AC48" s="64">
        <v>1.2944922008587638</v>
      </c>
      <c r="AD48" s="64">
        <v>15.785507500669967</v>
      </c>
      <c r="AF48" s="39">
        <v>38</v>
      </c>
      <c r="AG48" s="252">
        <v>39</v>
      </c>
      <c r="AH48" s="252">
        <v>0</v>
      </c>
      <c r="AI48" s="252">
        <v>0</v>
      </c>
      <c r="AJ48" s="252">
        <v>0</v>
      </c>
      <c r="AK48" s="253">
        <v>10000</v>
      </c>
      <c r="AL48" s="253">
        <v>10000</v>
      </c>
      <c r="AM48" s="253">
        <v>10000</v>
      </c>
      <c r="AN48" s="253">
        <v>15</v>
      </c>
      <c r="AO48" s="253">
        <v>15</v>
      </c>
      <c r="AP48" s="253">
        <v>15</v>
      </c>
      <c r="AQ48" s="253">
        <v>0.22259880075475288</v>
      </c>
      <c r="AR48" s="253">
        <v>0.22961573808163069</v>
      </c>
      <c r="AS48" s="253">
        <v>2.3186208880353949E-2</v>
      </c>
      <c r="AT48" s="253">
        <v>276.47721545658101</v>
      </c>
      <c r="AU48" s="253">
        <v>0.22881802812432092</v>
      </c>
      <c r="AV48" s="253">
        <v>0.23019561625681109</v>
      </c>
      <c r="AW48" s="253">
        <v>0.37865982963035683</v>
      </c>
    </row>
    <row r="49" spans="2:49" ht="14.1" hidden="1" customHeight="1" x14ac:dyDescent="0.25">
      <c r="B49" s="122">
        <v>39</v>
      </c>
      <c r="C49" s="123">
        <v>403.26499999999999</v>
      </c>
      <c r="D49" s="128"/>
      <c r="E49" s="123">
        <v>401.33123499999994</v>
      </c>
      <c r="F49" s="64">
        <v>1.9337650000000508</v>
      </c>
      <c r="G49" s="123">
        <v>402.96</v>
      </c>
      <c r="H49" s="123">
        <v>401.02113499999996</v>
      </c>
      <c r="I49" s="64">
        <v>1.9388650000000212</v>
      </c>
      <c r="J49" s="64">
        <v>88.6</v>
      </c>
      <c r="K49" s="64">
        <v>0.28560000000000002</v>
      </c>
      <c r="L49" s="64">
        <v>0.6</v>
      </c>
      <c r="M49" s="64">
        <v>9.9978999999999996</v>
      </c>
      <c r="N49" s="64">
        <v>0.66376788418718591</v>
      </c>
      <c r="O49" s="64">
        <v>20.348421375294116</v>
      </c>
      <c r="P49" s="64">
        <v>88.616134270809269</v>
      </c>
      <c r="Q49" s="64">
        <v>0.5033786233708365</v>
      </c>
      <c r="R49" s="64">
        <v>23.491689373378282</v>
      </c>
      <c r="S49" s="64">
        <v>1137.5917647923</v>
      </c>
      <c r="T49" s="64">
        <v>0.34424379232506419</v>
      </c>
      <c r="U49" s="64">
        <v>0.35</v>
      </c>
      <c r="V49" s="64">
        <v>0.25899315741366907</v>
      </c>
      <c r="W49" s="66" t="s">
        <v>224</v>
      </c>
      <c r="X49" s="123">
        <v>1.4999999999999999E-2</v>
      </c>
      <c r="Y49" s="122">
        <v>1</v>
      </c>
      <c r="Z49" s="64">
        <v>1</v>
      </c>
      <c r="AA49" s="64">
        <v>0.75917996982054636</v>
      </c>
      <c r="AB49" s="64">
        <v>0.6107032804786382</v>
      </c>
      <c r="AC49" s="64">
        <v>1.7781745572754664</v>
      </c>
      <c r="AD49" s="64">
        <v>21.178861030740109</v>
      </c>
      <c r="AF49" s="39">
        <v>39</v>
      </c>
      <c r="AG49" s="252">
        <v>40</v>
      </c>
      <c r="AH49" s="252">
        <v>37</v>
      </c>
      <c r="AI49" s="252">
        <v>38</v>
      </c>
      <c r="AJ49" s="252">
        <v>0</v>
      </c>
      <c r="AK49" s="253">
        <v>401.33123499999994</v>
      </c>
      <c r="AL49" s="253">
        <v>401.74793999999997</v>
      </c>
      <c r="AM49" s="253">
        <v>10000</v>
      </c>
      <c r="AN49" s="253">
        <v>20.348421375294116</v>
      </c>
      <c r="AO49" s="253">
        <v>15.785507500669967</v>
      </c>
      <c r="AP49" s="253">
        <v>15</v>
      </c>
      <c r="AQ49" s="253">
        <v>0.6261031709895617</v>
      </c>
      <c r="AR49" s="253">
        <v>0.75917996982054636</v>
      </c>
      <c r="AS49" s="253">
        <v>0.62929452906753025</v>
      </c>
      <c r="AT49" s="253">
        <v>639.75258229727876</v>
      </c>
      <c r="AU49" s="253">
        <v>0.60418018908742555</v>
      </c>
      <c r="AV49" s="253">
        <v>0.6107032804786382</v>
      </c>
      <c r="AW49" s="253">
        <v>0.66690739311621794</v>
      </c>
    </row>
    <row r="50" spans="2:49" ht="14.1" hidden="1" customHeight="1" x14ac:dyDescent="0.25">
      <c r="B50" s="122">
        <v>40</v>
      </c>
      <c r="C50" s="123">
        <v>402.96</v>
      </c>
      <c r="D50" s="128"/>
      <c r="E50" s="123">
        <v>401.02113499999996</v>
      </c>
      <c r="F50" s="64">
        <v>1.9388650000000212</v>
      </c>
      <c r="G50" s="123">
        <v>402.11099999999999</v>
      </c>
      <c r="H50" s="123">
        <v>400.17943499999996</v>
      </c>
      <c r="I50" s="64">
        <v>1.9315650000000346</v>
      </c>
      <c r="J50" s="64">
        <v>88.6</v>
      </c>
      <c r="K50" s="64">
        <v>0.53300000000000003</v>
      </c>
      <c r="L50" s="64">
        <v>0.6</v>
      </c>
      <c r="M50" s="64">
        <v>10.530899999999999</v>
      </c>
      <c r="N50" s="64">
        <v>0.65765956821175164</v>
      </c>
      <c r="O50" s="64">
        <v>21.178861030740109</v>
      </c>
      <c r="P50" s="64">
        <v>86.936462955176069</v>
      </c>
      <c r="Q50" s="64">
        <v>0.50689162623103223</v>
      </c>
      <c r="R50" s="64">
        <v>42.911893368833283</v>
      </c>
      <c r="S50" s="64">
        <v>1180.5036581611332</v>
      </c>
      <c r="T50" s="64">
        <v>0.9582392776523585</v>
      </c>
      <c r="U50" s="64">
        <v>0.95</v>
      </c>
      <c r="V50" s="64">
        <v>0.2789010091515759</v>
      </c>
      <c r="W50" s="66" t="s">
        <v>224</v>
      </c>
      <c r="X50" s="123">
        <v>1.4999999999999999E-2</v>
      </c>
      <c r="Y50" s="122">
        <v>1</v>
      </c>
      <c r="Z50" s="64">
        <v>1</v>
      </c>
      <c r="AA50" s="64">
        <v>0.5487554819362106</v>
      </c>
      <c r="AB50" s="64">
        <v>0.62248141284008496</v>
      </c>
      <c r="AC50" s="64">
        <v>2.6745914567668656</v>
      </c>
      <c r="AD50" s="64">
        <v>21.73097027453905</v>
      </c>
      <c r="AF50" s="39">
        <v>40</v>
      </c>
      <c r="AG50" s="252">
        <v>44</v>
      </c>
      <c r="AH50" s="252">
        <v>39</v>
      </c>
      <c r="AI50" s="252">
        <v>0</v>
      </c>
      <c r="AJ50" s="252">
        <v>0</v>
      </c>
      <c r="AK50" s="253">
        <v>401.02113499999996</v>
      </c>
      <c r="AL50" s="253">
        <v>10000</v>
      </c>
      <c r="AM50" s="253">
        <v>10000</v>
      </c>
      <c r="AN50" s="253">
        <v>21.178861030740109</v>
      </c>
      <c r="AO50" s="253">
        <v>15</v>
      </c>
      <c r="AP50" s="253">
        <v>15</v>
      </c>
      <c r="AQ50" s="253">
        <v>0.5010555832929624</v>
      </c>
      <c r="AR50" s="253">
        <v>0.5487554819362106</v>
      </c>
      <c r="AS50" s="253">
        <v>0.19184502810199966</v>
      </c>
      <c r="AT50" s="253">
        <v>441.37718871956804</v>
      </c>
      <c r="AU50" s="253">
        <v>0.61571395268604068</v>
      </c>
      <c r="AV50" s="253">
        <v>0.62248141284008496</v>
      </c>
      <c r="AW50" s="253">
        <v>0.67464910369923536</v>
      </c>
    </row>
    <row r="51" spans="2:49" ht="14.1" hidden="1" customHeight="1" x14ac:dyDescent="0.25">
      <c r="B51" s="122">
        <v>41</v>
      </c>
      <c r="C51" s="123">
        <v>403.10300000000001</v>
      </c>
      <c r="D51" s="128"/>
      <c r="E51" s="123">
        <v>401.60300000000001</v>
      </c>
      <c r="F51" s="64">
        <v>1.5</v>
      </c>
      <c r="G51" s="123">
        <v>402.80599999999998</v>
      </c>
      <c r="H51" s="123">
        <v>401.27476999999999</v>
      </c>
      <c r="I51" s="64">
        <v>1.5312299999999937</v>
      </c>
      <c r="J51" s="64">
        <v>72.94</v>
      </c>
      <c r="K51" s="64">
        <v>1.5228999999999999</v>
      </c>
      <c r="L51" s="64">
        <v>0.6</v>
      </c>
      <c r="M51" s="64">
        <v>1.5228999999999999</v>
      </c>
      <c r="N51" s="64">
        <v>0.92786435940446677</v>
      </c>
      <c r="O51" s="64">
        <v>15</v>
      </c>
      <c r="P51" s="64">
        <v>101.5258000467022</v>
      </c>
      <c r="Q51" s="64">
        <v>0.47581283640599359</v>
      </c>
      <c r="R51" s="64">
        <v>189.62722775732286</v>
      </c>
      <c r="S51" s="64">
        <v>189.62722775732286</v>
      </c>
      <c r="T51" s="64">
        <v>0.40718398683853235</v>
      </c>
      <c r="U51" s="64">
        <v>0.45</v>
      </c>
      <c r="V51" s="64">
        <v>0.1097261482885236</v>
      </c>
      <c r="W51" s="66" t="s">
        <v>224</v>
      </c>
      <c r="X51" s="123">
        <v>1.4999999999999999E-2</v>
      </c>
      <c r="Y51" s="122">
        <v>1</v>
      </c>
      <c r="Z51" s="64">
        <v>0.6</v>
      </c>
      <c r="AA51" s="64">
        <v>0.31020635830330179</v>
      </c>
      <c r="AB51" s="64">
        <v>0.28098646495730556</v>
      </c>
      <c r="AC51" s="64">
        <v>1.2856579818873797</v>
      </c>
      <c r="AD51" s="64">
        <v>15.945559926351514</v>
      </c>
      <c r="AF51" s="39">
        <v>41</v>
      </c>
      <c r="AG51" s="252">
        <v>42</v>
      </c>
      <c r="AH51" s="252">
        <v>0</v>
      </c>
      <c r="AI51" s="252">
        <v>0</v>
      </c>
      <c r="AJ51" s="252">
        <v>0</v>
      </c>
      <c r="AK51" s="253">
        <v>10000</v>
      </c>
      <c r="AL51" s="253">
        <v>10000</v>
      </c>
      <c r="AM51" s="253">
        <v>10000</v>
      </c>
      <c r="AN51" s="253">
        <v>15</v>
      </c>
      <c r="AO51" s="253">
        <v>15</v>
      </c>
      <c r="AP51" s="253">
        <v>15</v>
      </c>
      <c r="AQ51" s="253">
        <v>0.28742970653496874</v>
      </c>
      <c r="AR51" s="253">
        <v>0.31020635830330179</v>
      </c>
      <c r="AS51" s="253">
        <v>9.0633999312324132E-2</v>
      </c>
      <c r="AT51" s="253">
        <v>409.70639683862521</v>
      </c>
      <c r="AU51" s="253">
        <v>0.27874419096685632</v>
      </c>
      <c r="AV51" s="253">
        <v>0.28098646495730556</v>
      </c>
      <c r="AW51" s="253">
        <v>0.42713462602892355</v>
      </c>
    </row>
    <row r="52" spans="2:49" ht="14.1" hidden="1" customHeight="1" x14ac:dyDescent="0.25">
      <c r="B52" s="122">
        <v>42</v>
      </c>
      <c r="C52" s="123">
        <v>402.80599999999998</v>
      </c>
      <c r="D52" s="128"/>
      <c r="E52" s="123">
        <v>401.27476999999999</v>
      </c>
      <c r="F52" s="64">
        <v>1.5312299999999937</v>
      </c>
      <c r="G52" s="123">
        <v>402.28300000000002</v>
      </c>
      <c r="H52" s="123">
        <v>400.74793999999997</v>
      </c>
      <c r="I52" s="64">
        <v>1.5350600000000441</v>
      </c>
      <c r="J52" s="64">
        <v>61.98</v>
      </c>
      <c r="K52" s="64">
        <v>1.1845000000000001</v>
      </c>
      <c r="L52" s="64">
        <v>0.6</v>
      </c>
      <c r="M52" s="64">
        <v>2.7073999999999998</v>
      </c>
      <c r="N52" s="64">
        <v>0.83754021365684606</v>
      </c>
      <c r="O52" s="64">
        <v>15.945559926351514</v>
      </c>
      <c r="P52" s="64">
        <v>98.936059254895497</v>
      </c>
      <c r="Q52" s="64">
        <v>0.4814431977308799</v>
      </c>
      <c r="R52" s="64">
        <v>131.27216193709671</v>
      </c>
      <c r="S52" s="64">
        <v>320.8993896944196</v>
      </c>
      <c r="T52" s="64">
        <v>0.84382058728616938</v>
      </c>
      <c r="U52" s="64">
        <v>0.85</v>
      </c>
      <c r="V52" s="64">
        <v>0.31422918918862358</v>
      </c>
      <c r="W52" s="66" t="s">
        <v>224</v>
      </c>
      <c r="X52" s="123">
        <v>1.4999999999999999E-2</v>
      </c>
      <c r="Y52" s="122">
        <v>1</v>
      </c>
      <c r="Z52" s="64">
        <v>0.6</v>
      </c>
      <c r="AA52" s="64">
        <v>0.35549791025513044</v>
      </c>
      <c r="AB52" s="64">
        <v>0.36859729388266388</v>
      </c>
      <c r="AC52" s="64">
        <v>1.8391810356707092</v>
      </c>
      <c r="AD52" s="64">
        <v>16.507222960041553</v>
      </c>
      <c r="AF52" s="39">
        <v>42</v>
      </c>
      <c r="AG52" s="252">
        <v>43</v>
      </c>
      <c r="AH52" s="252">
        <v>41</v>
      </c>
      <c r="AI52" s="252">
        <v>0</v>
      </c>
      <c r="AJ52" s="252">
        <v>0</v>
      </c>
      <c r="AK52" s="253">
        <v>401.27476999999999</v>
      </c>
      <c r="AL52" s="253">
        <v>10000</v>
      </c>
      <c r="AM52" s="253">
        <v>10000</v>
      </c>
      <c r="AN52" s="253">
        <v>15.945559926351514</v>
      </c>
      <c r="AO52" s="253">
        <v>15</v>
      </c>
      <c r="AP52" s="253">
        <v>15</v>
      </c>
      <c r="AQ52" s="253">
        <v>0.31775147576573282</v>
      </c>
      <c r="AR52" s="253">
        <v>0.35549791025513044</v>
      </c>
      <c r="AS52" s="253">
        <v>0.15479525164203964</v>
      </c>
      <c r="AT52" s="253">
        <v>484.6652810719857</v>
      </c>
      <c r="AU52" s="253">
        <v>0.3646569815058765</v>
      </c>
      <c r="AV52" s="253">
        <v>0.36859729388266388</v>
      </c>
      <c r="AW52" s="253">
        <v>0.50324366405910759</v>
      </c>
    </row>
    <row r="53" spans="2:49" ht="14.1" hidden="1" customHeight="1" x14ac:dyDescent="0.25">
      <c r="B53" s="122">
        <v>43</v>
      </c>
      <c r="C53" s="123">
        <v>402.28300000000002</v>
      </c>
      <c r="D53" s="128"/>
      <c r="E53" s="123">
        <v>400.74793999999997</v>
      </c>
      <c r="F53" s="64">
        <v>1.5350600000000441</v>
      </c>
      <c r="G53" s="123">
        <v>402.11099999999999</v>
      </c>
      <c r="H53" s="123">
        <v>400.53162499999996</v>
      </c>
      <c r="I53" s="64">
        <v>1.5793750000000273</v>
      </c>
      <c r="J53" s="64">
        <v>39.33</v>
      </c>
      <c r="K53" s="64">
        <v>1.0064</v>
      </c>
      <c r="L53" s="64">
        <v>0.6</v>
      </c>
      <c r="M53" s="64">
        <v>3.7138</v>
      </c>
      <c r="N53" s="64">
        <v>0.79172125585796849</v>
      </c>
      <c r="O53" s="64">
        <v>16.507222960041553</v>
      </c>
      <c r="P53" s="64">
        <v>97.467790630290352</v>
      </c>
      <c r="Q53" s="64">
        <v>0.48460955630054919</v>
      </c>
      <c r="R53" s="64">
        <v>104.55101902543115</v>
      </c>
      <c r="S53" s="64">
        <v>425.45040871985077</v>
      </c>
      <c r="T53" s="64">
        <v>0.43732519705066231</v>
      </c>
      <c r="U53" s="64">
        <v>0.55000000000000004</v>
      </c>
      <c r="V53" s="64">
        <v>0.55234017468842367</v>
      </c>
      <c r="W53" s="66" t="s">
        <v>224</v>
      </c>
      <c r="X53" s="123">
        <v>1.4999999999999999E-2</v>
      </c>
      <c r="Y53" s="122">
        <v>1</v>
      </c>
      <c r="Z53" s="64">
        <v>0.6</v>
      </c>
      <c r="AA53" s="64">
        <v>0.55923084463702288</v>
      </c>
      <c r="AB53" s="64">
        <v>0.42632382361306531</v>
      </c>
      <c r="AC53" s="64">
        <v>1.550379285496754</v>
      </c>
      <c r="AD53" s="64">
        <v>16.930022726609625</v>
      </c>
      <c r="AF53" s="39">
        <v>43</v>
      </c>
      <c r="AG53" s="252">
        <v>44</v>
      </c>
      <c r="AH53" s="252">
        <v>42</v>
      </c>
      <c r="AI53" s="252">
        <v>0</v>
      </c>
      <c r="AJ53" s="252">
        <v>0</v>
      </c>
      <c r="AK53" s="253">
        <v>400.74793999999997</v>
      </c>
      <c r="AL53" s="253">
        <v>10000</v>
      </c>
      <c r="AM53" s="253">
        <v>10000</v>
      </c>
      <c r="AN53" s="253">
        <v>16.507222960041553</v>
      </c>
      <c r="AO53" s="253">
        <v>15</v>
      </c>
      <c r="AP53" s="253">
        <v>15</v>
      </c>
      <c r="AQ53" s="253">
        <v>0.40428303306768509</v>
      </c>
      <c r="AR53" s="253">
        <v>0.51177857854981146</v>
      </c>
      <c r="AS53" s="253">
        <v>0.55923084463702288</v>
      </c>
      <c r="AT53" s="253">
        <v>762.26940203849153</v>
      </c>
      <c r="AU53" s="253">
        <v>0.42114834303262566</v>
      </c>
      <c r="AV53" s="253">
        <v>0.42632382361306531</v>
      </c>
      <c r="AW53" s="253">
        <v>0.54948437645408288</v>
      </c>
    </row>
    <row r="54" spans="2:49" ht="14.1" hidden="1" customHeight="1" x14ac:dyDescent="0.25">
      <c r="B54" s="122">
        <v>44</v>
      </c>
      <c r="C54" s="123">
        <v>402.11099999999999</v>
      </c>
      <c r="D54" s="128"/>
      <c r="E54" s="123">
        <v>400.17943499999996</v>
      </c>
      <c r="F54" s="64">
        <v>1.9315650000000346</v>
      </c>
      <c r="G54" s="123">
        <v>401.39100000000002</v>
      </c>
      <c r="H54" s="123">
        <v>399.45831499999997</v>
      </c>
      <c r="I54" s="64">
        <v>1.9326850000000491</v>
      </c>
      <c r="J54" s="64">
        <v>90.14</v>
      </c>
      <c r="K54" s="64">
        <v>0.6028</v>
      </c>
      <c r="L54" s="64">
        <v>0.6</v>
      </c>
      <c r="M54" s="64">
        <v>14.847499999999998</v>
      </c>
      <c r="N54" s="64">
        <v>0.61865098189765344</v>
      </c>
      <c r="O54" s="64">
        <v>21.73097027453905</v>
      </c>
      <c r="P54" s="64">
        <v>85.859352311569424</v>
      </c>
      <c r="Q54" s="64">
        <v>0.50913837985843191</v>
      </c>
      <c r="R54" s="64">
        <v>45.287113006044059</v>
      </c>
      <c r="S54" s="64">
        <v>1651.2411798870282</v>
      </c>
      <c r="T54" s="64">
        <v>0.79875748835142057</v>
      </c>
      <c r="U54" s="64">
        <v>0.8</v>
      </c>
      <c r="V54" s="64">
        <v>0.54567798514100108</v>
      </c>
      <c r="W54" s="66" t="s">
        <v>224</v>
      </c>
      <c r="X54" s="123">
        <v>1.4999999999999999E-2</v>
      </c>
      <c r="Y54" s="122">
        <v>1</v>
      </c>
      <c r="Z54" s="64">
        <v>1</v>
      </c>
      <c r="AA54" s="64">
        <v>0.73649178796275505</v>
      </c>
      <c r="AB54" s="64">
        <v>0.74014241237714617</v>
      </c>
      <c r="AC54" s="64">
        <v>2.6630747002211166</v>
      </c>
      <c r="AD54" s="64">
        <v>22.295105157127434</v>
      </c>
      <c r="AF54" s="39">
        <v>44</v>
      </c>
      <c r="AG54" s="252">
        <v>45</v>
      </c>
      <c r="AH54" s="252">
        <v>40</v>
      </c>
      <c r="AI54" s="252">
        <v>43</v>
      </c>
      <c r="AJ54" s="252">
        <v>0</v>
      </c>
      <c r="AK54" s="253">
        <v>400.17943499999996</v>
      </c>
      <c r="AL54" s="253">
        <v>400.53162499999996</v>
      </c>
      <c r="AM54" s="253">
        <v>10000</v>
      </c>
      <c r="AN54" s="253">
        <v>21.73097027453905</v>
      </c>
      <c r="AO54" s="253">
        <v>16.930022726609625</v>
      </c>
      <c r="AP54" s="253">
        <v>15</v>
      </c>
      <c r="AQ54" s="253">
        <v>0.61393277303740912</v>
      </c>
      <c r="AR54" s="253">
        <v>0.73649178796275505</v>
      </c>
      <c r="AS54" s="253">
        <v>0.56697047987072891</v>
      </c>
      <c r="AT54" s="253">
        <v>620.05064287153675</v>
      </c>
      <c r="AU54" s="253">
        <v>0.73081934379348934</v>
      </c>
      <c r="AV54" s="253">
        <v>0.74014241237714617</v>
      </c>
      <c r="AW54" s="253">
        <v>0.74904187057559157</v>
      </c>
    </row>
    <row r="55" spans="2:49" ht="14.1" hidden="1" customHeight="1" x14ac:dyDescent="0.25">
      <c r="B55" s="122">
        <v>45</v>
      </c>
      <c r="C55" s="123">
        <v>401.39100000000002</v>
      </c>
      <c r="D55" s="128"/>
      <c r="E55" s="123">
        <v>399.45831499999997</v>
      </c>
      <c r="F55" s="64">
        <v>1.9326850000000491</v>
      </c>
      <c r="G55" s="123">
        <v>400.738</v>
      </c>
      <c r="H55" s="123">
        <v>398.830625</v>
      </c>
      <c r="I55" s="64">
        <v>1.9073750000000018</v>
      </c>
      <c r="J55" s="64">
        <v>89.67</v>
      </c>
      <c r="K55" s="64">
        <v>0.91369999999999996</v>
      </c>
      <c r="L55" s="64">
        <v>0.6</v>
      </c>
      <c r="M55" s="64">
        <v>15.761199999999999</v>
      </c>
      <c r="N55" s="64">
        <v>0.61210948353040817</v>
      </c>
      <c r="O55" s="64">
        <v>22.295105157127434</v>
      </c>
      <c r="P55" s="64">
        <v>84.789779007257096</v>
      </c>
      <c r="Q55" s="64">
        <v>0.51136531877523705</v>
      </c>
      <c r="R55" s="64">
        <v>67.365842918558172</v>
      </c>
      <c r="S55" s="64">
        <v>1718.6070228055864</v>
      </c>
      <c r="T55" s="64">
        <v>0.72822571651613688</v>
      </c>
      <c r="U55" s="64">
        <v>0.7</v>
      </c>
      <c r="V55" s="64">
        <v>0.59111036614210566</v>
      </c>
      <c r="W55" s="66" t="s">
        <v>224</v>
      </c>
      <c r="X55" s="123">
        <v>1.4999999999999999E-2</v>
      </c>
      <c r="Y55" s="122">
        <v>1</v>
      </c>
      <c r="Z55" s="64">
        <v>1</v>
      </c>
      <c r="AA55" s="64">
        <v>0.79798459487894058</v>
      </c>
      <c r="AB55" s="64">
        <v>0.75556955044458773</v>
      </c>
      <c r="AC55" s="64">
        <v>2.5576069749360708</v>
      </c>
      <c r="AD55" s="64">
        <v>22.879440441886093</v>
      </c>
      <c r="AF55" s="39">
        <v>45</v>
      </c>
      <c r="AG55" s="252">
        <v>46</v>
      </c>
      <c r="AH55" s="252">
        <v>44</v>
      </c>
      <c r="AI55" s="252">
        <v>0</v>
      </c>
      <c r="AJ55" s="252">
        <v>0</v>
      </c>
      <c r="AK55" s="253">
        <v>399.45831499999997</v>
      </c>
      <c r="AL55" s="253">
        <v>10000</v>
      </c>
      <c r="AM55" s="253">
        <v>10000</v>
      </c>
      <c r="AN55" s="253">
        <v>22.295105157127434</v>
      </c>
      <c r="AO55" s="253">
        <v>15</v>
      </c>
      <c r="AP55" s="253">
        <v>15</v>
      </c>
      <c r="AQ55" s="253">
        <v>0.64634936004472365</v>
      </c>
      <c r="AR55" s="253">
        <v>0.79798459487894058</v>
      </c>
      <c r="AS55" s="253">
        <v>0.74598186272492106</v>
      </c>
      <c r="AT55" s="253">
        <v>671.95899903602049</v>
      </c>
      <c r="AU55" s="253">
        <v>0.74589704500331755</v>
      </c>
      <c r="AV55" s="253">
        <v>0.75556955044458773</v>
      </c>
      <c r="AW55" s="253">
        <v>0.75843627989700546</v>
      </c>
    </row>
    <row r="56" spans="2:49" ht="14.1" hidden="1" customHeight="1" x14ac:dyDescent="0.25">
      <c r="B56" s="122">
        <v>46</v>
      </c>
      <c r="C56" s="123">
        <v>400.738</v>
      </c>
      <c r="D56" s="128"/>
      <c r="E56" s="123">
        <v>397.65753799999993</v>
      </c>
      <c r="F56" s="64">
        <v>3.0804620000000682</v>
      </c>
      <c r="G56" s="123">
        <v>400.07400000000001</v>
      </c>
      <c r="H56" s="123">
        <v>397.15644499999991</v>
      </c>
      <c r="I56" s="64">
        <v>2.9175550000001067</v>
      </c>
      <c r="J56" s="64">
        <v>74.790000000000006</v>
      </c>
      <c r="K56" s="64">
        <v>1.1187</v>
      </c>
      <c r="L56" s="64">
        <v>0.6</v>
      </c>
      <c r="M56" s="64">
        <v>56.973899999999993</v>
      </c>
      <c r="N56" s="64">
        <v>0.48695595486500881</v>
      </c>
      <c r="O56" s="64">
        <v>26.106752481476271</v>
      </c>
      <c r="P56" s="64">
        <v>78.287694806255587</v>
      </c>
      <c r="Q56" s="64">
        <v>0.52484256182322264</v>
      </c>
      <c r="R56" s="64">
        <v>62.181058773622787</v>
      </c>
      <c r="S56" s="64">
        <v>5527.8338852921215</v>
      </c>
      <c r="T56" s="64">
        <v>0.88781922716939055</v>
      </c>
      <c r="U56" s="64">
        <v>0.67</v>
      </c>
      <c r="V56" s="64">
        <v>0.70351278956257002</v>
      </c>
      <c r="W56" s="66" t="s">
        <v>224</v>
      </c>
      <c r="X56" s="123">
        <v>1.4999999999999999E-2</v>
      </c>
      <c r="Y56" s="122">
        <v>1</v>
      </c>
      <c r="Z56" s="64">
        <v>1.5</v>
      </c>
      <c r="AA56" s="64">
        <v>1.4806505966073815</v>
      </c>
      <c r="AB56" s="64">
        <v>1.2274882034948036</v>
      </c>
      <c r="AC56" s="64">
        <v>3.1358834516727701</v>
      </c>
      <c r="AD56" s="64">
        <v>26.504248121607628</v>
      </c>
      <c r="AF56" s="39">
        <v>46</v>
      </c>
      <c r="AG56" s="252">
        <v>47</v>
      </c>
      <c r="AH56" s="252">
        <v>27</v>
      </c>
      <c r="AI56" s="252">
        <v>45</v>
      </c>
      <c r="AJ56" s="252">
        <v>0</v>
      </c>
      <c r="AK56" s="253">
        <v>397.65753799999993</v>
      </c>
      <c r="AL56" s="253">
        <v>398.830625</v>
      </c>
      <c r="AM56" s="253">
        <v>10000</v>
      </c>
      <c r="AN56" s="253">
        <v>26.106752481476271</v>
      </c>
      <c r="AO56" s="253">
        <v>22.879440441886093</v>
      </c>
      <c r="AP56" s="253">
        <v>15</v>
      </c>
      <c r="AQ56" s="253">
        <v>1.0219327190033574</v>
      </c>
      <c r="AR56" s="253">
        <v>1.3018303460148051</v>
      </c>
      <c r="AS56" s="253">
        <v>1.4806505966073815</v>
      </c>
      <c r="AT56" s="253">
        <v>783.45228641048391</v>
      </c>
      <c r="AU56" s="253">
        <v>1.2107513886511208</v>
      </c>
      <c r="AV56" s="253">
        <v>1.2274882034948036</v>
      </c>
      <c r="AW56" s="253">
        <v>0.99805110287991294</v>
      </c>
    </row>
    <row r="57" spans="2:49" ht="14.1" hidden="1" customHeight="1" x14ac:dyDescent="0.25">
      <c r="B57" s="122">
        <v>47</v>
      </c>
      <c r="C57" s="123">
        <v>400.07400000000001</v>
      </c>
      <c r="D57" s="128"/>
      <c r="E57" s="123">
        <v>397.15644499999991</v>
      </c>
      <c r="F57" s="64">
        <v>2.9175550000001067</v>
      </c>
      <c r="G57" s="123">
        <v>399.27199999999999</v>
      </c>
      <c r="H57" s="123">
        <v>396.64671699999991</v>
      </c>
      <c r="I57" s="64">
        <v>2.6252830000000813</v>
      </c>
      <c r="J57" s="64">
        <v>74.959999999999994</v>
      </c>
      <c r="K57" s="64">
        <v>0.75609999999999999</v>
      </c>
      <c r="L57" s="64">
        <v>0.6</v>
      </c>
      <c r="M57" s="64">
        <v>57.72999999999999</v>
      </c>
      <c r="N57" s="64">
        <v>0.48581455571835586</v>
      </c>
      <c r="O57" s="64">
        <v>26.504248121607628</v>
      </c>
      <c r="P57" s="64">
        <v>77.674146928341841</v>
      </c>
      <c r="Q57" s="64">
        <v>0.52611124925283936</v>
      </c>
      <c r="R57" s="64">
        <v>41.700002632505857</v>
      </c>
      <c r="S57" s="64">
        <v>5569.5338879246274</v>
      </c>
      <c r="T57" s="64">
        <v>1.0699039487727067</v>
      </c>
      <c r="U57" s="64">
        <v>0.68</v>
      </c>
      <c r="V57" s="64">
        <v>0.7141669220007052</v>
      </c>
      <c r="W57" s="66" t="s">
        <v>224</v>
      </c>
      <c r="X57" s="123">
        <v>1.4999999999999999E-2</v>
      </c>
      <c r="Y57" s="122">
        <v>1</v>
      </c>
      <c r="Z57" s="64">
        <v>1.5</v>
      </c>
      <c r="AA57" s="64">
        <v>1.4810719491738149</v>
      </c>
      <c r="AB57" s="64">
        <v>1.2322566090427798</v>
      </c>
      <c r="AC57" s="64">
        <v>3.1592851737051073</v>
      </c>
      <c r="AD57" s="64">
        <v>26.899696226049606</v>
      </c>
      <c r="AF57" s="39">
        <v>47</v>
      </c>
      <c r="AG57" s="252">
        <v>48</v>
      </c>
      <c r="AH57" s="252">
        <v>46</v>
      </c>
      <c r="AI57" s="252">
        <v>0</v>
      </c>
      <c r="AJ57" s="252">
        <v>0</v>
      </c>
      <c r="AK57" s="253">
        <v>397.15644499999991</v>
      </c>
      <c r="AL57" s="253">
        <v>10000</v>
      </c>
      <c r="AM57" s="253">
        <v>10000</v>
      </c>
      <c r="AN57" s="253">
        <v>26.504248121607628</v>
      </c>
      <c r="AO57" s="253">
        <v>15</v>
      </c>
      <c r="AP57" s="253">
        <v>15</v>
      </c>
      <c r="AQ57" s="253">
        <v>1.0219858139955222</v>
      </c>
      <c r="AR57" s="253">
        <v>1.3019398479516273</v>
      </c>
      <c r="AS57" s="253">
        <v>1.4810719491738149</v>
      </c>
      <c r="AT57" s="253">
        <v>783.5153392405407</v>
      </c>
      <c r="AU57" s="253">
        <v>1.2154072782292473</v>
      </c>
      <c r="AV57" s="253">
        <v>1.2322566090427798</v>
      </c>
      <c r="AW57" s="253">
        <v>1.0003918068795661</v>
      </c>
    </row>
    <row r="58" spans="2:49" ht="14.1" hidden="1" customHeight="1" x14ac:dyDescent="0.25">
      <c r="B58" s="122">
        <v>48</v>
      </c>
      <c r="C58" s="123">
        <v>399.27199999999999</v>
      </c>
      <c r="D58" s="128"/>
      <c r="E58" s="123">
        <v>396.64671699999991</v>
      </c>
      <c r="F58" s="64">
        <v>2.6252830000000813</v>
      </c>
      <c r="G58" s="123">
        <v>398.56799999999998</v>
      </c>
      <c r="H58" s="123">
        <v>396.1340469999999</v>
      </c>
      <c r="I58" s="64">
        <v>2.4339530000000877</v>
      </c>
      <c r="J58" s="64">
        <v>74.3</v>
      </c>
      <c r="K58" s="64">
        <v>0.75749999999999995</v>
      </c>
      <c r="L58" s="64">
        <v>0.6</v>
      </c>
      <c r="M58" s="64">
        <v>58.48749999999999</v>
      </c>
      <c r="N58" s="64">
        <v>0.48468856709355795</v>
      </c>
      <c r="O58" s="64">
        <v>26.899696226049606</v>
      </c>
      <c r="P58" s="64">
        <v>77.074555449710417</v>
      </c>
      <c r="Q58" s="64">
        <v>0.52735094553257611</v>
      </c>
      <c r="R58" s="64">
        <v>41.456096991907877</v>
      </c>
      <c r="S58" s="64">
        <v>5610.9899849165349</v>
      </c>
      <c r="T58" s="64">
        <v>0.94751009421266186</v>
      </c>
      <c r="U58" s="64">
        <v>0.69</v>
      </c>
      <c r="V58" s="64">
        <v>0.72483810566250861</v>
      </c>
      <c r="W58" s="66" t="s">
        <v>224</v>
      </c>
      <c r="X58" s="123">
        <v>1.4999999999999999E-2</v>
      </c>
      <c r="Y58" s="122">
        <v>1</v>
      </c>
      <c r="Z58" s="64">
        <v>1.5</v>
      </c>
      <c r="AA58" s="64">
        <v>1.4815260782621695</v>
      </c>
      <c r="AB58" s="64">
        <v>1.2369800224510501</v>
      </c>
      <c r="AC58" s="64">
        <v>3.1825280003606222</v>
      </c>
      <c r="AD58" s="64">
        <v>27.28879989872523</v>
      </c>
      <c r="AF58" s="39">
        <v>48</v>
      </c>
      <c r="AG58" s="252">
        <v>55</v>
      </c>
      <c r="AH58" s="252">
        <v>47</v>
      </c>
      <c r="AI58" s="252">
        <v>0</v>
      </c>
      <c r="AJ58" s="252">
        <v>0</v>
      </c>
      <c r="AK58" s="253">
        <v>396.64671699999991</v>
      </c>
      <c r="AL58" s="253">
        <v>10000</v>
      </c>
      <c r="AM58" s="253">
        <v>10000</v>
      </c>
      <c r="AN58" s="253">
        <v>26.899696226049606</v>
      </c>
      <c r="AO58" s="253">
        <v>15</v>
      </c>
      <c r="AP58" s="253">
        <v>15</v>
      </c>
      <c r="AQ58" s="253">
        <v>1.0220431560399752</v>
      </c>
      <c r="AR58" s="253">
        <v>1.3020581157822431</v>
      </c>
      <c r="AS58" s="253">
        <v>1.4815260782621695</v>
      </c>
      <c r="AT58" s="253">
        <v>783.58252507031955</v>
      </c>
      <c r="AU58" s="253">
        <v>1.220019058272896</v>
      </c>
      <c r="AV58" s="253">
        <v>1.2369800224510501</v>
      </c>
      <c r="AW58" s="253">
        <v>1.0027068932960999</v>
      </c>
    </row>
    <row r="59" spans="2:49" ht="14.1" hidden="1" customHeight="1" x14ac:dyDescent="0.25">
      <c r="B59" s="122">
        <v>49</v>
      </c>
      <c r="C59" s="123">
        <v>402.55099999999999</v>
      </c>
      <c r="D59" s="128"/>
      <c r="E59" s="123">
        <v>401.05099999999999</v>
      </c>
      <c r="F59" s="64">
        <v>1.5</v>
      </c>
      <c r="G59" s="123">
        <v>401.94099999999997</v>
      </c>
      <c r="H59" s="123">
        <v>400.42322000000001</v>
      </c>
      <c r="I59" s="64">
        <v>1.5177799999999593</v>
      </c>
      <c r="J59" s="64">
        <v>104.63</v>
      </c>
      <c r="K59" s="64">
        <v>2.7288000000000001</v>
      </c>
      <c r="L59" s="64">
        <v>0.6</v>
      </c>
      <c r="M59" s="64">
        <v>2.7288000000000001</v>
      </c>
      <c r="N59" s="64">
        <v>0.83636728397555249</v>
      </c>
      <c r="O59" s="64">
        <v>15</v>
      </c>
      <c r="P59" s="64">
        <v>101.5258000467022</v>
      </c>
      <c r="Q59" s="64">
        <v>0.47581283640599359</v>
      </c>
      <c r="R59" s="64">
        <v>306.2764176669931</v>
      </c>
      <c r="S59" s="64">
        <v>306.2764176669931</v>
      </c>
      <c r="T59" s="64">
        <v>0.5830067858167004</v>
      </c>
      <c r="U59" s="64">
        <v>0.6</v>
      </c>
      <c r="V59" s="64">
        <v>0.28624364931829183</v>
      </c>
      <c r="W59" s="66" t="s">
        <v>224</v>
      </c>
      <c r="X59" s="123">
        <v>1.4999999999999999E-2</v>
      </c>
      <c r="Y59" s="122">
        <v>1</v>
      </c>
      <c r="Z59" s="64">
        <v>0.6</v>
      </c>
      <c r="AA59" s="64">
        <v>0.38828787973953044</v>
      </c>
      <c r="AB59" s="64">
        <v>0.35983418220942603</v>
      </c>
      <c r="AC59" s="64">
        <v>1.5822555923031116</v>
      </c>
      <c r="AD59" s="64">
        <v>16.10211860954464</v>
      </c>
      <c r="AF59" s="39">
        <v>49</v>
      </c>
      <c r="AG59" s="252">
        <v>50</v>
      </c>
      <c r="AH59" s="252">
        <v>0</v>
      </c>
      <c r="AI59" s="252">
        <v>0</v>
      </c>
      <c r="AJ59" s="252">
        <v>0</v>
      </c>
      <c r="AK59" s="253">
        <v>10000</v>
      </c>
      <c r="AL59" s="253">
        <v>10000</v>
      </c>
      <c r="AM59" s="253">
        <v>10000</v>
      </c>
      <c r="AN59" s="253">
        <v>15</v>
      </c>
      <c r="AO59" s="253">
        <v>15</v>
      </c>
      <c r="AP59" s="253">
        <v>15</v>
      </c>
      <c r="AQ59" s="253">
        <v>0.3378936388155227</v>
      </c>
      <c r="AR59" s="253">
        <v>0.38828787973953044</v>
      </c>
      <c r="AS59" s="253">
        <v>0.2148127910105086</v>
      </c>
      <c r="AT59" s="253">
        <v>537.69304465809569</v>
      </c>
      <c r="AU59" s="253">
        <v>0.35607389439662684</v>
      </c>
      <c r="AV59" s="253">
        <v>0.35983418220942603</v>
      </c>
      <c r="AW59" s="253">
        <v>0.49598064454114443</v>
      </c>
    </row>
    <row r="60" spans="2:49" ht="14.1" hidden="1" customHeight="1" x14ac:dyDescent="0.25">
      <c r="B60" s="122">
        <v>50</v>
      </c>
      <c r="C60" s="123">
        <v>401.94099999999997</v>
      </c>
      <c r="D60" s="128">
        <v>0.1</v>
      </c>
      <c r="E60" s="123">
        <v>400.32321999999999</v>
      </c>
      <c r="F60" s="64">
        <v>1.617779999999982</v>
      </c>
      <c r="G60" s="123">
        <v>401.613</v>
      </c>
      <c r="H60" s="123">
        <v>400.00277</v>
      </c>
      <c r="I60" s="64">
        <v>1.6102300000000014</v>
      </c>
      <c r="J60" s="64">
        <v>64.09</v>
      </c>
      <c r="K60" s="64">
        <v>2.0739000000000001</v>
      </c>
      <c r="L60" s="64">
        <v>0.6</v>
      </c>
      <c r="M60" s="64">
        <v>4.8026999999999997</v>
      </c>
      <c r="N60" s="64">
        <v>0.75630259099830621</v>
      </c>
      <c r="O60" s="64">
        <v>16.10211860954464</v>
      </c>
      <c r="P60" s="64">
        <v>98.521729059512396</v>
      </c>
      <c r="Q60" s="64">
        <v>0.48233851632871655</v>
      </c>
      <c r="R60" s="64">
        <v>207.06162096011909</v>
      </c>
      <c r="S60" s="64">
        <v>513.33803862711216</v>
      </c>
      <c r="T60" s="64">
        <v>0.51178030894051263</v>
      </c>
      <c r="U60" s="64">
        <v>0.5</v>
      </c>
      <c r="V60" s="64">
        <v>0.17337070203189117</v>
      </c>
      <c r="W60" s="66" t="s">
        <v>224</v>
      </c>
      <c r="X60" s="123">
        <v>1.4999999999999999E-2</v>
      </c>
      <c r="Y60" s="122">
        <v>1</v>
      </c>
      <c r="Z60" s="64">
        <v>0.8</v>
      </c>
      <c r="AA60" s="64">
        <v>0.46386335390929023</v>
      </c>
      <c r="AB60" s="64">
        <v>0.43213437825093226</v>
      </c>
      <c r="AC60" s="64">
        <v>1.6986687544896606</v>
      </c>
      <c r="AD60" s="64">
        <v>16.730944367270183</v>
      </c>
      <c r="AF60" s="39">
        <v>50</v>
      </c>
      <c r="AG60" s="252">
        <v>51</v>
      </c>
      <c r="AH60" s="252">
        <v>49</v>
      </c>
      <c r="AI60" s="252">
        <v>0</v>
      </c>
      <c r="AJ60" s="252">
        <v>0</v>
      </c>
      <c r="AK60" s="253">
        <v>400.42322000000001</v>
      </c>
      <c r="AL60" s="253">
        <v>10000</v>
      </c>
      <c r="AM60" s="253">
        <v>10000</v>
      </c>
      <c r="AN60" s="253">
        <v>16.10211860954464</v>
      </c>
      <c r="AO60" s="253">
        <v>15</v>
      </c>
      <c r="AP60" s="253">
        <v>15</v>
      </c>
      <c r="AQ60" s="253">
        <v>0.41721785146575119</v>
      </c>
      <c r="AR60" s="253">
        <v>0.46386335390929023</v>
      </c>
      <c r="AS60" s="253">
        <v>0.19002734467635216</v>
      </c>
      <c r="AT60" s="253">
        <v>472.18781368345043</v>
      </c>
      <c r="AU60" s="253">
        <v>0.42805732981495642</v>
      </c>
      <c r="AV60" s="253">
        <v>0.43213437825093226</v>
      </c>
      <c r="AW60" s="253">
        <v>0.54671932591400063</v>
      </c>
    </row>
    <row r="61" spans="2:49" ht="14.1" hidden="1" customHeight="1" x14ac:dyDescent="0.25">
      <c r="B61" s="122">
        <v>51</v>
      </c>
      <c r="C61" s="123">
        <v>401.613</v>
      </c>
      <c r="D61" s="128"/>
      <c r="E61" s="123">
        <v>400.00277</v>
      </c>
      <c r="F61" s="64">
        <v>1.6102300000000014</v>
      </c>
      <c r="G61" s="123">
        <v>400.834</v>
      </c>
      <c r="H61" s="123">
        <v>399.217285</v>
      </c>
      <c r="I61" s="64">
        <v>1.6167149999999992</v>
      </c>
      <c r="J61" s="64">
        <v>92.41</v>
      </c>
      <c r="K61" s="64">
        <v>1.5726</v>
      </c>
      <c r="L61" s="64">
        <v>0.6</v>
      </c>
      <c r="M61" s="64">
        <v>6.3752999999999993</v>
      </c>
      <c r="N61" s="64">
        <v>0.7191158954455974</v>
      </c>
      <c r="O61" s="64">
        <v>16.730944367270183</v>
      </c>
      <c r="P61" s="64">
        <v>96.89670232080698</v>
      </c>
      <c r="Q61" s="64">
        <v>0.48583643168310942</v>
      </c>
      <c r="R61" s="64">
        <v>147.89329217694058</v>
      </c>
      <c r="S61" s="64">
        <v>661.23133080405273</v>
      </c>
      <c r="T61" s="64">
        <v>0.84298236121631465</v>
      </c>
      <c r="U61" s="64">
        <v>0.85</v>
      </c>
      <c r="V61" s="64">
        <v>0.28765747280393006</v>
      </c>
      <c r="W61" s="66" t="s">
        <v>224</v>
      </c>
      <c r="X61" s="123">
        <v>1.4999999999999999E-2</v>
      </c>
      <c r="Y61" s="122">
        <v>1</v>
      </c>
      <c r="Z61" s="64">
        <v>0.8</v>
      </c>
      <c r="AA61" s="64">
        <v>0.46010507025311426</v>
      </c>
      <c r="AB61" s="64">
        <v>0.49242717364980187</v>
      </c>
      <c r="AC61" s="64">
        <v>2.209776908545392</v>
      </c>
      <c r="AD61" s="64">
        <v>17.427922718664259</v>
      </c>
      <c r="AF61" s="39">
        <v>51</v>
      </c>
      <c r="AG61" s="252">
        <v>52</v>
      </c>
      <c r="AH61" s="252">
        <v>50</v>
      </c>
      <c r="AI61" s="252">
        <v>0</v>
      </c>
      <c r="AJ61" s="252">
        <v>0</v>
      </c>
      <c r="AK61" s="253">
        <v>400.00277</v>
      </c>
      <c r="AL61" s="253">
        <v>10000</v>
      </c>
      <c r="AM61" s="253">
        <v>10000</v>
      </c>
      <c r="AN61" s="253">
        <v>16.730944367270183</v>
      </c>
      <c r="AO61" s="253">
        <v>15</v>
      </c>
      <c r="AP61" s="253">
        <v>15</v>
      </c>
      <c r="AQ61" s="253">
        <v>0.41478264898126327</v>
      </c>
      <c r="AR61" s="253">
        <v>0.46010507025311426</v>
      </c>
      <c r="AS61" s="253">
        <v>0.18423435799481391</v>
      </c>
      <c r="AT61" s="253">
        <v>467.54672400908987</v>
      </c>
      <c r="AU61" s="253">
        <v>0.48713955048275559</v>
      </c>
      <c r="AV61" s="253">
        <v>0.49242717364980187</v>
      </c>
      <c r="AW61" s="253">
        <v>0.59161044594550061</v>
      </c>
    </row>
    <row r="62" spans="2:49" ht="14.1" hidden="1" customHeight="1" x14ac:dyDescent="0.25">
      <c r="B62" s="122">
        <v>52</v>
      </c>
      <c r="C62" s="123">
        <v>400.834</v>
      </c>
      <c r="D62" s="128"/>
      <c r="E62" s="123">
        <v>399.217285</v>
      </c>
      <c r="F62" s="64">
        <v>1.6167149999999992</v>
      </c>
      <c r="G62" s="123">
        <v>400.22899999999998</v>
      </c>
      <c r="H62" s="123">
        <v>398.61343499999998</v>
      </c>
      <c r="I62" s="64">
        <v>1.6155650000000037</v>
      </c>
      <c r="J62" s="64">
        <v>92.9</v>
      </c>
      <c r="K62" s="64">
        <v>1.8163</v>
      </c>
      <c r="L62" s="64">
        <v>0.6</v>
      </c>
      <c r="M62" s="64">
        <v>8.1915999999999993</v>
      </c>
      <c r="N62" s="64">
        <v>0.68773379311394023</v>
      </c>
      <c r="O62" s="64">
        <v>17.427922718664259</v>
      </c>
      <c r="P62" s="64">
        <v>95.16549610538128</v>
      </c>
      <c r="Q62" s="64">
        <v>0.48954051621305533</v>
      </c>
      <c r="R62" s="64">
        <v>161.66214858350867</v>
      </c>
      <c r="S62" s="64">
        <v>822.89347938756146</v>
      </c>
      <c r="T62" s="64">
        <v>0.65123789020454059</v>
      </c>
      <c r="U62" s="64">
        <v>0.65</v>
      </c>
      <c r="V62" s="64">
        <v>0.44550856302566111</v>
      </c>
      <c r="W62" s="66" t="s">
        <v>224</v>
      </c>
      <c r="X62" s="123">
        <v>1.4999999999999999E-2</v>
      </c>
      <c r="Y62" s="122">
        <v>1</v>
      </c>
      <c r="Z62" s="64">
        <v>0.8</v>
      </c>
      <c r="AA62" s="64">
        <v>0.59024855179528668</v>
      </c>
      <c r="AB62" s="64">
        <v>0.55124854171908433</v>
      </c>
      <c r="AC62" s="64">
        <v>2.0697790323681011</v>
      </c>
      <c r="AD62" s="64">
        <v>18.175989690606592</v>
      </c>
      <c r="AF62" s="39">
        <v>52</v>
      </c>
      <c r="AG62" s="252">
        <v>53</v>
      </c>
      <c r="AH62" s="252">
        <v>51</v>
      </c>
      <c r="AI62" s="252">
        <v>0</v>
      </c>
      <c r="AJ62" s="252">
        <v>0</v>
      </c>
      <c r="AK62" s="253">
        <v>399.217285</v>
      </c>
      <c r="AL62" s="253">
        <v>10000</v>
      </c>
      <c r="AM62" s="253">
        <v>10000</v>
      </c>
      <c r="AN62" s="253">
        <v>17.427922718664259</v>
      </c>
      <c r="AO62" s="253">
        <v>15</v>
      </c>
      <c r="AP62" s="253">
        <v>15</v>
      </c>
      <c r="AQ62" s="253">
        <v>0.49168130802597398</v>
      </c>
      <c r="AR62" s="253">
        <v>0.59024855179528668</v>
      </c>
      <c r="AS62" s="253">
        <v>0.45635212763808364</v>
      </c>
      <c r="AT62" s="253">
        <v>621.21175325269974</v>
      </c>
      <c r="AU62" s="253">
        <v>0.54470941887589197</v>
      </c>
      <c r="AV62" s="253">
        <v>0.55124854171908433</v>
      </c>
      <c r="AW62" s="253">
        <v>0.63335073407092524</v>
      </c>
    </row>
    <row r="63" spans="2:49" ht="14.1" hidden="1" customHeight="1" x14ac:dyDescent="0.25">
      <c r="B63" s="122">
        <v>53</v>
      </c>
      <c r="C63" s="123">
        <v>400.22899999999998</v>
      </c>
      <c r="D63" s="128"/>
      <c r="E63" s="123">
        <v>398.61343499999998</v>
      </c>
      <c r="F63" s="64">
        <v>1.6155650000000037</v>
      </c>
      <c r="G63" s="123">
        <v>399.375</v>
      </c>
      <c r="H63" s="123">
        <v>397.745655</v>
      </c>
      <c r="I63" s="64">
        <v>1.6293450000000007</v>
      </c>
      <c r="J63" s="64">
        <v>96.42</v>
      </c>
      <c r="K63" s="64">
        <v>1.7601</v>
      </c>
      <c r="L63" s="64">
        <v>0.6</v>
      </c>
      <c r="M63" s="64">
        <v>9.9516999999999989</v>
      </c>
      <c r="N63" s="64">
        <v>0.66431534599884001</v>
      </c>
      <c r="O63" s="64">
        <v>18.175989690606592</v>
      </c>
      <c r="P63" s="64">
        <v>93.384159662441931</v>
      </c>
      <c r="Q63" s="64">
        <v>0.49332980576000207</v>
      </c>
      <c r="R63" s="64">
        <v>149.64232236867633</v>
      </c>
      <c r="S63" s="64">
        <v>972.53580175623779</v>
      </c>
      <c r="T63" s="64">
        <v>0.88570835926154845</v>
      </c>
      <c r="U63" s="64">
        <v>0.9</v>
      </c>
      <c r="V63" s="64">
        <v>0.62227164178405314</v>
      </c>
      <c r="W63" s="66" t="s">
        <v>224</v>
      </c>
      <c r="X63" s="123">
        <v>1.4999999999999999E-2</v>
      </c>
      <c r="Y63" s="122">
        <v>1</v>
      </c>
      <c r="Z63" s="64">
        <v>0.8</v>
      </c>
      <c r="AA63" s="64">
        <v>0.59216510413010259</v>
      </c>
      <c r="AB63" s="64">
        <v>0.60087229144530241</v>
      </c>
      <c r="AC63" s="64">
        <v>2.4379081813480483</v>
      </c>
      <c r="AD63" s="64">
        <v>18.83516135765084</v>
      </c>
      <c r="AF63" s="39">
        <v>53</v>
      </c>
      <c r="AG63" s="252">
        <v>54</v>
      </c>
      <c r="AH63" s="252">
        <v>52</v>
      </c>
      <c r="AI63" s="252">
        <v>0</v>
      </c>
      <c r="AJ63" s="252">
        <v>0</v>
      </c>
      <c r="AK63" s="253">
        <v>398.61343499999998</v>
      </c>
      <c r="AL63" s="253">
        <v>10000</v>
      </c>
      <c r="AM63" s="253">
        <v>10000</v>
      </c>
      <c r="AN63" s="253">
        <v>18.175989690606592</v>
      </c>
      <c r="AO63" s="253">
        <v>15</v>
      </c>
      <c r="AP63" s="253">
        <v>15</v>
      </c>
      <c r="AQ63" s="253">
        <v>0.49271779247265024</v>
      </c>
      <c r="AR63" s="253">
        <v>0.59216510413010259</v>
      </c>
      <c r="AS63" s="253">
        <v>0.46158210239301539</v>
      </c>
      <c r="AT63" s="253">
        <v>623.31600585706281</v>
      </c>
      <c r="AU63" s="253">
        <v>0.59322888144520114</v>
      </c>
      <c r="AV63" s="253">
        <v>0.60087229144530241</v>
      </c>
      <c r="AW63" s="253">
        <v>0.66720892405186782</v>
      </c>
    </row>
    <row r="64" spans="2:49" ht="14.1" hidden="1" customHeight="1" x14ac:dyDescent="0.25">
      <c r="B64" s="122">
        <v>54</v>
      </c>
      <c r="C64" s="123">
        <v>399.375</v>
      </c>
      <c r="D64" s="128"/>
      <c r="E64" s="123">
        <v>397.745655</v>
      </c>
      <c r="F64" s="64">
        <v>1.6293450000000007</v>
      </c>
      <c r="G64" s="123">
        <v>398.56799999999998</v>
      </c>
      <c r="H64" s="123">
        <v>396.854555</v>
      </c>
      <c r="I64" s="64">
        <v>1.7134449999999788</v>
      </c>
      <c r="J64" s="64">
        <v>93.8</v>
      </c>
      <c r="K64" s="64">
        <v>2.1124000000000001</v>
      </c>
      <c r="L64" s="64">
        <v>0.6</v>
      </c>
      <c r="M64" s="64">
        <v>12.0641</v>
      </c>
      <c r="N64" s="64">
        <v>0.64193920896364043</v>
      </c>
      <c r="O64" s="64">
        <v>18.83516135765084</v>
      </c>
      <c r="P64" s="64">
        <v>91.876338629196795</v>
      </c>
      <c r="Q64" s="64">
        <v>0.49652135962475757</v>
      </c>
      <c r="R64" s="64">
        <v>171.84777705457321</v>
      </c>
      <c r="S64" s="64">
        <v>1144.3835788108111</v>
      </c>
      <c r="T64" s="64">
        <v>0.86034115138594502</v>
      </c>
      <c r="U64" s="64">
        <v>0.95</v>
      </c>
      <c r="V64" s="64">
        <v>0.86161261441087145</v>
      </c>
      <c r="W64" s="66" t="s">
        <v>224</v>
      </c>
      <c r="X64" s="123">
        <v>1.4999999999999999E-2</v>
      </c>
      <c r="Y64" s="122">
        <v>1</v>
      </c>
      <c r="Z64" s="64">
        <v>0.8</v>
      </c>
      <c r="AA64" s="64">
        <v>0.65605157614246301</v>
      </c>
      <c r="AB64" s="64">
        <v>0.65348974525532844</v>
      </c>
      <c r="AC64" s="64">
        <v>2.5940304447925984</v>
      </c>
      <c r="AD64" s="64">
        <v>19.437827119138589</v>
      </c>
      <c r="AF64" s="39">
        <v>54</v>
      </c>
      <c r="AG64" s="252">
        <v>55</v>
      </c>
      <c r="AH64" s="252">
        <v>53</v>
      </c>
      <c r="AI64" s="252">
        <v>0</v>
      </c>
      <c r="AJ64" s="252">
        <v>0</v>
      </c>
      <c r="AK64" s="253">
        <v>397.745655</v>
      </c>
      <c r="AL64" s="253">
        <v>10000</v>
      </c>
      <c r="AM64" s="253">
        <v>10000</v>
      </c>
      <c r="AN64" s="253">
        <v>18.83516135765084</v>
      </c>
      <c r="AO64" s="253">
        <v>15</v>
      </c>
      <c r="AP64" s="253">
        <v>15</v>
      </c>
      <c r="AQ64" s="253">
        <v>0.52601765710435722</v>
      </c>
      <c r="AR64" s="253">
        <v>0.65605157614246301</v>
      </c>
      <c r="AS64" s="253">
        <v>0.65427162934500305</v>
      </c>
      <c r="AT64" s="253">
        <v>689.31316726888178</v>
      </c>
      <c r="AU64" s="253">
        <v>0.64463135030230367</v>
      </c>
      <c r="AV64" s="253">
        <v>0.65348974525532844</v>
      </c>
      <c r="AW64" s="253">
        <v>0.70192133766159981</v>
      </c>
    </row>
    <row r="65" spans="2:49" ht="14.1" hidden="1" customHeight="1" x14ac:dyDescent="0.25">
      <c r="B65" s="122">
        <v>55</v>
      </c>
      <c r="C65" s="123">
        <v>398.56799999999998</v>
      </c>
      <c r="D65" s="128"/>
      <c r="E65" s="123">
        <v>396.1340469999999</v>
      </c>
      <c r="F65" s="64">
        <v>2.4339530000000877</v>
      </c>
      <c r="G65" s="123">
        <v>397.54300000000001</v>
      </c>
      <c r="H65" s="123">
        <v>395.12343499999992</v>
      </c>
      <c r="I65" s="64">
        <v>2.419565000000091</v>
      </c>
      <c r="J65" s="64">
        <v>69.22</v>
      </c>
      <c r="K65" s="64">
        <v>0.74490000000000001</v>
      </c>
      <c r="L65" s="64">
        <v>0.6</v>
      </c>
      <c r="M65" s="64">
        <v>71.296499999999995</v>
      </c>
      <c r="N65" s="64">
        <v>0.46790087627062388</v>
      </c>
      <c r="O65" s="64">
        <v>27.28879989872523</v>
      </c>
      <c r="P65" s="64">
        <v>76.494808078450404</v>
      </c>
      <c r="Q65" s="64">
        <v>0.52854957307709161</v>
      </c>
      <c r="R65" s="64">
        <v>39.147295123567496</v>
      </c>
      <c r="S65" s="64">
        <v>6794.5208588509131</v>
      </c>
      <c r="T65" s="64">
        <v>1.4807859000288606</v>
      </c>
      <c r="U65" s="64">
        <v>1.46</v>
      </c>
      <c r="V65" s="64">
        <v>1.0628689061481407</v>
      </c>
      <c r="W65" s="66" t="s">
        <v>224</v>
      </c>
      <c r="X65" s="123">
        <v>1.4999999999999999E-2</v>
      </c>
      <c r="Y65" s="122">
        <v>1</v>
      </c>
      <c r="Z65" s="64">
        <v>1.5</v>
      </c>
      <c r="AA65" s="64">
        <v>1.1318340206874855</v>
      </c>
      <c r="AB65" s="64">
        <v>1.0643446946632154</v>
      </c>
      <c r="AC65" s="64">
        <v>4.7496947971925323</v>
      </c>
      <c r="AD65" s="64">
        <v>27.531692698352813</v>
      </c>
      <c r="AF65" s="39">
        <v>55</v>
      </c>
      <c r="AG65" s="252">
        <v>56</v>
      </c>
      <c r="AH65" s="252">
        <v>48</v>
      </c>
      <c r="AI65" s="252">
        <v>54</v>
      </c>
      <c r="AJ65" s="252">
        <v>0</v>
      </c>
      <c r="AK65" s="253">
        <v>396.1340469999999</v>
      </c>
      <c r="AL65" s="253">
        <v>396.854555</v>
      </c>
      <c r="AM65" s="253">
        <v>10000</v>
      </c>
      <c r="AN65" s="253">
        <v>27.28879989872523</v>
      </c>
      <c r="AO65" s="253">
        <v>19.437827119138589</v>
      </c>
      <c r="AP65" s="253">
        <v>15</v>
      </c>
      <c r="AQ65" s="253">
        <v>0.93559167810657817</v>
      </c>
      <c r="AR65" s="253">
        <v>1.1318340206874855</v>
      </c>
      <c r="AS65" s="253">
        <v>0.92498947787130192</v>
      </c>
      <c r="AT65" s="253">
        <v>635.78549303065347</v>
      </c>
      <c r="AU65" s="253">
        <v>1.3452892235577645</v>
      </c>
      <c r="AV65" s="253">
        <v>1.3653498741217751</v>
      </c>
      <c r="AW65" s="253">
        <v>1.0643446946632154</v>
      </c>
    </row>
    <row r="66" spans="2:49" ht="14.1" hidden="1" customHeight="1" x14ac:dyDescent="0.25">
      <c r="B66" s="122">
        <v>56</v>
      </c>
      <c r="C66" s="123">
        <v>397.54300000000001</v>
      </c>
      <c r="D66" s="128"/>
      <c r="E66" s="123">
        <v>395.12343499999992</v>
      </c>
      <c r="F66" s="64">
        <v>2.419565000000091</v>
      </c>
      <c r="G66" s="123">
        <v>396.85599999999999</v>
      </c>
      <c r="H66" s="123">
        <v>394.4271829999999</v>
      </c>
      <c r="I66" s="64">
        <v>2.4288170000000946</v>
      </c>
      <c r="J66" s="64">
        <v>68.260000000000005</v>
      </c>
      <c r="K66" s="64">
        <v>0.68810000000000004</v>
      </c>
      <c r="L66" s="64">
        <v>0.6</v>
      </c>
      <c r="M66" s="64">
        <v>71.9846</v>
      </c>
      <c r="N66" s="64">
        <v>0.46710159682314412</v>
      </c>
      <c r="O66" s="64">
        <v>27.531692698352813</v>
      </c>
      <c r="P66" s="64">
        <v>76.137929111404247</v>
      </c>
      <c r="Q66" s="64">
        <v>0.52928743663511291</v>
      </c>
      <c r="R66" s="64">
        <v>35.982206940098465</v>
      </c>
      <c r="S66" s="64">
        <v>6830.503065791012</v>
      </c>
      <c r="T66" s="64">
        <v>1.0064459419865395</v>
      </c>
      <c r="U66" s="64">
        <v>1.02</v>
      </c>
      <c r="V66" s="64">
        <v>1.0741561290098094</v>
      </c>
      <c r="W66" s="66" t="s">
        <v>224</v>
      </c>
      <c r="X66" s="123">
        <v>1.4999999999999999E-2</v>
      </c>
      <c r="Y66" s="122">
        <v>1</v>
      </c>
      <c r="Z66" s="64">
        <v>1.5</v>
      </c>
      <c r="AA66" s="64">
        <v>1.4865396278188103</v>
      </c>
      <c r="AB66" s="64">
        <v>1.0660984062724415</v>
      </c>
      <c r="AC66" s="64">
        <v>3.8708450195272524</v>
      </c>
      <c r="AD66" s="64">
        <v>27.825599238378953</v>
      </c>
      <c r="AF66" s="39">
        <v>56</v>
      </c>
      <c r="AG66" s="252">
        <v>57</v>
      </c>
      <c r="AH66" s="252">
        <v>55</v>
      </c>
      <c r="AI66" s="252">
        <v>0</v>
      </c>
      <c r="AJ66" s="252">
        <v>0</v>
      </c>
      <c r="AK66" s="253">
        <v>395.12343499999992</v>
      </c>
      <c r="AL66" s="253">
        <v>10000</v>
      </c>
      <c r="AM66" s="253">
        <v>10000</v>
      </c>
      <c r="AN66" s="253">
        <v>27.531692698352813</v>
      </c>
      <c r="AO66" s="253">
        <v>15</v>
      </c>
      <c r="AP66" s="253">
        <v>15</v>
      </c>
      <c r="AQ66" s="253">
        <v>1.0226532075270514</v>
      </c>
      <c r="AR66" s="253">
        <v>1.3033167870406182</v>
      </c>
      <c r="AS66" s="253">
        <v>1.4865396278188103</v>
      </c>
      <c r="AT66" s="253">
        <v>784.26780845964265</v>
      </c>
      <c r="AU66" s="253">
        <v>1.3489229222886874</v>
      </c>
      <c r="AV66" s="253">
        <v>1.3690753593461114</v>
      </c>
      <c r="AW66" s="253">
        <v>1.0660984062724415</v>
      </c>
    </row>
    <row r="67" spans="2:49" ht="14.1" hidden="1" customHeight="1" x14ac:dyDescent="0.25">
      <c r="B67" s="122">
        <v>57</v>
      </c>
      <c r="C67" s="123">
        <v>396.85599999999999</v>
      </c>
      <c r="D67" s="128"/>
      <c r="E67" s="123">
        <v>394.4271829999999</v>
      </c>
      <c r="F67" s="64">
        <v>2.4288170000000946</v>
      </c>
      <c r="G67" s="123">
        <v>395.77499999999998</v>
      </c>
      <c r="H67" s="123">
        <v>393.37423699999988</v>
      </c>
      <c r="I67" s="64">
        <v>2.4007630000000972</v>
      </c>
      <c r="J67" s="64">
        <v>68.819999999999993</v>
      </c>
      <c r="K67" s="64">
        <v>0.53839999999999999</v>
      </c>
      <c r="L67" s="64">
        <v>0.6</v>
      </c>
      <c r="M67" s="64">
        <v>72.522999999999996</v>
      </c>
      <c r="N67" s="64">
        <v>0.46648245557900486</v>
      </c>
      <c r="O67" s="64">
        <v>27.825599238378953</v>
      </c>
      <c r="P67" s="64">
        <v>75.711147926170227</v>
      </c>
      <c r="Q67" s="64">
        <v>0.53016987467745713</v>
      </c>
      <c r="R67" s="64">
        <v>28.00576786878975</v>
      </c>
      <c r="S67" s="64">
        <v>6858.5088336598019</v>
      </c>
      <c r="T67" s="64">
        <v>1.5707643126998219</v>
      </c>
      <c r="U67" s="64">
        <v>1.53</v>
      </c>
      <c r="V67" s="64">
        <v>1.0829824885705703</v>
      </c>
      <c r="W67" s="66" t="s">
        <v>224</v>
      </c>
      <c r="X67" s="123">
        <v>1.4999999999999999E-2</v>
      </c>
      <c r="Y67" s="122">
        <v>1</v>
      </c>
      <c r="Z67" s="64">
        <v>1.5</v>
      </c>
      <c r="AA67" s="64">
        <v>1.120039568832413</v>
      </c>
      <c r="AB67" s="64">
        <v>1.0674589642666137</v>
      </c>
      <c r="AC67" s="64">
        <v>4.8462869732061691</v>
      </c>
      <c r="AD67" s="64">
        <v>28.062275276414145</v>
      </c>
      <c r="AF67" s="39">
        <v>57</v>
      </c>
      <c r="AG67" s="252">
        <v>58</v>
      </c>
      <c r="AH67" s="252">
        <v>56</v>
      </c>
      <c r="AI67" s="252">
        <v>0</v>
      </c>
      <c r="AJ67" s="252">
        <v>0</v>
      </c>
      <c r="AK67" s="253">
        <v>394.4271829999999</v>
      </c>
      <c r="AL67" s="253">
        <v>10000</v>
      </c>
      <c r="AM67" s="253">
        <v>10000</v>
      </c>
      <c r="AN67" s="253">
        <v>27.825599238378953</v>
      </c>
      <c r="AO67" s="253">
        <v>15</v>
      </c>
      <c r="AP67" s="253">
        <v>15</v>
      </c>
      <c r="AQ67" s="253">
        <v>0.92928068626485472</v>
      </c>
      <c r="AR67" s="253">
        <v>1.120039568832413</v>
      </c>
      <c r="AS67" s="253">
        <v>0.89221171284409828</v>
      </c>
      <c r="AT67" s="253">
        <v>628.98176792791605</v>
      </c>
      <c r="AU67" s="253">
        <v>1.3517446351446856</v>
      </c>
      <c r="AV67" s="253">
        <v>1.371968418596021</v>
      </c>
      <c r="AW67" s="253">
        <v>1.0674589642666137</v>
      </c>
    </row>
    <row r="68" spans="2:49" ht="14.1" hidden="1" customHeight="1" x14ac:dyDescent="0.25">
      <c r="B68" s="122">
        <v>58</v>
      </c>
      <c r="C68" s="123">
        <v>395.77499999999998</v>
      </c>
      <c r="D68" s="128"/>
      <c r="E68" s="123">
        <v>393.37423699999988</v>
      </c>
      <c r="F68" s="64">
        <v>2.4007630000000972</v>
      </c>
      <c r="G68" s="123">
        <v>394.72399999999999</v>
      </c>
      <c r="H68" s="123">
        <v>392.2945069999999</v>
      </c>
      <c r="I68" s="64">
        <v>2.4294930000000932</v>
      </c>
      <c r="J68" s="64">
        <v>69.66</v>
      </c>
      <c r="K68" s="64">
        <v>0.49099999999999999</v>
      </c>
      <c r="L68" s="64">
        <v>0.6</v>
      </c>
      <c r="M68" s="64">
        <v>73.013999999999996</v>
      </c>
      <c r="N68" s="64">
        <v>0.46592252490939179</v>
      </c>
      <c r="O68" s="64">
        <v>28.062275276414145</v>
      </c>
      <c r="P68" s="64">
        <v>75.371421657763293</v>
      </c>
      <c r="Q68" s="64">
        <v>0.53087237128451814</v>
      </c>
      <c r="R68" s="64">
        <v>25.428706599673692</v>
      </c>
      <c r="S68" s="64">
        <v>6883.937540259476</v>
      </c>
      <c r="T68" s="64">
        <v>1.5087568188343206</v>
      </c>
      <c r="U68" s="64">
        <v>1.55</v>
      </c>
      <c r="V68" s="64">
        <v>1.0910279387789943</v>
      </c>
      <c r="W68" s="66" t="s">
        <v>224</v>
      </c>
      <c r="X68" s="123">
        <v>1.4999999999999999E-2</v>
      </c>
      <c r="Y68" s="122">
        <v>1</v>
      </c>
      <c r="Z68" s="64">
        <v>1.5</v>
      </c>
      <c r="AA68" s="64">
        <v>1.1177134519546046</v>
      </c>
      <c r="AB68" s="64">
        <v>1.0686910167582808</v>
      </c>
      <c r="AC68" s="64">
        <v>4.8747195342230443</v>
      </c>
      <c r="AD68" s="64">
        <v>28.300442824690343</v>
      </c>
      <c r="AF68" s="39">
        <v>58</v>
      </c>
      <c r="AG68" s="252">
        <v>59</v>
      </c>
      <c r="AH68" s="252">
        <v>57</v>
      </c>
      <c r="AI68" s="252">
        <v>0</v>
      </c>
      <c r="AJ68" s="252">
        <v>0</v>
      </c>
      <c r="AK68" s="253">
        <v>393.37423699999988</v>
      </c>
      <c r="AL68" s="253">
        <v>10000</v>
      </c>
      <c r="AM68" s="253">
        <v>10000</v>
      </c>
      <c r="AN68" s="253">
        <v>28.062275276414145</v>
      </c>
      <c r="AO68" s="253">
        <v>15</v>
      </c>
      <c r="AP68" s="253">
        <v>15</v>
      </c>
      <c r="AQ68" s="253">
        <v>0.92803057791446419</v>
      </c>
      <c r="AR68" s="253">
        <v>1.1177134519546046</v>
      </c>
      <c r="AS68" s="253">
        <v>0.8858339819526404</v>
      </c>
      <c r="AT68" s="253">
        <v>627.63155381379704</v>
      </c>
      <c r="AU68" s="253">
        <v>1.3543018174563792</v>
      </c>
      <c r="AV68" s="253">
        <v>1.3745903118229406</v>
      </c>
      <c r="AW68" s="253">
        <v>1.0686910167582808</v>
      </c>
    </row>
    <row r="69" spans="2:49" ht="14.1" hidden="1" customHeight="1" x14ac:dyDescent="0.25">
      <c r="B69" s="122">
        <v>59</v>
      </c>
      <c r="C69" s="123">
        <v>394.72399999999999</v>
      </c>
      <c r="D69" s="128"/>
      <c r="E69" s="123">
        <v>392.2945069999999</v>
      </c>
      <c r="F69" s="64">
        <v>2.4294930000000932</v>
      </c>
      <c r="G69" s="123">
        <v>393.4</v>
      </c>
      <c r="H69" s="123">
        <v>390.99072699999988</v>
      </c>
      <c r="I69" s="64">
        <v>2.4092730000000984</v>
      </c>
      <c r="J69" s="64">
        <v>68.62</v>
      </c>
      <c r="K69" s="64">
        <v>0.75790000000000002</v>
      </c>
      <c r="L69" s="64">
        <v>0.6</v>
      </c>
      <c r="M69" s="64">
        <v>73.771900000000002</v>
      </c>
      <c r="N69" s="64">
        <v>0.46506687512986633</v>
      </c>
      <c r="O69" s="64">
        <v>28.300442824690343</v>
      </c>
      <c r="P69" s="64">
        <v>75.033050964318889</v>
      </c>
      <c r="Q69" s="64">
        <v>0.53157213440343609</v>
      </c>
      <c r="R69" s="64">
        <v>39.054795546575733</v>
      </c>
      <c r="S69" s="64">
        <v>6922.9923358060514</v>
      </c>
      <c r="T69" s="64">
        <v>1.9294666278053225</v>
      </c>
      <c r="U69" s="64">
        <v>1.9</v>
      </c>
      <c r="V69" s="64">
        <v>1.1034425612545136</v>
      </c>
      <c r="W69" s="66" t="s">
        <v>224</v>
      </c>
      <c r="X69" s="123">
        <v>1.4999999999999999E-2</v>
      </c>
      <c r="Y69" s="122">
        <v>1</v>
      </c>
      <c r="Z69" s="64">
        <v>1.5</v>
      </c>
      <c r="AA69" s="64">
        <v>1.0414733990193237</v>
      </c>
      <c r="AB69" s="64">
        <v>1.0705771845878245</v>
      </c>
      <c r="AC69" s="64">
        <v>5.2866900956242198</v>
      </c>
      <c r="AD69" s="64">
        <v>28.516772256902243</v>
      </c>
      <c r="AF69" s="39">
        <v>59</v>
      </c>
      <c r="AG69" s="252">
        <v>60</v>
      </c>
      <c r="AH69" s="252">
        <v>58</v>
      </c>
      <c r="AI69" s="252">
        <v>0</v>
      </c>
      <c r="AJ69" s="252">
        <v>0</v>
      </c>
      <c r="AK69" s="253">
        <v>392.2945069999999</v>
      </c>
      <c r="AL69" s="253">
        <v>10000</v>
      </c>
      <c r="AM69" s="253">
        <v>10000</v>
      </c>
      <c r="AN69" s="253">
        <v>28.300442824690343</v>
      </c>
      <c r="AO69" s="253">
        <v>15</v>
      </c>
      <c r="AP69" s="253">
        <v>15</v>
      </c>
      <c r="AQ69" s="253">
        <v>0.88600637683346872</v>
      </c>
      <c r="AR69" s="253">
        <v>1.0414733990193237</v>
      </c>
      <c r="AS69" s="253">
        <v>0.69190577813401788</v>
      </c>
      <c r="AT69" s="253">
        <v>582.00602398222622</v>
      </c>
      <c r="AU69" s="253">
        <v>1.3582202939929551</v>
      </c>
      <c r="AV69" s="253">
        <v>1.3786080453496814</v>
      </c>
      <c r="AW69" s="253">
        <v>1.0705771845878245</v>
      </c>
    </row>
    <row r="70" spans="2:49" ht="14.1" hidden="1" customHeight="1" x14ac:dyDescent="0.25">
      <c r="B70" s="122">
        <v>60</v>
      </c>
      <c r="C70" s="123">
        <v>393.4</v>
      </c>
      <c r="D70" s="128"/>
      <c r="E70" s="123">
        <v>390.99072699999988</v>
      </c>
      <c r="F70" s="64">
        <v>2.4092730000000984</v>
      </c>
      <c r="G70" s="123">
        <v>391.62</v>
      </c>
      <c r="H70" s="123">
        <v>389.18021699999986</v>
      </c>
      <c r="I70" s="64">
        <v>2.4397830000001477</v>
      </c>
      <c r="J70" s="64">
        <v>95.29</v>
      </c>
      <c r="K70" s="64">
        <v>0.75209999999999999</v>
      </c>
      <c r="L70" s="64">
        <v>0.6</v>
      </c>
      <c r="M70" s="64">
        <v>74.524000000000001</v>
      </c>
      <c r="N70" s="64">
        <v>0.464227949290834</v>
      </c>
      <c r="O70" s="64">
        <v>28.516772256902243</v>
      </c>
      <c r="P70" s="64">
        <v>74.728699159391724</v>
      </c>
      <c r="Q70" s="64">
        <v>0.53220161836496349</v>
      </c>
      <c r="R70" s="64">
        <v>38.574715109376058</v>
      </c>
      <c r="S70" s="64">
        <v>6961.5670509154279</v>
      </c>
      <c r="T70" s="64">
        <v>1.86798194983731</v>
      </c>
      <c r="U70" s="64">
        <v>1.9</v>
      </c>
      <c r="V70" s="64">
        <v>1.1157735204124519</v>
      </c>
      <c r="W70" s="66" t="s">
        <v>224</v>
      </c>
      <c r="X70" s="123">
        <v>1.4999999999999999E-2</v>
      </c>
      <c r="Y70" s="122">
        <v>1</v>
      </c>
      <c r="Z70" s="64">
        <v>1.5</v>
      </c>
      <c r="AA70" s="64">
        <v>1.0456829308913016</v>
      </c>
      <c r="AB70" s="64">
        <v>1.072432990992531</v>
      </c>
      <c r="AC70" s="64">
        <v>5.2926633327931079</v>
      </c>
      <c r="AD70" s="64">
        <v>28.816841724163925</v>
      </c>
      <c r="AF70" s="39">
        <v>60</v>
      </c>
      <c r="AG70" s="252">
        <v>61</v>
      </c>
      <c r="AH70" s="252">
        <v>59</v>
      </c>
      <c r="AI70" s="252">
        <v>0</v>
      </c>
      <c r="AJ70" s="252">
        <v>0</v>
      </c>
      <c r="AK70" s="253">
        <v>390.99072699999988</v>
      </c>
      <c r="AL70" s="253">
        <v>10000</v>
      </c>
      <c r="AM70" s="253">
        <v>10000</v>
      </c>
      <c r="AN70" s="253">
        <v>28.516772256902243</v>
      </c>
      <c r="AO70" s="253">
        <v>15</v>
      </c>
      <c r="AP70" s="253">
        <v>15</v>
      </c>
      <c r="AQ70" s="253">
        <v>0.88838249111765832</v>
      </c>
      <c r="AR70" s="253">
        <v>1.0456829308913016</v>
      </c>
      <c r="AS70" s="253">
        <v>0.70186112924870359</v>
      </c>
      <c r="AT70" s="253">
        <v>584.5884398571859</v>
      </c>
      <c r="AU70" s="253">
        <v>1.3620799993891934</v>
      </c>
      <c r="AV70" s="253">
        <v>1.3825656344176749</v>
      </c>
      <c r="AW70" s="253">
        <v>1.072432990992531</v>
      </c>
    </row>
    <row r="71" spans="2:49" ht="14.1" hidden="1" customHeight="1" x14ac:dyDescent="0.25">
      <c r="B71" s="122">
        <v>61</v>
      </c>
      <c r="C71" s="123">
        <v>391.62</v>
      </c>
      <c r="D71" s="128"/>
      <c r="E71" s="123">
        <v>389.18021699999986</v>
      </c>
      <c r="F71" s="64">
        <v>2.4397830000001477</v>
      </c>
      <c r="G71" s="123">
        <v>389.738</v>
      </c>
      <c r="H71" s="123">
        <v>387.29399699999988</v>
      </c>
      <c r="I71" s="64">
        <v>2.4440030000001229</v>
      </c>
      <c r="J71" s="64">
        <v>104.79</v>
      </c>
      <c r="K71" s="64">
        <v>0.94289999999999996</v>
      </c>
      <c r="L71" s="64">
        <v>0.6</v>
      </c>
      <c r="M71" s="64">
        <v>75.466899999999995</v>
      </c>
      <c r="N71" s="64">
        <v>0.46319017753460345</v>
      </c>
      <c r="O71" s="64">
        <v>28.816841724163925</v>
      </c>
      <c r="P71" s="64">
        <v>74.311172321932006</v>
      </c>
      <c r="Q71" s="64">
        <v>0.53306531555870862</v>
      </c>
      <c r="R71" s="64">
        <v>48.060884215020444</v>
      </c>
      <c r="S71" s="64">
        <v>7009.6279351304483</v>
      </c>
      <c r="T71" s="64">
        <v>1.7959728981773115</v>
      </c>
      <c r="U71" s="64">
        <v>1.8</v>
      </c>
      <c r="V71" s="64">
        <v>1.1312327319548592</v>
      </c>
      <c r="W71" s="66" t="s">
        <v>224</v>
      </c>
      <c r="X71" s="123">
        <v>1.4999999999999999E-2</v>
      </c>
      <c r="Y71" s="122">
        <v>1</v>
      </c>
      <c r="Z71" s="64">
        <v>1.5</v>
      </c>
      <c r="AA71" s="64">
        <v>1.0718887342593404</v>
      </c>
      <c r="AB71" s="64">
        <v>1.0747352948206361</v>
      </c>
      <c r="AC71" s="64">
        <v>5.1879211764334041</v>
      </c>
      <c r="AD71" s="64">
        <v>29.153489090344745</v>
      </c>
      <c r="AF71" s="39">
        <v>61</v>
      </c>
      <c r="AG71" s="252">
        <v>84</v>
      </c>
      <c r="AH71" s="252">
        <v>60</v>
      </c>
      <c r="AI71" s="252">
        <v>0</v>
      </c>
      <c r="AJ71" s="252">
        <v>0</v>
      </c>
      <c r="AK71" s="253">
        <v>389.18021699999986</v>
      </c>
      <c r="AL71" s="253">
        <v>10000</v>
      </c>
      <c r="AM71" s="253">
        <v>10000</v>
      </c>
      <c r="AN71" s="253">
        <v>28.816841724163925</v>
      </c>
      <c r="AO71" s="253">
        <v>15</v>
      </c>
      <c r="AP71" s="253">
        <v>15</v>
      </c>
      <c r="AQ71" s="253">
        <v>0.90302366040239523</v>
      </c>
      <c r="AR71" s="253">
        <v>1.0718887342593404</v>
      </c>
      <c r="AS71" s="253">
        <v>0.76578425774065595</v>
      </c>
      <c r="AT71" s="253">
        <v>600.508390054816</v>
      </c>
      <c r="AU71" s="253">
        <v>1.3668742593943501</v>
      </c>
      <c r="AV71" s="253">
        <v>1.387481637747322</v>
      </c>
      <c r="AW71" s="253">
        <v>1.0747352948206361</v>
      </c>
    </row>
    <row r="72" spans="2:49" ht="14.1" hidden="1" customHeight="1" x14ac:dyDescent="0.25">
      <c r="B72" s="122">
        <v>62</v>
      </c>
      <c r="C72" s="123">
        <v>402.14800000000002</v>
      </c>
      <c r="D72" s="128"/>
      <c r="E72" s="123">
        <v>400.64800000000002</v>
      </c>
      <c r="F72" s="64">
        <v>1.5</v>
      </c>
      <c r="G72" s="123">
        <v>401.24799999999999</v>
      </c>
      <c r="H72" s="123">
        <v>399.72270000000003</v>
      </c>
      <c r="I72" s="64">
        <v>1.5252999999999588</v>
      </c>
      <c r="J72" s="64">
        <v>92.53</v>
      </c>
      <c r="K72" s="64">
        <v>2.9167000000000001</v>
      </c>
      <c r="L72" s="64">
        <v>0.6</v>
      </c>
      <c r="M72" s="64">
        <v>2.9167000000000001</v>
      </c>
      <c r="N72" s="64">
        <v>0.82651219605962578</v>
      </c>
      <c r="O72" s="64">
        <v>15</v>
      </c>
      <c r="P72" s="64">
        <v>101.5258000467022</v>
      </c>
      <c r="Q72" s="64">
        <v>0.47581283640599359</v>
      </c>
      <c r="R72" s="64">
        <v>323.50861038200952</v>
      </c>
      <c r="S72" s="64">
        <v>323.50861038200952</v>
      </c>
      <c r="T72" s="64">
        <v>0.97265751648117815</v>
      </c>
      <c r="U72" s="64">
        <v>1</v>
      </c>
      <c r="V72" s="64">
        <v>0.31935993476234203</v>
      </c>
      <c r="W72" s="66" t="s">
        <v>224</v>
      </c>
      <c r="X72" s="123">
        <v>1.4999999999999999E-2</v>
      </c>
      <c r="Y72" s="122">
        <v>1</v>
      </c>
      <c r="Z72" s="64">
        <v>0.6</v>
      </c>
      <c r="AA72" s="64">
        <v>0.33848836870442406</v>
      </c>
      <c r="AB72" s="64">
        <v>0.3701404413951041</v>
      </c>
      <c r="AC72" s="64">
        <v>1.9677997670643714</v>
      </c>
      <c r="AD72" s="64">
        <v>15.783701010884517</v>
      </c>
      <c r="AF72" s="39">
        <v>62</v>
      </c>
      <c r="AG72" s="252">
        <v>63</v>
      </c>
      <c r="AH72" s="252">
        <v>0</v>
      </c>
      <c r="AI72" s="252">
        <v>0</v>
      </c>
      <c r="AJ72" s="252">
        <v>0</v>
      </c>
      <c r="AK72" s="253">
        <v>10000</v>
      </c>
      <c r="AL72" s="253">
        <v>10000</v>
      </c>
      <c r="AM72" s="253">
        <v>10000</v>
      </c>
      <c r="AN72" s="253">
        <v>15</v>
      </c>
      <c r="AO72" s="253">
        <v>15</v>
      </c>
      <c r="AP72" s="253">
        <v>15</v>
      </c>
      <c r="AQ72" s="253">
        <v>0.30674162130112814</v>
      </c>
      <c r="AR72" s="253">
        <v>0.33848836870442406</v>
      </c>
      <c r="AS72" s="253">
        <v>0.12826348634572599</v>
      </c>
      <c r="AT72" s="253">
        <v>456.66995386401976</v>
      </c>
      <c r="AU72" s="253">
        <v>0.36616821305989322</v>
      </c>
      <c r="AV72" s="253">
        <v>0.3701404413951041</v>
      </c>
      <c r="AW72" s="253">
        <v>0.50451554251025388</v>
      </c>
    </row>
    <row r="73" spans="2:49" ht="14.1" hidden="1" customHeight="1" x14ac:dyDescent="0.25">
      <c r="B73" s="122">
        <v>63</v>
      </c>
      <c r="C73" s="123">
        <v>401.24799999999999</v>
      </c>
      <c r="D73" s="128"/>
      <c r="E73" s="123">
        <v>399.72270000000003</v>
      </c>
      <c r="F73" s="64">
        <v>1.5252999999999588</v>
      </c>
      <c r="G73" s="123">
        <v>400.28</v>
      </c>
      <c r="H73" s="123">
        <v>398.75113500000003</v>
      </c>
      <c r="I73" s="64">
        <v>1.5288649999999393</v>
      </c>
      <c r="J73" s="64">
        <v>92.53</v>
      </c>
      <c r="K73" s="64">
        <v>0.6008</v>
      </c>
      <c r="L73" s="64">
        <v>0.6</v>
      </c>
      <c r="M73" s="64">
        <v>3.5175000000000001</v>
      </c>
      <c r="N73" s="64">
        <v>0.79941138507493703</v>
      </c>
      <c r="O73" s="64">
        <v>15.783701010884517</v>
      </c>
      <c r="P73" s="64">
        <v>99.368626520263859</v>
      </c>
      <c r="Q73" s="64">
        <v>0.4805069111360058</v>
      </c>
      <c r="R73" s="64">
        <v>63.706158829990613</v>
      </c>
      <c r="S73" s="64">
        <v>387.21476921200014</v>
      </c>
      <c r="T73" s="64">
        <v>1.0461471955041799</v>
      </c>
      <c r="U73" s="64">
        <v>1.05</v>
      </c>
      <c r="V73" s="64">
        <v>0.45752261977292674</v>
      </c>
      <c r="W73" s="66" t="s">
        <v>224</v>
      </c>
      <c r="X73" s="123">
        <v>1.4999999999999999E-2</v>
      </c>
      <c r="Y73" s="122">
        <v>1</v>
      </c>
      <c r="Z73" s="64">
        <v>0.6</v>
      </c>
      <c r="AA73" s="64">
        <v>0.37615311019418302</v>
      </c>
      <c r="AB73" s="64">
        <v>0.40610732585658438</v>
      </c>
      <c r="AC73" s="64">
        <v>2.0754621431542559</v>
      </c>
      <c r="AD73" s="64">
        <v>16.526748371084931</v>
      </c>
      <c r="AF73" s="39">
        <v>63</v>
      </c>
      <c r="AG73" s="252">
        <v>64</v>
      </c>
      <c r="AH73" s="252">
        <v>62</v>
      </c>
      <c r="AI73" s="252">
        <v>0</v>
      </c>
      <c r="AJ73" s="252">
        <v>0</v>
      </c>
      <c r="AK73" s="253">
        <v>399.72270000000003</v>
      </c>
      <c r="AL73" s="253">
        <v>10000</v>
      </c>
      <c r="AM73" s="253">
        <v>10000</v>
      </c>
      <c r="AN73" s="253">
        <v>15.783701010884517</v>
      </c>
      <c r="AO73" s="253">
        <v>15</v>
      </c>
      <c r="AP73" s="253">
        <v>15</v>
      </c>
      <c r="AQ73" s="253">
        <v>0.3305932129200343</v>
      </c>
      <c r="AR73" s="253">
        <v>0.37615311019418302</v>
      </c>
      <c r="AS73" s="253">
        <v>0.19124172671764791</v>
      </c>
      <c r="AT73" s="253">
        <v>518.24437496593873</v>
      </c>
      <c r="AU73" s="253">
        <v>0.4013737651508214</v>
      </c>
      <c r="AV73" s="253">
        <v>0.40610732585658438</v>
      </c>
      <c r="AW73" s="253">
        <v>0.53359007623925736</v>
      </c>
    </row>
    <row r="74" spans="2:49" ht="14.1" hidden="1" customHeight="1" x14ac:dyDescent="0.25">
      <c r="B74" s="122">
        <v>64</v>
      </c>
      <c r="C74" s="123">
        <v>400.28</v>
      </c>
      <c r="D74" s="128"/>
      <c r="E74" s="123">
        <v>398.75113500000003</v>
      </c>
      <c r="F74" s="64">
        <v>1.5288649999999393</v>
      </c>
      <c r="G74" s="123">
        <v>399.22800000000001</v>
      </c>
      <c r="H74" s="123">
        <v>397.68704000000002</v>
      </c>
      <c r="I74" s="64">
        <v>1.5409599999999841</v>
      </c>
      <c r="J74" s="64">
        <v>92.53</v>
      </c>
      <c r="K74" s="64">
        <v>0.68340000000000001</v>
      </c>
      <c r="L74" s="64">
        <v>0.6</v>
      </c>
      <c r="M74" s="64">
        <v>4.2008999999999999</v>
      </c>
      <c r="N74" s="64">
        <v>0.77454216094093542</v>
      </c>
      <c r="O74" s="64">
        <v>16.526748371084931</v>
      </c>
      <c r="P74" s="64">
        <v>97.417642220450105</v>
      </c>
      <c r="Q74" s="64">
        <v>0.48471739334219288</v>
      </c>
      <c r="R74" s="64">
        <v>69.435009128178237</v>
      </c>
      <c r="S74" s="64">
        <v>456.64977834017839</v>
      </c>
      <c r="T74" s="64">
        <v>1.1369285637090285</v>
      </c>
      <c r="U74" s="64">
        <v>1.1499999999999999</v>
      </c>
      <c r="V74" s="64">
        <v>0.63631951832207068</v>
      </c>
      <c r="W74" s="66" t="s">
        <v>224</v>
      </c>
      <c r="X74" s="123">
        <v>1.4999999999999999E-2</v>
      </c>
      <c r="Y74" s="122">
        <v>1</v>
      </c>
      <c r="Z74" s="64">
        <v>0.6</v>
      </c>
      <c r="AA74" s="64">
        <v>0.40936444183204707</v>
      </c>
      <c r="AB74" s="64">
        <v>0.4421762689243946</v>
      </c>
      <c r="AC74" s="64">
        <v>2.2220698850831493</v>
      </c>
      <c r="AD74" s="64">
        <v>17.220770947521117</v>
      </c>
      <c r="AF74" s="39">
        <v>64</v>
      </c>
      <c r="AG74" s="252">
        <v>65</v>
      </c>
      <c r="AH74" s="252">
        <v>63</v>
      </c>
      <c r="AI74" s="252">
        <v>0</v>
      </c>
      <c r="AJ74" s="252">
        <v>0</v>
      </c>
      <c r="AK74" s="253">
        <v>398.75113500000003</v>
      </c>
      <c r="AL74" s="253">
        <v>10000</v>
      </c>
      <c r="AM74" s="253">
        <v>10000</v>
      </c>
      <c r="AN74" s="253">
        <v>16.526748371084931</v>
      </c>
      <c r="AO74" s="253">
        <v>15</v>
      </c>
      <c r="AP74" s="253">
        <v>15</v>
      </c>
      <c r="AQ74" s="253">
        <v>0.35018591923864623</v>
      </c>
      <c r="AR74" s="253">
        <v>0.40936444183204707</v>
      </c>
      <c r="AS74" s="253">
        <v>0.26000299393258103</v>
      </c>
      <c r="AT74" s="253">
        <v>570.85135576329083</v>
      </c>
      <c r="AU74" s="253">
        <v>0.43664762912051025</v>
      </c>
      <c r="AV74" s="253">
        <v>0.4421762689243946</v>
      </c>
      <c r="AW74" s="253">
        <v>0.56173984716751368</v>
      </c>
    </row>
    <row r="75" spans="2:49" ht="14.1" hidden="1" customHeight="1" x14ac:dyDescent="0.25">
      <c r="B75" s="122">
        <v>65</v>
      </c>
      <c r="C75" s="123">
        <v>399.22800000000001</v>
      </c>
      <c r="D75" s="128">
        <v>0.1</v>
      </c>
      <c r="E75" s="123">
        <v>397.58704</v>
      </c>
      <c r="F75" s="64">
        <v>1.6409600000000069</v>
      </c>
      <c r="G75" s="123">
        <v>398.75900000000001</v>
      </c>
      <c r="H75" s="123">
        <v>397.160955</v>
      </c>
      <c r="I75" s="64">
        <v>1.5980450000000133</v>
      </c>
      <c r="J75" s="64">
        <v>77.47</v>
      </c>
      <c r="K75" s="64">
        <v>0.90559999999999996</v>
      </c>
      <c r="L75" s="64">
        <v>0.6</v>
      </c>
      <c r="M75" s="64">
        <v>5.1064999999999996</v>
      </c>
      <c r="N75" s="64">
        <v>0.74809033889951493</v>
      </c>
      <c r="O75" s="64">
        <v>17.220770947521117</v>
      </c>
      <c r="P75" s="64">
        <v>95.672618255741014</v>
      </c>
      <c r="Q75" s="64">
        <v>0.48845775703263805</v>
      </c>
      <c r="R75" s="64">
        <v>87.950309412073835</v>
      </c>
      <c r="S75" s="64">
        <v>544.60008775225219</v>
      </c>
      <c r="T75" s="64">
        <v>0.6053956370207747</v>
      </c>
      <c r="U75" s="64">
        <v>0.55000000000000004</v>
      </c>
      <c r="V75" s="64">
        <v>0.19513008239248572</v>
      </c>
      <c r="W75" s="66" t="s">
        <v>224</v>
      </c>
      <c r="X75" s="123">
        <v>1.4999999999999999E-2</v>
      </c>
      <c r="Y75" s="122">
        <v>1</v>
      </c>
      <c r="Z75" s="64">
        <v>0.8</v>
      </c>
      <c r="AA75" s="64">
        <v>0.4674524340767427</v>
      </c>
      <c r="AB75" s="64">
        <v>0.44551688520114285</v>
      </c>
      <c r="AC75" s="64">
        <v>1.7853837550719671</v>
      </c>
      <c r="AD75" s="64">
        <v>17.943958140749849</v>
      </c>
      <c r="AF75" s="39">
        <v>65</v>
      </c>
      <c r="AG75" s="252">
        <v>66</v>
      </c>
      <c r="AH75" s="252">
        <v>64</v>
      </c>
      <c r="AI75" s="252">
        <v>0</v>
      </c>
      <c r="AJ75" s="252">
        <v>0</v>
      </c>
      <c r="AK75" s="253">
        <v>397.68704000000002</v>
      </c>
      <c r="AL75" s="253">
        <v>10000</v>
      </c>
      <c r="AM75" s="253">
        <v>10000</v>
      </c>
      <c r="AN75" s="253">
        <v>17.220770947521117</v>
      </c>
      <c r="AO75" s="253">
        <v>15</v>
      </c>
      <c r="AP75" s="253">
        <v>15</v>
      </c>
      <c r="AQ75" s="253">
        <v>0.41952924308241851</v>
      </c>
      <c r="AR75" s="253">
        <v>0.4674524340767427</v>
      </c>
      <c r="AS75" s="253">
        <v>0.195719916611927</v>
      </c>
      <c r="AT75" s="253">
        <v>476.61329655068664</v>
      </c>
      <c r="AU75" s="253">
        <v>0.44117793409246292</v>
      </c>
      <c r="AV75" s="253">
        <v>0.44551688520114285</v>
      </c>
      <c r="AW75" s="253">
        <v>0.55688701671476737</v>
      </c>
    </row>
    <row r="76" spans="2:49" ht="14.1" hidden="1" customHeight="1" x14ac:dyDescent="0.25">
      <c r="B76" s="122">
        <v>66</v>
      </c>
      <c r="C76" s="123">
        <v>398.75900000000001</v>
      </c>
      <c r="D76" s="128"/>
      <c r="E76" s="123">
        <v>397.160955</v>
      </c>
      <c r="F76" s="64">
        <v>1.5980450000000133</v>
      </c>
      <c r="G76" s="123">
        <v>397.40600000000001</v>
      </c>
      <c r="H76" s="123">
        <v>395.80811999999997</v>
      </c>
      <c r="I76" s="64">
        <v>1.5978800000000319</v>
      </c>
      <c r="J76" s="64">
        <v>100.21</v>
      </c>
      <c r="K76" s="64">
        <v>0.77500000000000002</v>
      </c>
      <c r="L76" s="64">
        <v>0.6</v>
      </c>
      <c r="M76" s="64">
        <v>5.8815</v>
      </c>
      <c r="N76" s="64">
        <v>0.7295097790326156</v>
      </c>
      <c r="O76" s="64">
        <v>17.943958140749849</v>
      </c>
      <c r="P76" s="64">
        <v>93.928491156765602</v>
      </c>
      <c r="Q76" s="64">
        <v>0.49217414119156333</v>
      </c>
      <c r="R76" s="64">
        <v>72.607452603269977</v>
      </c>
      <c r="S76" s="64">
        <v>617.20754035552216</v>
      </c>
      <c r="T76" s="64">
        <v>1.3501646542261339</v>
      </c>
      <c r="U76" s="64">
        <v>1.35</v>
      </c>
      <c r="V76" s="64">
        <v>0.25062896478134467</v>
      </c>
      <c r="W76" s="66" t="s">
        <v>224</v>
      </c>
      <c r="X76" s="123">
        <v>1.4999999999999999E-2</v>
      </c>
      <c r="Y76" s="122">
        <v>1</v>
      </c>
      <c r="Z76" s="64">
        <v>0.8</v>
      </c>
      <c r="AA76" s="64">
        <v>0.38033881316899742</v>
      </c>
      <c r="AB76" s="64">
        <v>0.47523142128570073</v>
      </c>
      <c r="AC76" s="64">
        <v>2.6196730449136596</v>
      </c>
      <c r="AD76" s="64">
        <v>18.5815058950047</v>
      </c>
      <c r="AF76" s="39">
        <v>66</v>
      </c>
      <c r="AG76" s="252">
        <v>67</v>
      </c>
      <c r="AH76" s="252">
        <v>65</v>
      </c>
      <c r="AI76" s="252">
        <v>0</v>
      </c>
      <c r="AJ76" s="252">
        <v>0</v>
      </c>
      <c r="AK76" s="253">
        <v>397.160955</v>
      </c>
      <c r="AL76" s="253">
        <v>10000</v>
      </c>
      <c r="AM76" s="253">
        <v>10000</v>
      </c>
      <c r="AN76" s="253">
        <v>17.943958140749849</v>
      </c>
      <c r="AO76" s="253">
        <v>15</v>
      </c>
      <c r="AP76" s="253">
        <v>15</v>
      </c>
      <c r="AQ76" s="253">
        <v>0.35890342537459918</v>
      </c>
      <c r="AR76" s="253">
        <v>0.38033881316899742</v>
      </c>
      <c r="AS76" s="253">
        <v>8.5165769665466143E-2</v>
      </c>
      <c r="AT76" s="253">
        <v>368.1324979382257</v>
      </c>
      <c r="AU76" s="253">
        <v>0.47029690793172063</v>
      </c>
      <c r="AV76" s="253">
        <v>0.47523142128570073</v>
      </c>
      <c r="AW76" s="253">
        <v>0.57904069074417464</v>
      </c>
    </row>
    <row r="77" spans="2:49" ht="14.1" hidden="1" customHeight="1" x14ac:dyDescent="0.25">
      <c r="B77" s="122">
        <v>67</v>
      </c>
      <c r="C77" s="123">
        <v>397.40600000000001</v>
      </c>
      <c r="D77" s="128"/>
      <c r="E77" s="123">
        <v>395.80811999999997</v>
      </c>
      <c r="F77" s="64">
        <v>1.5978800000000319</v>
      </c>
      <c r="G77" s="123">
        <v>396.22</v>
      </c>
      <c r="H77" s="123">
        <v>394.58849499999997</v>
      </c>
      <c r="I77" s="64">
        <v>1.631505000000061</v>
      </c>
      <c r="J77" s="64">
        <v>97.57</v>
      </c>
      <c r="K77" s="64">
        <v>1.0011000000000001</v>
      </c>
      <c r="L77" s="64">
        <v>0.6</v>
      </c>
      <c r="M77" s="64">
        <v>6.8826000000000001</v>
      </c>
      <c r="N77" s="64">
        <v>0.70938181253784915</v>
      </c>
      <c r="O77" s="64">
        <v>18.5815058950047</v>
      </c>
      <c r="P77" s="64">
        <v>92.449937867808458</v>
      </c>
      <c r="Q77" s="64">
        <v>0.49530886919190914</v>
      </c>
      <c r="R77" s="64">
        <v>90.338417952395474</v>
      </c>
      <c r="S77" s="64">
        <v>707.54595830791766</v>
      </c>
      <c r="T77" s="64">
        <v>1.2155375627754215</v>
      </c>
      <c r="U77" s="64">
        <v>1.25</v>
      </c>
      <c r="V77" s="64">
        <v>0.32936551268948899</v>
      </c>
      <c r="W77" s="66" t="s">
        <v>224</v>
      </c>
      <c r="X77" s="123">
        <v>1.4999999999999999E-2</v>
      </c>
      <c r="Y77" s="122">
        <v>1</v>
      </c>
      <c r="Z77" s="64">
        <v>0.8</v>
      </c>
      <c r="AA77" s="64">
        <v>0.42392787503851148</v>
      </c>
      <c r="AB77" s="64">
        <v>0.50992946319814192</v>
      </c>
      <c r="AC77" s="64">
        <v>2.6161000981453499</v>
      </c>
      <c r="AD77" s="64">
        <v>19.203105453759932</v>
      </c>
      <c r="AF77" s="39">
        <v>67</v>
      </c>
      <c r="AG77" s="252">
        <v>70</v>
      </c>
      <c r="AH77" s="252">
        <v>66</v>
      </c>
      <c r="AI77" s="252">
        <v>0</v>
      </c>
      <c r="AJ77" s="252">
        <v>0</v>
      </c>
      <c r="AK77" s="253">
        <v>395.80811999999997</v>
      </c>
      <c r="AL77" s="253">
        <v>10000</v>
      </c>
      <c r="AM77" s="253">
        <v>10000</v>
      </c>
      <c r="AN77" s="253">
        <v>18.5815058950047</v>
      </c>
      <c r="AO77" s="253">
        <v>15</v>
      </c>
      <c r="AP77" s="253">
        <v>15</v>
      </c>
      <c r="AQ77" s="253">
        <v>0.39050502096607548</v>
      </c>
      <c r="AR77" s="253">
        <v>0.42392787503851148</v>
      </c>
      <c r="AS77" s="253">
        <v>0.13357806358139165</v>
      </c>
      <c r="AT77" s="253">
        <v>422.59107770374681</v>
      </c>
      <c r="AU77" s="253">
        <v>0.50427634892654349</v>
      </c>
      <c r="AV77" s="253">
        <v>0.50992946319814192</v>
      </c>
      <c r="AW77" s="253">
        <v>0.60422709667743812</v>
      </c>
    </row>
    <row r="78" spans="2:49" ht="14.1" hidden="1" customHeight="1" x14ac:dyDescent="0.25">
      <c r="B78" s="122">
        <v>68</v>
      </c>
      <c r="C78" s="123">
        <v>397.13499999999999</v>
      </c>
      <c r="D78" s="128"/>
      <c r="E78" s="123">
        <v>395.53499999999997</v>
      </c>
      <c r="F78" s="64">
        <v>1.6000000000000227</v>
      </c>
      <c r="G78" s="123">
        <v>396.94200000000001</v>
      </c>
      <c r="H78" s="123">
        <v>395.23355999999995</v>
      </c>
      <c r="I78" s="64">
        <v>1.7084400000000528</v>
      </c>
      <c r="J78" s="64">
        <v>100.48</v>
      </c>
      <c r="K78" s="64">
        <v>2.0781999999999998</v>
      </c>
      <c r="L78" s="64">
        <v>0.6</v>
      </c>
      <c r="M78" s="64">
        <v>2.0781999999999998</v>
      </c>
      <c r="N78" s="64">
        <v>0.87791335043241592</v>
      </c>
      <c r="O78" s="64">
        <v>15</v>
      </c>
      <c r="P78" s="64">
        <v>101.5258000467022</v>
      </c>
      <c r="Q78" s="64">
        <v>0.47581283640599359</v>
      </c>
      <c r="R78" s="64">
        <v>244.84081134912651</v>
      </c>
      <c r="S78" s="64">
        <v>244.84081134912651</v>
      </c>
      <c r="T78" s="64">
        <v>0.19207802547769071</v>
      </c>
      <c r="U78" s="64">
        <v>0.3</v>
      </c>
      <c r="V78" s="64">
        <v>3.9439957105677943E-2</v>
      </c>
      <c r="W78" s="66" t="s">
        <v>224</v>
      </c>
      <c r="X78" s="123">
        <v>1.4999999999999999E-2</v>
      </c>
      <c r="Y78" s="122">
        <v>1</v>
      </c>
      <c r="Z78" s="64">
        <v>0.8</v>
      </c>
      <c r="AA78" s="64">
        <v>0.34423288426384163</v>
      </c>
      <c r="AB78" s="64">
        <v>0.2949489382151893</v>
      </c>
      <c r="AC78" s="64">
        <v>1.1836139544939761</v>
      </c>
      <c r="AD78" s="64">
        <v>16.414875737404284</v>
      </c>
      <c r="AF78" s="39">
        <v>68</v>
      </c>
      <c r="AG78" s="252">
        <v>69</v>
      </c>
      <c r="AH78" s="252">
        <v>0</v>
      </c>
      <c r="AI78" s="252">
        <v>0</v>
      </c>
      <c r="AJ78" s="252">
        <v>0</v>
      </c>
      <c r="AK78" s="253">
        <v>10000</v>
      </c>
      <c r="AL78" s="253">
        <v>10000</v>
      </c>
      <c r="AM78" s="253">
        <v>10000</v>
      </c>
      <c r="AN78" s="253">
        <v>15</v>
      </c>
      <c r="AO78" s="253">
        <v>15</v>
      </c>
      <c r="AP78" s="253">
        <v>15</v>
      </c>
      <c r="AQ78" s="253">
        <v>0.33025999191716149</v>
      </c>
      <c r="AR78" s="253">
        <v>0.34423288426384163</v>
      </c>
      <c r="AS78" s="253">
        <v>5.4609066989642317E-2</v>
      </c>
      <c r="AT78" s="253">
        <v>323.21667574168254</v>
      </c>
      <c r="AU78" s="253">
        <v>0.29329310917198564</v>
      </c>
      <c r="AV78" s="253">
        <v>0.2949489382151893</v>
      </c>
      <c r="AW78" s="253">
        <v>0.43405699071774084</v>
      </c>
    </row>
    <row r="79" spans="2:49" ht="14.1" hidden="1" customHeight="1" x14ac:dyDescent="0.25">
      <c r="B79" s="122">
        <v>69</v>
      </c>
      <c r="C79" s="123">
        <v>396.94200000000001</v>
      </c>
      <c r="D79" s="128">
        <v>0.1</v>
      </c>
      <c r="E79" s="123">
        <v>395.13355999999993</v>
      </c>
      <c r="F79" s="64">
        <v>1.8084400000000755</v>
      </c>
      <c r="G79" s="123">
        <v>396.22</v>
      </c>
      <c r="H79" s="123">
        <v>394.53445999999991</v>
      </c>
      <c r="I79" s="64">
        <v>1.6855400000001168</v>
      </c>
      <c r="J79" s="64">
        <v>99.85</v>
      </c>
      <c r="K79" s="64">
        <v>1.2767999999999999</v>
      </c>
      <c r="L79" s="64">
        <v>0.6</v>
      </c>
      <c r="M79" s="64">
        <v>3.3549999999999995</v>
      </c>
      <c r="N79" s="64">
        <v>0.80617018176398947</v>
      </c>
      <c r="O79" s="64">
        <v>16.414875737404284</v>
      </c>
      <c r="P79" s="64">
        <v>97.705773864544355</v>
      </c>
      <c r="Q79" s="64">
        <v>0.48409753408602574</v>
      </c>
      <c r="R79" s="64">
        <v>135.24927486211965</v>
      </c>
      <c r="S79" s="64">
        <v>380.09008621124616</v>
      </c>
      <c r="T79" s="64">
        <v>0.72308462694039066</v>
      </c>
      <c r="U79" s="64">
        <v>0.6</v>
      </c>
      <c r="V79" s="64">
        <v>9.5047762632596122E-2</v>
      </c>
      <c r="W79" s="66" t="s">
        <v>224</v>
      </c>
      <c r="X79" s="123">
        <v>1.4999999999999999E-2</v>
      </c>
      <c r="Y79" s="122">
        <v>1</v>
      </c>
      <c r="Z79" s="64">
        <v>0.8</v>
      </c>
      <c r="AA79" s="64">
        <v>0.36296442362352321</v>
      </c>
      <c r="AB79" s="64">
        <v>0.37007107921472415</v>
      </c>
      <c r="AC79" s="64">
        <v>1.7141146922924841</v>
      </c>
      <c r="AD79" s="64">
        <v>17.385736482108001</v>
      </c>
      <c r="AF79" s="39">
        <v>69</v>
      </c>
      <c r="AG79" s="252">
        <v>70</v>
      </c>
      <c r="AH79" s="252">
        <v>68</v>
      </c>
      <c r="AI79" s="252">
        <v>0</v>
      </c>
      <c r="AJ79" s="252">
        <v>0</v>
      </c>
      <c r="AK79" s="253">
        <v>395.23355999999995</v>
      </c>
      <c r="AL79" s="253">
        <v>10000</v>
      </c>
      <c r="AM79" s="253">
        <v>10000</v>
      </c>
      <c r="AN79" s="253">
        <v>16.414875737404284</v>
      </c>
      <c r="AO79" s="253">
        <v>15</v>
      </c>
      <c r="AP79" s="253">
        <v>15</v>
      </c>
      <c r="AQ79" s="253">
        <v>0.34543875034041205</v>
      </c>
      <c r="AR79" s="253">
        <v>0.36296442362352321</v>
      </c>
      <c r="AS79" s="253">
        <v>6.9423936661590843E-2</v>
      </c>
      <c r="AT79" s="253">
        <v>346.47084140606319</v>
      </c>
      <c r="AU79" s="253">
        <v>0.367152893177285</v>
      </c>
      <c r="AV79" s="253">
        <v>0.37007107921472415</v>
      </c>
      <c r="AW79" s="253">
        <v>0.49783142423132126</v>
      </c>
    </row>
    <row r="80" spans="2:49" ht="14.1" hidden="1" customHeight="1" x14ac:dyDescent="0.25">
      <c r="B80" s="122">
        <v>70</v>
      </c>
      <c r="C80" s="123">
        <v>396.22</v>
      </c>
      <c r="D80" s="128">
        <v>0.3</v>
      </c>
      <c r="E80" s="123">
        <v>394.2344599999999</v>
      </c>
      <c r="F80" s="64">
        <v>1.9855400000001282</v>
      </c>
      <c r="G80" s="123">
        <v>395.334</v>
      </c>
      <c r="H80" s="123">
        <v>393.37995499999988</v>
      </c>
      <c r="I80" s="64">
        <v>1.9540450000001215</v>
      </c>
      <c r="J80" s="64">
        <v>100.53</v>
      </c>
      <c r="K80" s="64">
        <v>0.91749999999999998</v>
      </c>
      <c r="L80" s="64">
        <v>0.6</v>
      </c>
      <c r="M80" s="64">
        <v>11.155100000000001</v>
      </c>
      <c r="N80" s="64">
        <v>0.65095313471289395</v>
      </c>
      <c r="O80" s="64">
        <v>19.203105453759932</v>
      </c>
      <c r="P80" s="64">
        <v>91.05858894382564</v>
      </c>
      <c r="Q80" s="64">
        <v>0.49824665148145358</v>
      </c>
      <c r="R80" s="64">
        <v>75.275446779424982</v>
      </c>
      <c r="S80" s="64">
        <v>1162.9114912985888</v>
      </c>
      <c r="T80" s="64">
        <v>0.88132895653041288</v>
      </c>
      <c r="U80" s="64">
        <v>0.85</v>
      </c>
      <c r="V80" s="64">
        <v>0.88973799725945046</v>
      </c>
      <c r="W80" s="66" t="s">
        <v>224</v>
      </c>
      <c r="X80" s="123">
        <v>1.4999999999999999E-2</v>
      </c>
      <c r="Y80" s="122">
        <v>1</v>
      </c>
      <c r="Z80" s="64">
        <v>0.8</v>
      </c>
      <c r="AA80" s="64">
        <v>0.7866153951579391</v>
      </c>
      <c r="AB80" s="64">
        <v>0.65892684679050539</v>
      </c>
      <c r="AC80" s="64">
        <v>2.3220267493759947</v>
      </c>
      <c r="AD80" s="64">
        <v>19.924673368707623</v>
      </c>
      <c r="AF80" s="39">
        <v>70</v>
      </c>
      <c r="AG80" s="252">
        <v>71</v>
      </c>
      <c r="AH80" s="252">
        <v>67</v>
      </c>
      <c r="AI80" s="252">
        <v>69</v>
      </c>
      <c r="AJ80" s="252">
        <v>0</v>
      </c>
      <c r="AK80" s="253">
        <v>394.58849499999997</v>
      </c>
      <c r="AL80" s="253">
        <v>394.53445999999991</v>
      </c>
      <c r="AM80" s="253">
        <v>10000</v>
      </c>
      <c r="AN80" s="253">
        <v>19.203105453759932</v>
      </c>
      <c r="AO80" s="253">
        <v>17.385736482108001</v>
      </c>
      <c r="AP80" s="253">
        <v>15</v>
      </c>
      <c r="AQ80" s="253">
        <v>0.54450731925010853</v>
      </c>
      <c r="AR80" s="253">
        <v>0.69346563074166112</v>
      </c>
      <c r="AS80" s="253">
        <v>0.7866153951579391</v>
      </c>
      <c r="AT80" s="253">
        <v>782.52724937055348</v>
      </c>
      <c r="AU80" s="253">
        <v>0.64994046684778595</v>
      </c>
      <c r="AV80" s="253">
        <v>0.65892684679050539</v>
      </c>
      <c r="AW80" s="253">
        <v>0.70544403591970484</v>
      </c>
    </row>
    <row r="81" spans="2:49" ht="14.1" hidden="1" customHeight="1" x14ac:dyDescent="0.25">
      <c r="B81" s="122">
        <v>71</v>
      </c>
      <c r="C81" s="123">
        <v>395.334</v>
      </c>
      <c r="D81" s="128"/>
      <c r="E81" s="123">
        <v>393.37995499999988</v>
      </c>
      <c r="F81" s="64">
        <v>1.9540450000001215</v>
      </c>
      <c r="G81" s="123">
        <v>394.45699999999999</v>
      </c>
      <c r="H81" s="123">
        <v>392.48976499999986</v>
      </c>
      <c r="I81" s="64">
        <v>1.9672350000001302</v>
      </c>
      <c r="J81" s="64">
        <v>98.91</v>
      </c>
      <c r="K81" s="64">
        <v>3.0017999999999998</v>
      </c>
      <c r="L81" s="64">
        <v>0.6</v>
      </c>
      <c r="M81" s="64">
        <v>14.1569</v>
      </c>
      <c r="N81" s="64">
        <v>0.62391821773854439</v>
      </c>
      <c r="O81" s="64">
        <v>19.924673368707623</v>
      </c>
      <c r="P81" s="64">
        <v>89.502189820906167</v>
      </c>
      <c r="Q81" s="64">
        <v>0.50152034039247895</v>
      </c>
      <c r="R81" s="64">
        <v>233.54139724256672</v>
      </c>
      <c r="S81" s="64">
        <v>1396.4528885411555</v>
      </c>
      <c r="T81" s="64">
        <v>0.88666464462643768</v>
      </c>
      <c r="U81" s="64">
        <v>0.9</v>
      </c>
      <c r="V81" s="64">
        <v>0.39027253436534237</v>
      </c>
      <c r="W81" s="66" t="s">
        <v>224</v>
      </c>
      <c r="X81" s="123">
        <v>1.4999999999999999E-2</v>
      </c>
      <c r="Y81" s="122">
        <v>1</v>
      </c>
      <c r="Z81" s="64">
        <v>1</v>
      </c>
      <c r="AA81" s="64">
        <v>0.62586947412161376</v>
      </c>
      <c r="AB81" s="64">
        <v>0.67883763396864039</v>
      </c>
      <c r="AC81" s="64">
        <v>2.6998882586712956</v>
      </c>
      <c r="AD81" s="64">
        <v>20.53525419356416</v>
      </c>
      <c r="AF81" s="39">
        <v>71</v>
      </c>
      <c r="AG81" s="252">
        <v>78</v>
      </c>
      <c r="AH81" s="252">
        <v>70</v>
      </c>
      <c r="AI81" s="252">
        <v>0</v>
      </c>
      <c r="AJ81" s="252">
        <v>0</v>
      </c>
      <c r="AK81" s="253">
        <v>393.37995499999988</v>
      </c>
      <c r="AL81" s="253">
        <v>10000</v>
      </c>
      <c r="AM81" s="253">
        <v>10000</v>
      </c>
      <c r="AN81" s="253">
        <v>19.924673368707623</v>
      </c>
      <c r="AO81" s="253">
        <v>15</v>
      </c>
      <c r="AP81" s="253">
        <v>15</v>
      </c>
      <c r="AQ81" s="253">
        <v>0.55044136680400457</v>
      </c>
      <c r="AR81" s="253">
        <v>0.62586947412161376</v>
      </c>
      <c r="AS81" s="253">
        <v>0.31673876632745451</v>
      </c>
      <c r="AT81" s="253">
        <v>517.2261792895074</v>
      </c>
      <c r="AU81" s="253">
        <v>0.6708711744043836</v>
      </c>
      <c r="AV81" s="253">
        <v>0.67883763396864039</v>
      </c>
      <c r="AW81" s="253">
        <v>0.71091757842616732</v>
      </c>
    </row>
    <row r="82" spans="2:49" ht="14.1" hidden="1" customHeight="1" x14ac:dyDescent="0.25">
      <c r="B82" s="122">
        <v>72</v>
      </c>
      <c r="C82" s="123">
        <v>401.99099999999999</v>
      </c>
      <c r="D82" s="128">
        <v>0.1</v>
      </c>
      <c r="E82" s="123">
        <v>400.39099999999996</v>
      </c>
      <c r="F82" s="64">
        <v>1.6000000000000227</v>
      </c>
      <c r="G82" s="123">
        <v>401.363</v>
      </c>
      <c r="H82" s="123">
        <v>399.73887499999995</v>
      </c>
      <c r="I82" s="64">
        <v>1.6241250000000491</v>
      </c>
      <c r="J82" s="64">
        <v>86.95</v>
      </c>
      <c r="K82" s="64">
        <v>1.7488999999999999</v>
      </c>
      <c r="L82" s="64">
        <v>0.6</v>
      </c>
      <c r="M82" s="64">
        <v>1.7488999999999999</v>
      </c>
      <c r="N82" s="64">
        <v>0.90529023108836892</v>
      </c>
      <c r="O82" s="64">
        <v>15</v>
      </c>
      <c r="P82" s="64">
        <v>101.5258000467022</v>
      </c>
      <c r="Q82" s="64">
        <v>0.47581283640599359</v>
      </c>
      <c r="R82" s="64">
        <v>212.47000485492114</v>
      </c>
      <c r="S82" s="64">
        <v>212.47000485492114</v>
      </c>
      <c r="T82" s="64">
        <v>0.72225416906266349</v>
      </c>
      <c r="U82" s="64">
        <v>0.75</v>
      </c>
      <c r="V82" s="64">
        <v>0.13775393013792941</v>
      </c>
      <c r="W82" s="66" t="s">
        <v>224</v>
      </c>
      <c r="X82" s="123">
        <v>1.4999999999999999E-2</v>
      </c>
      <c r="Y82" s="122">
        <v>1</v>
      </c>
      <c r="Z82" s="64">
        <v>0.6</v>
      </c>
      <c r="AA82" s="64">
        <v>0.28434093252213632</v>
      </c>
      <c r="AB82" s="64">
        <v>0.29796776109176498</v>
      </c>
      <c r="AC82" s="64">
        <v>1.6098591054950917</v>
      </c>
      <c r="AD82" s="64">
        <v>15.900182296525257</v>
      </c>
      <c r="AF82" s="39">
        <v>72</v>
      </c>
      <c r="AG82" s="252">
        <v>73</v>
      </c>
      <c r="AH82" s="252">
        <v>0</v>
      </c>
      <c r="AI82" s="252">
        <v>0</v>
      </c>
      <c r="AJ82" s="252">
        <v>0</v>
      </c>
      <c r="AK82" s="253">
        <v>10000</v>
      </c>
      <c r="AL82" s="253">
        <v>10000</v>
      </c>
      <c r="AM82" s="253">
        <v>10000</v>
      </c>
      <c r="AN82" s="253">
        <v>15</v>
      </c>
      <c r="AO82" s="253">
        <v>15</v>
      </c>
      <c r="AP82" s="253">
        <v>15</v>
      </c>
      <c r="AQ82" s="253">
        <v>0.26845742733909689</v>
      </c>
      <c r="AR82" s="253">
        <v>0.28434093252213632</v>
      </c>
      <c r="AS82" s="253">
        <v>6.2981791903140336E-2</v>
      </c>
      <c r="AT82" s="253">
        <v>366.61249168686078</v>
      </c>
      <c r="AU82" s="253">
        <v>0.29541520084557327</v>
      </c>
      <c r="AV82" s="253">
        <v>0.29796776109176498</v>
      </c>
      <c r="AW82" s="253">
        <v>0.4425494475757048</v>
      </c>
    </row>
    <row r="83" spans="2:49" ht="14.1" hidden="1" customHeight="1" x14ac:dyDescent="0.25">
      <c r="B83" s="122">
        <v>73</v>
      </c>
      <c r="C83" s="123">
        <v>401.363</v>
      </c>
      <c r="D83" s="128"/>
      <c r="E83" s="123">
        <v>399.73887499999995</v>
      </c>
      <c r="F83" s="64">
        <v>1.6241250000000491</v>
      </c>
      <c r="G83" s="123">
        <v>400.07100000000003</v>
      </c>
      <c r="H83" s="123">
        <v>398.45239499999997</v>
      </c>
      <c r="I83" s="64">
        <v>1.6186050000000591</v>
      </c>
      <c r="J83" s="64">
        <v>98.96</v>
      </c>
      <c r="K83" s="64">
        <v>0.98299999999999998</v>
      </c>
      <c r="L83" s="64">
        <v>0.6</v>
      </c>
      <c r="M83" s="64">
        <v>2.7319</v>
      </c>
      <c r="N83" s="64">
        <v>0.8361982723525031</v>
      </c>
      <c r="O83" s="64">
        <v>15.900182296525257</v>
      </c>
      <c r="P83" s="64">
        <v>99.056896212077476</v>
      </c>
      <c r="Q83" s="64">
        <v>0.48118180931862159</v>
      </c>
      <c r="R83" s="64">
        <v>108.84010245917823</v>
      </c>
      <c r="S83" s="64">
        <v>321.31010731409935</v>
      </c>
      <c r="T83" s="64">
        <v>1.3055780113176771</v>
      </c>
      <c r="U83" s="64">
        <v>1.3</v>
      </c>
      <c r="V83" s="64">
        <v>0.31503406486034941</v>
      </c>
      <c r="W83" s="66" t="s">
        <v>224</v>
      </c>
      <c r="X83" s="123">
        <v>1.4999999999999999E-2</v>
      </c>
      <c r="Y83" s="122">
        <v>1</v>
      </c>
      <c r="Z83" s="64">
        <v>0.6</v>
      </c>
      <c r="AA83" s="64">
        <v>0.30960234687611149</v>
      </c>
      <c r="AB83" s="64">
        <v>0.36884060258027074</v>
      </c>
      <c r="AC83" s="64">
        <v>2.1838206702433673</v>
      </c>
      <c r="AD83" s="64">
        <v>16.65543356592071</v>
      </c>
      <c r="AF83" s="39">
        <v>73</v>
      </c>
      <c r="AG83" s="252">
        <v>74</v>
      </c>
      <c r="AH83" s="252">
        <v>72</v>
      </c>
      <c r="AI83" s="252">
        <v>0</v>
      </c>
      <c r="AJ83" s="252">
        <v>0</v>
      </c>
      <c r="AK83" s="253">
        <v>399.73887499999995</v>
      </c>
      <c r="AL83" s="253">
        <v>10000</v>
      </c>
      <c r="AM83" s="253">
        <v>10000</v>
      </c>
      <c r="AN83" s="253">
        <v>15.900182296525257</v>
      </c>
      <c r="AO83" s="253">
        <v>15</v>
      </c>
      <c r="AP83" s="253">
        <v>15</v>
      </c>
      <c r="AQ83" s="253">
        <v>0.28700201017152338</v>
      </c>
      <c r="AR83" s="253">
        <v>0.30960234687611149</v>
      </c>
      <c r="AS83" s="253">
        <v>8.9964656628839179E-2</v>
      </c>
      <c r="AT83" s="253">
        <v>408.700260068989</v>
      </c>
      <c r="AU83" s="253">
        <v>0.36489526222923302</v>
      </c>
      <c r="AV83" s="253">
        <v>0.36884060258027074</v>
      </c>
      <c r="AW83" s="253">
        <v>0.5034443414105636</v>
      </c>
    </row>
    <row r="84" spans="2:49" ht="14.1" hidden="1" customHeight="1" x14ac:dyDescent="0.25">
      <c r="B84" s="122">
        <v>74</v>
      </c>
      <c r="C84" s="123">
        <v>400.07100000000003</v>
      </c>
      <c r="D84" s="128"/>
      <c r="E84" s="123">
        <v>398.45239499999997</v>
      </c>
      <c r="F84" s="64">
        <v>1.6186050000000591</v>
      </c>
      <c r="G84" s="123">
        <v>398.86799999999999</v>
      </c>
      <c r="H84" s="123">
        <v>397.26487499999996</v>
      </c>
      <c r="I84" s="64">
        <v>1.6031250000000341</v>
      </c>
      <c r="J84" s="64">
        <v>98.96</v>
      </c>
      <c r="K84" s="64">
        <v>0.83679999999999999</v>
      </c>
      <c r="L84" s="64">
        <v>0.6</v>
      </c>
      <c r="M84" s="64">
        <v>3.5686999999999998</v>
      </c>
      <c r="N84" s="64">
        <v>0.79735773709844993</v>
      </c>
      <c r="O84" s="64">
        <v>16.65543356592071</v>
      </c>
      <c r="P84" s="64">
        <v>97.088600457491935</v>
      </c>
      <c r="Q84" s="64">
        <v>0.48542445916021082</v>
      </c>
      <c r="R84" s="64">
        <v>87.356861339551372</v>
      </c>
      <c r="S84" s="64">
        <v>408.66696865365071</v>
      </c>
      <c r="T84" s="64">
        <v>1.2156426839127237</v>
      </c>
      <c r="U84" s="64">
        <v>1.2</v>
      </c>
      <c r="V84" s="64">
        <v>0.50962158626164189</v>
      </c>
      <c r="W84" s="66" t="s">
        <v>224</v>
      </c>
      <c r="X84" s="123">
        <v>1.4999999999999999E-2</v>
      </c>
      <c r="Y84" s="122">
        <v>1</v>
      </c>
      <c r="Z84" s="64">
        <v>0.6</v>
      </c>
      <c r="AA84" s="64">
        <v>0.37281243830554739</v>
      </c>
      <c r="AB84" s="64">
        <v>0.41756296750865723</v>
      </c>
      <c r="AC84" s="64">
        <v>2.213481366441195</v>
      </c>
      <c r="AD84" s="64">
        <v>17.400564452649206</v>
      </c>
      <c r="AF84" s="39">
        <v>74</v>
      </c>
      <c r="AG84" s="252">
        <v>75</v>
      </c>
      <c r="AH84" s="252">
        <v>73</v>
      </c>
      <c r="AI84" s="252">
        <v>0</v>
      </c>
      <c r="AJ84" s="252">
        <v>0</v>
      </c>
      <c r="AK84" s="253">
        <v>398.45239499999997</v>
      </c>
      <c r="AL84" s="253">
        <v>10000</v>
      </c>
      <c r="AM84" s="253">
        <v>10000</v>
      </c>
      <c r="AN84" s="253">
        <v>16.65543356592071</v>
      </c>
      <c r="AO84" s="253">
        <v>15</v>
      </c>
      <c r="AP84" s="253">
        <v>15</v>
      </c>
      <c r="AQ84" s="253">
        <v>0.32855279651003233</v>
      </c>
      <c r="AR84" s="253">
        <v>0.37281243830554739</v>
      </c>
      <c r="AS84" s="253">
        <v>0.18504174352978295</v>
      </c>
      <c r="AT84" s="253">
        <v>512.85095110742009</v>
      </c>
      <c r="AU84" s="253">
        <v>0.41258018119168083</v>
      </c>
      <c r="AV84" s="253">
        <v>0.41756296750865723</v>
      </c>
      <c r="AW84" s="253">
        <v>0.54263401855806703</v>
      </c>
    </row>
    <row r="85" spans="2:49" ht="14.1" hidden="1" customHeight="1" x14ac:dyDescent="0.25">
      <c r="B85" s="122">
        <v>75</v>
      </c>
      <c r="C85" s="123">
        <v>398.86799999999999</v>
      </c>
      <c r="D85" s="128"/>
      <c r="E85" s="123">
        <v>397.26487499999996</v>
      </c>
      <c r="F85" s="64">
        <v>1.6031250000000341</v>
      </c>
      <c r="G85" s="123">
        <v>397.56900000000002</v>
      </c>
      <c r="H85" s="123">
        <v>395.97248499999995</v>
      </c>
      <c r="I85" s="64">
        <v>1.5965150000000676</v>
      </c>
      <c r="J85" s="64">
        <v>83.38</v>
      </c>
      <c r="K85" s="64">
        <v>2.3997000000000002</v>
      </c>
      <c r="L85" s="64">
        <v>0.6</v>
      </c>
      <c r="M85" s="64">
        <v>5.9683999999999999</v>
      </c>
      <c r="N85" s="64">
        <v>0.72760770594078861</v>
      </c>
      <c r="O85" s="64">
        <v>17.400564452649206</v>
      </c>
      <c r="P85" s="64">
        <v>95.232118872220994</v>
      </c>
      <c r="Q85" s="64">
        <v>0.48939837418128901</v>
      </c>
      <c r="R85" s="64">
        <v>226.0645437572731</v>
      </c>
      <c r="S85" s="64">
        <v>634.73151241092387</v>
      </c>
      <c r="T85" s="64">
        <v>1.557927560566057</v>
      </c>
      <c r="U85" s="64">
        <v>1.55</v>
      </c>
      <c r="V85" s="64">
        <v>1.229387697831458</v>
      </c>
      <c r="W85" s="66" t="s">
        <v>224</v>
      </c>
      <c r="X85" s="123">
        <v>1.4999999999999999E-2</v>
      </c>
      <c r="Y85" s="122">
        <v>1</v>
      </c>
      <c r="Z85" s="64">
        <v>0.6</v>
      </c>
      <c r="AA85" s="64">
        <v>0.46755106077846886</v>
      </c>
      <c r="AB85" s="64">
        <v>0.62245857495894108</v>
      </c>
      <c r="AC85" s="64">
        <v>2.6849995055253317</v>
      </c>
      <c r="AD85" s="64">
        <v>17.918131276705203</v>
      </c>
      <c r="AF85" s="39">
        <v>75</v>
      </c>
      <c r="AG85" s="252">
        <v>76</v>
      </c>
      <c r="AH85" s="252">
        <v>74</v>
      </c>
      <c r="AI85" s="252">
        <v>0</v>
      </c>
      <c r="AJ85" s="252">
        <v>0</v>
      </c>
      <c r="AK85" s="253">
        <v>397.26487499999996</v>
      </c>
      <c r="AL85" s="253">
        <v>10000</v>
      </c>
      <c r="AM85" s="253">
        <v>10000</v>
      </c>
      <c r="AN85" s="253">
        <v>17.400564452649206</v>
      </c>
      <c r="AO85" s="253">
        <v>15</v>
      </c>
      <c r="AP85" s="253">
        <v>15</v>
      </c>
      <c r="AQ85" s="253">
        <v>0.38193213590087155</v>
      </c>
      <c r="AR85" s="253">
        <v>0.46755106077846886</v>
      </c>
      <c r="AS85" s="253">
        <v>0.41311346215960343</v>
      </c>
      <c r="AT85" s="253">
        <v>656.66421405369215</v>
      </c>
      <c r="AU85" s="253">
        <v>0.51661223065679152</v>
      </c>
      <c r="AV85" s="253">
        <v>0.52404990135763196</v>
      </c>
      <c r="AW85" s="253">
        <v>0.62245857495894108</v>
      </c>
    </row>
    <row r="86" spans="2:49" ht="14.1" hidden="1" customHeight="1" x14ac:dyDescent="0.25">
      <c r="B86" s="122">
        <v>76</v>
      </c>
      <c r="C86" s="123">
        <v>397.56900000000002</v>
      </c>
      <c r="D86" s="128">
        <v>0.1</v>
      </c>
      <c r="E86" s="123">
        <v>395.87248499999993</v>
      </c>
      <c r="F86" s="64">
        <v>1.6965150000000904</v>
      </c>
      <c r="G86" s="123">
        <v>395.56799999999998</v>
      </c>
      <c r="H86" s="123">
        <v>393.82634999999993</v>
      </c>
      <c r="I86" s="64">
        <v>1.7416500000000497</v>
      </c>
      <c r="J86" s="64">
        <v>104.93</v>
      </c>
      <c r="K86" s="64">
        <v>0.98099999999999998</v>
      </c>
      <c r="L86" s="64">
        <v>0.6</v>
      </c>
      <c r="M86" s="64">
        <v>6.9493999999999998</v>
      </c>
      <c r="N86" s="64">
        <v>0.70816323933281389</v>
      </c>
      <c r="O86" s="64">
        <v>17.918131276705203</v>
      </c>
      <c r="P86" s="64">
        <v>93.989528430283556</v>
      </c>
      <c r="Q86" s="64">
        <v>0.49204443303205114</v>
      </c>
      <c r="R86" s="64">
        <v>89.252095371899443</v>
      </c>
      <c r="S86" s="64">
        <v>723.98360778282336</v>
      </c>
      <c r="T86" s="64">
        <v>1.9069856094539532</v>
      </c>
      <c r="U86" s="64">
        <v>1.95</v>
      </c>
      <c r="V86" s="64">
        <v>0.34484686347318499</v>
      </c>
      <c r="W86" s="66" t="s">
        <v>224</v>
      </c>
      <c r="X86" s="123">
        <v>1.4999999999999999E-2</v>
      </c>
      <c r="Y86" s="122">
        <v>1</v>
      </c>
      <c r="Z86" s="64">
        <v>0.8</v>
      </c>
      <c r="AA86" s="64">
        <v>0.37486995645169707</v>
      </c>
      <c r="AB86" s="64">
        <v>0.51600716607017727</v>
      </c>
      <c r="AC86" s="64">
        <v>3.1309212092746348</v>
      </c>
      <c r="AD86" s="64">
        <v>18.476699575438758</v>
      </c>
      <c r="AF86" s="39">
        <v>76</v>
      </c>
      <c r="AG86" s="252">
        <v>77</v>
      </c>
      <c r="AH86" s="252">
        <v>75</v>
      </c>
      <c r="AI86" s="252">
        <v>0</v>
      </c>
      <c r="AJ86" s="252">
        <v>0</v>
      </c>
      <c r="AK86" s="253">
        <v>395.97248499999995</v>
      </c>
      <c r="AL86" s="253">
        <v>10000</v>
      </c>
      <c r="AM86" s="253">
        <v>10000</v>
      </c>
      <c r="AN86" s="253">
        <v>17.918131276705203</v>
      </c>
      <c r="AO86" s="253">
        <v>15</v>
      </c>
      <c r="AP86" s="253">
        <v>15</v>
      </c>
      <c r="AQ86" s="253">
        <v>0.35472443034768836</v>
      </c>
      <c r="AR86" s="253">
        <v>0.37486995645169707</v>
      </c>
      <c r="AS86" s="253">
        <v>8.0022735035789883E-2</v>
      </c>
      <c r="AT86" s="253">
        <v>361.30720371041883</v>
      </c>
      <c r="AU86" s="253">
        <v>0.51022573708649821</v>
      </c>
      <c r="AV86" s="253">
        <v>0.51600716607017727</v>
      </c>
      <c r="AW86" s="253">
        <v>0.60856800749997542</v>
      </c>
    </row>
    <row r="87" spans="2:49" ht="14.1" hidden="1" customHeight="1" x14ac:dyDescent="0.25">
      <c r="B87" s="122">
        <v>77</v>
      </c>
      <c r="C87" s="123">
        <v>395.56799999999998</v>
      </c>
      <c r="D87" s="128"/>
      <c r="E87" s="123">
        <v>393.82634999999993</v>
      </c>
      <c r="F87" s="64">
        <v>1.7416500000000497</v>
      </c>
      <c r="G87" s="123">
        <v>394.45699999999999</v>
      </c>
      <c r="H87" s="123">
        <v>392.76099999999991</v>
      </c>
      <c r="I87" s="64">
        <v>1.6960000000000832</v>
      </c>
      <c r="J87" s="64">
        <v>81.95</v>
      </c>
      <c r="K87" s="64">
        <v>1.2094</v>
      </c>
      <c r="L87" s="64">
        <v>0.6</v>
      </c>
      <c r="M87" s="64">
        <v>8.1587999999999994</v>
      </c>
      <c r="N87" s="64">
        <v>0.68822512109121092</v>
      </c>
      <c r="O87" s="64">
        <v>18.476699575438758</v>
      </c>
      <c r="P87" s="64">
        <v>92.689337885602882</v>
      </c>
      <c r="Q87" s="64">
        <v>0.49480223586627348</v>
      </c>
      <c r="R87" s="64">
        <v>106.04596776837268</v>
      </c>
      <c r="S87" s="64">
        <v>830.02957555119599</v>
      </c>
      <c r="T87" s="64">
        <v>1.355704697986565</v>
      </c>
      <c r="U87" s="64">
        <v>1.3</v>
      </c>
      <c r="V87" s="64">
        <v>0.45326892796723173</v>
      </c>
      <c r="W87" s="66" t="s">
        <v>224</v>
      </c>
      <c r="X87" s="123">
        <v>1.4999999999999999E-2</v>
      </c>
      <c r="Y87" s="122">
        <v>1</v>
      </c>
      <c r="Z87" s="64">
        <v>0.8</v>
      </c>
      <c r="AA87" s="64">
        <v>0.46472727242281558</v>
      </c>
      <c r="AB87" s="64">
        <v>0.55370959711700207</v>
      </c>
      <c r="AC87" s="64">
        <v>2.7404356155433955</v>
      </c>
      <c r="AD87" s="64">
        <v>18.975099656647199</v>
      </c>
      <c r="AF87" s="39">
        <v>77</v>
      </c>
      <c r="AG87" s="252">
        <v>78</v>
      </c>
      <c r="AH87" s="252">
        <v>76</v>
      </c>
      <c r="AI87" s="252">
        <v>0</v>
      </c>
      <c r="AJ87" s="252">
        <v>0</v>
      </c>
      <c r="AK87" s="253">
        <v>393.82634999999993</v>
      </c>
      <c r="AL87" s="253">
        <v>10000</v>
      </c>
      <c r="AM87" s="253">
        <v>10000</v>
      </c>
      <c r="AN87" s="253">
        <v>18.476699575438758</v>
      </c>
      <c r="AO87" s="253">
        <v>15</v>
      </c>
      <c r="AP87" s="253">
        <v>15</v>
      </c>
      <c r="AQ87" s="253">
        <v>0.41777547675561788</v>
      </c>
      <c r="AR87" s="253">
        <v>0.46472727242281558</v>
      </c>
      <c r="AS87" s="253">
        <v>0.19147745544001055</v>
      </c>
      <c r="AT87" s="253">
        <v>473.25366976066675</v>
      </c>
      <c r="AU87" s="253">
        <v>0.54711671432046094</v>
      </c>
      <c r="AV87" s="253">
        <v>0.55370959711700207</v>
      </c>
      <c r="AW87" s="253">
        <v>0.63505762743992544</v>
      </c>
    </row>
    <row r="88" spans="2:49" ht="14.1" hidden="1" customHeight="1" x14ac:dyDescent="0.25">
      <c r="B88" s="122">
        <v>78</v>
      </c>
      <c r="C88" s="123">
        <v>394.45699999999999</v>
      </c>
      <c r="D88" s="128">
        <v>0.2</v>
      </c>
      <c r="E88" s="123">
        <v>392.28976499999987</v>
      </c>
      <c r="F88" s="64">
        <v>2.1672350000001188</v>
      </c>
      <c r="G88" s="123">
        <v>393.39299999999997</v>
      </c>
      <c r="H88" s="123">
        <v>391.24217999999985</v>
      </c>
      <c r="I88" s="64">
        <v>2.1508200000001239</v>
      </c>
      <c r="J88" s="64">
        <v>99.77</v>
      </c>
      <c r="K88" s="64">
        <v>0.8609</v>
      </c>
      <c r="L88" s="64">
        <v>0.6</v>
      </c>
      <c r="M88" s="64">
        <v>23.176600000000001</v>
      </c>
      <c r="N88" s="64">
        <v>0.57150646668961158</v>
      </c>
      <c r="O88" s="64">
        <v>20.53525419356416</v>
      </c>
      <c r="P88" s="64">
        <v>88.231796507043796</v>
      </c>
      <c r="Q88" s="64">
        <v>0.50418353941395089</v>
      </c>
      <c r="R88" s="64">
        <v>60.802282504357663</v>
      </c>
      <c r="S88" s="64">
        <v>2287.2847465967093</v>
      </c>
      <c r="T88" s="64">
        <v>1.0664528415355532</v>
      </c>
      <c r="U88" s="64">
        <v>1.05</v>
      </c>
      <c r="V88" s="64">
        <v>1.0470221727031011</v>
      </c>
      <c r="W88" s="66" t="s">
        <v>224</v>
      </c>
      <c r="X88" s="123">
        <v>1.4999999999999999E-2</v>
      </c>
      <c r="Y88" s="122">
        <v>1</v>
      </c>
      <c r="Z88" s="64">
        <v>1</v>
      </c>
      <c r="AA88" s="64">
        <v>0.92389864239830721</v>
      </c>
      <c r="AB88" s="64">
        <v>0.82911481536153209</v>
      </c>
      <c r="AC88" s="64">
        <v>3.017308713214371</v>
      </c>
      <c r="AD88" s="64">
        <v>21.086352371238494</v>
      </c>
      <c r="AF88" s="39">
        <v>78</v>
      </c>
      <c r="AG88" s="252">
        <v>79</v>
      </c>
      <c r="AH88" s="252">
        <v>71</v>
      </c>
      <c r="AI88" s="252">
        <v>77</v>
      </c>
      <c r="AJ88" s="252">
        <v>0</v>
      </c>
      <c r="AK88" s="253">
        <v>392.48976499999986</v>
      </c>
      <c r="AL88" s="253">
        <v>392.76099999999991</v>
      </c>
      <c r="AM88" s="253">
        <v>10000</v>
      </c>
      <c r="AN88" s="253">
        <v>20.53525419356416</v>
      </c>
      <c r="AO88" s="253">
        <v>18.975099656647199</v>
      </c>
      <c r="AP88" s="253">
        <v>15</v>
      </c>
      <c r="AQ88" s="253">
        <v>0.67276992647558109</v>
      </c>
      <c r="AR88" s="253">
        <v>0.85062194113442335</v>
      </c>
      <c r="AS88" s="253">
        <v>0.92389864239830721</v>
      </c>
      <c r="AT88" s="253">
        <v>758.05459898070569</v>
      </c>
      <c r="AU88" s="253">
        <v>0.86313563989709696</v>
      </c>
      <c r="AV88" s="253">
        <v>0.87562904193964231</v>
      </c>
      <c r="AW88" s="253">
        <v>0.82911481536153209</v>
      </c>
    </row>
    <row r="89" spans="2:49" ht="14.1" hidden="1" customHeight="1" x14ac:dyDescent="0.25">
      <c r="B89" s="122">
        <v>79</v>
      </c>
      <c r="C89" s="123">
        <v>393.39299999999997</v>
      </c>
      <c r="D89" s="128"/>
      <c r="E89" s="123">
        <v>391.24217999999985</v>
      </c>
      <c r="F89" s="64">
        <v>2.1508200000001239</v>
      </c>
      <c r="G89" s="123">
        <v>393.00700000000001</v>
      </c>
      <c r="H89" s="123">
        <v>390.74069999999983</v>
      </c>
      <c r="I89" s="64">
        <v>2.2663000000001716</v>
      </c>
      <c r="J89" s="64">
        <v>71.64</v>
      </c>
      <c r="K89" s="64">
        <v>4.9188999999999998</v>
      </c>
      <c r="L89" s="64">
        <v>0.6</v>
      </c>
      <c r="M89" s="64">
        <v>28.095500000000001</v>
      </c>
      <c r="N89" s="64">
        <v>0.55225881382251185</v>
      </c>
      <c r="O89" s="64">
        <v>21.086352371238494</v>
      </c>
      <c r="P89" s="64">
        <v>87.11996998948544</v>
      </c>
      <c r="Q89" s="64">
        <v>0.5065084013093204</v>
      </c>
      <c r="R89" s="64">
        <v>333.0023214721453</v>
      </c>
      <c r="S89" s="64">
        <v>2620.2870680688548</v>
      </c>
      <c r="T89" s="64">
        <v>0.53880513679504083</v>
      </c>
      <c r="U89" s="64">
        <v>0.7</v>
      </c>
      <c r="V89" s="64">
        <v>0.5196526894210296</v>
      </c>
      <c r="W89" s="66" t="s">
        <v>224</v>
      </c>
      <c r="X89" s="123">
        <v>1.4999999999999999E-2</v>
      </c>
      <c r="Y89" s="122">
        <v>1</v>
      </c>
      <c r="Z89" s="64">
        <v>1.2</v>
      </c>
      <c r="AA89" s="64">
        <v>0.91211244819421544</v>
      </c>
      <c r="AB89" s="64">
        <v>0.89091080395855449</v>
      </c>
      <c r="AC89" s="64">
        <v>2.8408254762152914</v>
      </c>
      <c r="AD89" s="64">
        <v>21.506652741675438</v>
      </c>
      <c r="AF89" s="39">
        <v>79</v>
      </c>
      <c r="AG89" s="252">
        <v>80</v>
      </c>
      <c r="AH89" s="252">
        <v>78</v>
      </c>
      <c r="AI89" s="252">
        <v>0</v>
      </c>
      <c r="AJ89" s="252">
        <v>0</v>
      </c>
      <c r="AK89" s="253">
        <v>391.24217999999985</v>
      </c>
      <c r="AL89" s="253">
        <v>10000</v>
      </c>
      <c r="AM89" s="253">
        <v>10000</v>
      </c>
      <c r="AN89" s="253">
        <v>21.086352371238494</v>
      </c>
      <c r="AO89" s="253">
        <v>15</v>
      </c>
      <c r="AP89" s="253">
        <v>15</v>
      </c>
      <c r="AQ89" s="253">
        <v>0.75195129646193104</v>
      </c>
      <c r="AR89" s="253">
        <v>0.91211244819421544</v>
      </c>
      <c r="AS89" s="253">
        <v>0.75854063809190697</v>
      </c>
      <c r="AT89" s="253">
        <v>640.53346905853243</v>
      </c>
      <c r="AU89" s="253">
        <v>0.87964534118243476</v>
      </c>
      <c r="AV89" s="253">
        <v>0.89091080395855449</v>
      </c>
      <c r="AW89" s="253">
        <v>0.83083512191701114</v>
      </c>
    </row>
    <row r="90" spans="2:49" ht="14.1" hidden="1" customHeight="1" x14ac:dyDescent="0.25">
      <c r="B90" s="122">
        <v>80</v>
      </c>
      <c r="C90" s="123">
        <v>393.00700000000001</v>
      </c>
      <c r="D90" s="128"/>
      <c r="E90" s="123">
        <v>390.74069999999983</v>
      </c>
      <c r="F90" s="64">
        <v>2.2663000000001716</v>
      </c>
      <c r="G90" s="123">
        <v>391.97800000000001</v>
      </c>
      <c r="H90" s="123">
        <v>389.78680499999984</v>
      </c>
      <c r="I90" s="64">
        <v>2.1911950000001639</v>
      </c>
      <c r="J90" s="64">
        <v>100.41</v>
      </c>
      <c r="K90" s="64">
        <v>3.6230000000000002</v>
      </c>
      <c r="L90" s="64">
        <v>0.6</v>
      </c>
      <c r="M90" s="64">
        <v>31.718500000000002</v>
      </c>
      <c r="N90" s="64">
        <v>0.54046347580059795</v>
      </c>
      <c r="O90" s="64">
        <v>21.506652741675438</v>
      </c>
      <c r="P90" s="64">
        <v>86.293277567533877</v>
      </c>
      <c r="Q90" s="64">
        <v>0.5082337755399764</v>
      </c>
      <c r="R90" s="64">
        <v>238.56537624518535</v>
      </c>
      <c r="S90" s="64">
        <v>2858.85244431404</v>
      </c>
      <c r="T90" s="64">
        <v>1.024798326859871</v>
      </c>
      <c r="U90" s="64">
        <v>0.95</v>
      </c>
      <c r="V90" s="64">
        <v>0.61858432850910394</v>
      </c>
      <c r="W90" s="66" t="s">
        <v>224</v>
      </c>
      <c r="X90" s="123">
        <v>1.4999999999999999E-2</v>
      </c>
      <c r="Y90" s="122">
        <v>1</v>
      </c>
      <c r="Z90" s="64">
        <v>1.2</v>
      </c>
      <c r="AA90" s="64">
        <v>0.86875446329943884</v>
      </c>
      <c r="AB90" s="64">
        <v>0.93187435599427992</v>
      </c>
      <c r="AC90" s="64">
        <v>3.2603395003468099</v>
      </c>
      <c r="AD90" s="64">
        <v>22.019942845304826</v>
      </c>
      <c r="AF90" s="39">
        <v>80</v>
      </c>
      <c r="AG90" s="252">
        <v>81</v>
      </c>
      <c r="AH90" s="252">
        <v>79</v>
      </c>
      <c r="AI90" s="252">
        <v>0</v>
      </c>
      <c r="AJ90" s="252">
        <v>0</v>
      </c>
      <c r="AK90" s="253">
        <v>390.74069999999983</v>
      </c>
      <c r="AL90" s="253">
        <v>10000</v>
      </c>
      <c r="AM90" s="253">
        <v>10000</v>
      </c>
      <c r="AN90" s="253">
        <v>21.506652741675438</v>
      </c>
      <c r="AO90" s="253">
        <v>15</v>
      </c>
      <c r="AP90" s="253">
        <v>15</v>
      </c>
      <c r="AQ90" s="253">
        <v>0.72856316981742764</v>
      </c>
      <c r="AR90" s="253">
        <v>0.86875446329943884</v>
      </c>
      <c r="AS90" s="253">
        <v>0.64098669100028127</v>
      </c>
      <c r="AT90" s="253">
        <v>608.92867053542227</v>
      </c>
      <c r="AU90" s="253">
        <v>0.91967410650337944</v>
      </c>
      <c r="AV90" s="253">
        <v>0.93187435599427992</v>
      </c>
      <c r="AW90" s="253">
        <v>0.85371019702618045</v>
      </c>
    </row>
    <row r="91" spans="2:49" ht="14.1" hidden="1" customHeight="1" x14ac:dyDescent="0.25">
      <c r="B91" s="122">
        <v>81</v>
      </c>
      <c r="C91" s="123">
        <v>391.97800000000001</v>
      </c>
      <c r="D91" s="128"/>
      <c r="E91" s="123">
        <v>389.78680499999984</v>
      </c>
      <c r="F91" s="64">
        <v>2.1911950000001639</v>
      </c>
      <c r="G91" s="123">
        <v>391.17099999999999</v>
      </c>
      <c r="H91" s="123">
        <v>388.87771499999985</v>
      </c>
      <c r="I91" s="64">
        <v>2.2932850000001395</v>
      </c>
      <c r="J91" s="64">
        <v>101.01</v>
      </c>
      <c r="K91" s="64">
        <v>3.0461999999999998</v>
      </c>
      <c r="L91" s="64">
        <v>0.6</v>
      </c>
      <c r="M91" s="64">
        <v>34.764700000000005</v>
      </c>
      <c r="N91" s="64">
        <v>0.53171308675172335</v>
      </c>
      <c r="O91" s="64">
        <v>22.019942845304826</v>
      </c>
      <c r="P91" s="64">
        <v>85.30764677973545</v>
      </c>
      <c r="Q91" s="64">
        <v>0.51028755580612295</v>
      </c>
      <c r="R91" s="64">
        <v>195.87136245286268</v>
      </c>
      <c r="S91" s="64">
        <v>3054.7238067669027</v>
      </c>
      <c r="T91" s="64">
        <v>0.79893079893081498</v>
      </c>
      <c r="U91" s="64">
        <v>0.9</v>
      </c>
      <c r="V91" s="64">
        <v>0.70625141582634599</v>
      </c>
      <c r="W91" s="66" t="s">
        <v>224</v>
      </c>
      <c r="X91" s="123">
        <v>1.4999999999999999E-2</v>
      </c>
      <c r="Y91" s="122">
        <v>1</v>
      </c>
      <c r="Z91" s="64">
        <v>1.2</v>
      </c>
      <c r="AA91" s="64">
        <v>0.9313387975334847</v>
      </c>
      <c r="AB91" s="64">
        <v>0.96428424383052425</v>
      </c>
      <c r="AC91" s="64">
        <v>3.2433541654321343</v>
      </c>
      <c r="AD91" s="64">
        <v>22.539004259547784</v>
      </c>
      <c r="AF91" s="39">
        <v>81</v>
      </c>
      <c r="AG91" s="252">
        <v>82</v>
      </c>
      <c r="AH91" s="252">
        <v>80</v>
      </c>
      <c r="AI91" s="252">
        <v>0</v>
      </c>
      <c r="AJ91" s="252">
        <v>0</v>
      </c>
      <c r="AK91" s="253">
        <v>389.78680499999984</v>
      </c>
      <c r="AL91" s="253">
        <v>10000</v>
      </c>
      <c r="AM91" s="253">
        <v>10000</v>
      </c>
      <c r="AN91" s="253">
        <v>22.019942845304826</v>
      </c>
      <c r="AO91" s="253">
        <v>15</v>
      </c>
      <c r="AP91" s="253">
        <v>15</v>
      </c>
      <c r="AQ91" s="253">
        <v>0.76207588305138196</v>
      </c>
      <c r="AR91" s="253">
        <v>0.9313387975334847</v>
      </c>
      <c r="AS91" s="253">
        <v>0.8147345584089164</v>
      </c>
      <c r="AT91" s="253">
        <v>654.05622350182659</v>
      </c>
      <c r="AU91" s="253">
        <v>0.95133179516172139</v>
      </c>
      <c r="AV91" s="253">
        <v>0.96428424383052425</v>
      </c>
      <c r="AW91" s="253">
        <v>0.87152783053397143</v>
      </c>
    </row>
    <row r="92" spans="2:49" ht="14.1" hidden="1" customHeight="1" x14ac:dyDescent="0.25">
      <c r="B92" s="122">
        <v>82</v>
      </c>
      <c r="C92" s="123">
        <v>391.17099999999999</v>
      </c>
      <c r="D92" s="128">
        <v>0.2</v>
      </c>
      <c r="E92" s="123">
        <v>388.67771499999986</v>
      </c>
      <c r="F92" s="64">
        <v>2.4932850000001281</v>
      </c>
      <c r="G92" s="123">
        <v>390.33100000000002</v>
      </c>
      <c r="H92" s="123">
        <v>387.86923499999989</v>
      </c>
      <c r="I92" s="64">
        <v>2.4617650000001277</v>
      </c>
      <c r="J92" s="64">
        <v>101.06</v>
      </c>
      <c r="K92" s="64">
        <v>7.3696999999999999</v>
      </c>
      <c r="L92" s="64">
        <v>0.6</v>
      </c>
      <c r="M92" s="64">
        <v>42.134400000000007</v>
      </c>
      <c r="N92" s="64">
        <v>0.51382430931229761</v>
      </c>
      <c r="O92" s="64">
        <v>22.539004259547784</v>
      </c>
      <c r="P92" s="64">
        <v>84.336714872384292</v>
      </c>
      <c r="Q92" s="64">
        <v>0.51230751858117995</v>
      </c>
      <c r="R92" s="64">
        <v>454.5106956160493</v>
      </c>
      <c r="S92" s="64">
        <v>3509.2345023829521</v>
      </c>
      <c r="T92" s="64">
        <v>0.83118939244010981</v>
      </c>
      <c r="U92" s="64">
        <v>0.8</v>
      </c>
      <c r="V92" s="64">
        <v>0.28352203075995397</v>
      </c>
      <c r="W92" s="66" t="s">
        <v>224</v>
      </c>
      <c r="X92" s="123">
        <v>1.4999999999999999E-2</v>
      </c>
      <c r="Y92" s="122">
        <v>1</v>
      </c>
      <c r="Z92" s="64">
        <v>1.5</v>
      </c>
      <c r="AA92" s="64">
        <v>0.87615747661171928</v>
      </c>
      <c r="AB92" s="64">
        <v>0.9709755258522258</v>
      </c>
      <c r="AC92" s="64">
        <v>3.2738055564598896</v>
      </c>
      <c r="AD92" s="64">
        <v>23.053492155754633</v>
      </c>
      <c r="AF92" s="39">
        <v>82</v>
      </c>
      <c r="AG92" s="252">
        <v>83</v>
      </c>
      <c r="AH92" s="252">
        <v>81</v>
      </c>
      <c r="AI92" s="252">
        <v>0</v>
      </c>
      <c r="AJ92" s="252">
        <v>0</v>
      </c>
      <c r="AK92" s="253">
        <v>388.87771499999985</v>
      </c>
      <c r="AL92" s="253">
        <v>10000</v>
      </c>
      <c r="AM92" s="253">
        <v>10000</v>
      </c>
      <c r="AN92" s="253">
        <v>22.539004259547784</v>
      </c>
      <c r="AO92" s="253">
        <v>15</v>
      </c>
      <c r="AP92" s="253">
        <v>15</v>
      </c>
      <c r="AQ92" s="253">
        <v>0.78657930302952006</v>
      </c>
      <c r="AR92" s="253">
        <v>0.87615747661171928</v>
      </c>
      <c r="AS92" s="253">
        <v>0.36653906463402702</v>
      </c>
      <c r="AT92" s="253">
        <v>476.40574613826374</v>
      </c>
      <c r="AU92" s="253">
        <v>0.96000194629331181</v>
      </c>
      <c r="AV92" s="253">
        <v>0.9709755258522258</v>
      </c>
      <c r="AW92" s="253">
        <v>0.86624570161619618</v>
      </c>
    </row>
    <row r="93" spans="2:49" ht="14.1" hidden="1" customHeight="1" x14ac:dyDescent="0.25">
      <c r="B93" s="122">
        <v>83</v>
      </c>
      <c r="C93" s="123">
        <v>390.33100000000002</v>
      </c>
      <c r="D93" s="128"/>
      <c r="E93" s="123">
        <v>387.86923499999989</v>
      </c>
      <c r="F93" s="64">
        <v>2.4617650000001277</v>
      </c>
      <c r="G93" s="123">
        <v>389.738</v>
      </c>
      <c r="H93" s="123">
        <v>387.26779499999986</v>
      </c>
      <c r="I93" s="64">
        <v>2.470205000000135</v>
      </c>
      <c r="J93" s="64">
        <v>100.24</v>
      </c>
      <c r="K93" s="64">
        <v>6.0128000000000004</v>
      </c>
      <c r="L93" s="64">
        <v>0.6</v>
      </c>
      <c r="M93" s="64">
        <v>48.147200000000005</v>
      </c>
      <c r="N93" s="64">
        <v>0.50176730063109054</v>
      </c>
      <c r="O93" s="64">
        <v>23.053492155754633</v>
      </c>
      <c r="P93" s="64">
        <v>83.3989034940317</v>
      </c>
      <c r="Q93" s="64">
        <v>0.51425589863558874</v>
      </c>
      <c r="R93" s="64">
        <v>359.46033771314694</v>
      </c>
      <c r="S93" s="64">
        <v>3868.6948400960991</v>
      </c>
      <c r="T93" s="64">
        <v>0.5915802075020129</v>
      </c>
      <c r="U93" s="64">
        <v>0.6</v>
      </c>
      <c r="V93" s="64">
        <v>0.34458072314552673</v>
      </c>
      <c r="W93" s="66" t="s">
        <v>224</v>
      </c>
      <c r="X93" s="123">
        <v>1.4999999999999999E-2</v>
      </c>
      <c r="Y93" s="122">
        <v>1</v>
      </c>
      <c r="Z93" s="64">
        <v>1.5</v>
      </c>
      <c r="AA93" s="64">
        <v>1.0372611720222804</v>
      </c>
      <c r="AB93" s="64">
        <v>1.021075188570125</v>
      </c>
      <c r="AC93" s="64">
        <v>2.9675086508193318</v>
      </c>
      <c r="AD93" s="64">
        <v>23.616478439284219</v>
      </c>
      <c r="AF93" s="39">
        <v>83</v>
      </c>
      <c r="AG93" s="252">
        <v>84</v>
      </c>
      <c r="AH93" s="252">
        <v>82</v>
      </c>
      <c r="AI93" s="252">
        <v>0</v>
      </c>
      <c r="AJ93" s="252">
        <v>0</v>
      </c>
      <c r="AK93" s="253">
        <v>387.86923499999989</v>
      </c>
      <c r="AL93" s="253">
        <v>10000</v>
      </c>
      <c r="AM93" s="253">
        <v>10000</v>
      </c>
      <c r="AN93" s="253">
        <v>23.053492155754633</v>
      </c>
      <c r="AO93" s="253">
        <v>15</v>
      </c>
      <c r="AP93" s="253">
        <v>15</v>
      </c>
      <c r="AQ93" s="253">
        <v>0.88362186656251485</v>
      </c>
      <c r="AR93" s="253">
        <v>1.0372611720222804</v>
      </c>
      <c r="AS93" s="253">
        <v>0.68163793281145946</v>
      </c>
      <c r="AT93" s="253">
        <v>579.41530463840979</v>
      </c>
      <c r="AU93" s="253">
        <v>1.0090235966687369</v>
      </c>
      <c r="AV93" s="253">
        <v>1.021075188570125</v>
      </c>
      <c r="AW93" s="253">
        <v>0.89298103823021513</v>
      </c>
    </row>
    <row r="94" spans="2:49" ht="14.1" hidden="1" customHeight="1" x14ac:dyDescent="0.25">
      <c r="B94" s="122">
        <v>84</v>
      </c>
      <c r="C94" s="123">
        <v>389.738</v>
      </c>
      <c r="D94" s="128"/>
      <c r="E94" s="123">
        <v>387.26779499999986</v>
      </c>
      <c r="F94" s="64">
        <v>2.470205000000135</v>
      </c>
      <c r="G94" s="123">
        <v>389.22300000000001</v>
      </c>
      <c r="H94" s="123">
        <v>386.55547499999989</v>
      </c>
      <c r="I94" s="64">
        <v>2.6675250000001256</v>
      </c>
      <c r="J94" s="64">
        <v>101.76</v>
      </c>
      <c r="K94" s="64">
        <v>1.1442000000000001</v>
      </c>
      <c r="L94" s="64">
        <v>0.6</v>
      </c>
      <c r="M94" s="64">
        <v>124.75830000000001</v>
      </c>
      <c r="N94" s="64">
        <v>0.42354507704272037</v>
      </c>
      <c r="O94" s="64">
        <v>29.153489090344745</v>
      </c>
      <c r="P94" s="64">
        <v>73.849045177159439</v>
      </c>
      <c r="Q94" s="64">
        <v>0.53402149145522548</v>
      </c>
      <c r="R94" s="64">
        <v>53.093021668628296</v>
      </c>
      <c r="S94" s="64">
        <v>10931.415796895177</v>
      </c>
      <c r="T94" s="64">
        <v>0.50609276729558406</v>
      </c>
      <c r="U94" s="64">
        <v>0.7</v>
      </c>
      <c r="V94" s="64">
        <v>0.68778843017015123</v>
      </c>
      <c r="W94" s="66" t="s">
        <v>224</v>
      </c>
      <c r="X94" s="123">
        <v>1.4999999999999999E-2</v>
      </c>
      <c r="Y94" s="122">
        <v>2</v>
      </c>
      <c r="Z94" s="64">
        <v>1.5</v>
      </c>
      <c r="AA94" s="64">
        <v>1.3595268961612073</v>
      </c>
      <c r="AB94" s="64">
        <v>1.2203516653151494</v>
      </c>
      <c r="AC94" s="64">
        <v>3.246387165692536</v>
      </c>
      <c r="AD94" s="64">
        <v>29.675915995528189</v>
      </c>
      <c r="AF94" s="39">
        <v>84</v>
      </c>
      <c r="AG94" s="252">
        <v>85</v>
      </c>
      <c r="AH94" s="252">
        <v>61</v>
      </c>
      <c r="AI94" s="252">
        <v>83</v>
      </c>
      <c r="AJ94" s="252">
        <v>0</v>
      </c>
      <c r="AK94" s="253">
        <v>387.29399699999988</v>
      </c>
      <c r="AL94" s="253">
        <v>387.26779499999986</v>
      </c>
      <c r="AM94" s="253">
        <v>10000</v>
      </c>
      <c r="AN94" s="253">
        <v>29.153489090344745</v>
      </c>
      <c r="AO94" s="253">
        <v>23.616478439284219</v>
      </c>
      <c r="AP94" s="253">
        <v>15</v>
      </c>
      <c r="AQ94" s="253">
        <v>1.0057077001134547</v>
      </c>
      <c r="AR94" s="253">
        <v>1.2686545147285375</v>
      </c>
      <c r="AS94" s="253">
        <v>1.3595268961612073</v>
      </c>
      <c r="AT94" s="253">
        <v>748.27905189273383</v>
      </c>
      <c r="AU94" s="253">
        <v>1.2037829044111035</v>
      </c>
      <c r="AV94" s="253">
        <v>1.2203516653151494</v>
      </c>
      <c r="AW94" s="253">
        <v>0.99454120004802349</v>
      </c>
    </row>
    <row r="95" spans="2:49" ht="14.1" hidden="1" customHeight="1" x14ac:dyDescent="0.25">
      <c r="B95" s="122">
        <v>85</v>
      </c>
      <c r="C95" s="123">
        <v>389.22300000000001</v>
      </c>
      <c r="D95" s="128"/>
      <c r="E95" s="123">
        <v>386.55547499999989</v>
      </c>
      <c r="F95" s="64">
        <v>2.6675250000001256</v>
      </c>
      <c r="G95" s="123">
        <v>387.07</v>
      </c>
      <c r="H95" s="123">
        <v>384.61182059999987</v>
      </c>
      <c r="I95" s="64">
        <v>2.4581794000001196</v>
      </c>
      <c r="J95" s="64">
        <v>97.28</v>
      </c>
      <c r="K95" s="64">
        <v>1.8631</v>
      </c>
      <c r="L95" s="64">
        <v>0.6</v>
      </c>
      <c r="M95" s="64">
        <v>126.62140000000001</v>
      </c>
      <c r="N95" s="64">
        <v>0.42242900886697493</v>
      </c>
      <c r="O95" s="64">
        <v>29.675915995528189</v>
      </c>
      <c r="P95" s="64">
        <v>73.144741661206936</v>
      </c>
      <c r="Q95" s="64">
        <v>0.53547928579594617</v>
      </c>
      <c r="R95" s="64">
        <v>85.634334563896488</v>
      </c>
      <c r="S95" s="64">
        <v>11017.050131459073</v>
      </c>
      <c r="T95" s="64">
        <v>2.2131990131579156</v>
      </c>
      <c r="U95" s="64">
        <v>1.998</v>
      </c>
      <c r="V95" s="64">
        <v>0.69860660850913414</v>
      </c>
      <c r="W95" s="66" t="s">
        <v>224</v>
      </c>
      <c r="X95" s="123">
        <v>1.4999999999999999E-2</v>
      </c>
      <c r="Y95" s="122">
        <v>2</v>
      </c>
      <c r="Z95" s="64">
        <v>1.5</v>
      </c>
      <c r="AA95" s="64">
        <v>0.87218952646406644</v>
      </c>
      <c r="AB95" s="64">
        <v>1.2252743378288145</v>
      </c>
      <c r="AC95" s="64">
        <v>5.1672627383367411</v>
      </c>
      <c r="AD95" s="64">
        <v>29.989686247871738</v>
      </c>
      <c r="AF95" s="39">
        <v>85</v>
      </c>
      <c r="AG95" s="252">
        <v>86</v>
      </c>
      <c r="AH95" s="252">
        <v>84</v>
      </c>
      <c r="AI95" s="252">
        <v>0</v>
      </c>
      <c r="AJ95" s="252">
        <v>0</v>
      </c>
      <c r="AK95" s="253">
        <v>386.55547499999989</v>
      </c>
      <c r="AL95" s="253">
        <v>10000</v>
      </c>
      <c r="AM95" s="253">
        <v>10000</v>
      </c>
      <c r="AN95" s="253">
        <v>29.675915995528189</v>
      </c>
      <c r="AO95" s="253">
        <v>15</v>
      </c>
      <c r="AP95" s="253">
        <v>15</v>
      </c>
      <c r="AQ95" s="253">
        <v>0.78402578648446664</v>
      </c>
      <c r="AR95" s="253">
        <v>0.87218952646406644</v>
      </c>
      <c r="AS95" s="253">
        <v>0.36040140944929916</v>
      </c>
      <c r="AT95" s="253">
        <v>473.79695721346417</v>
      </c>
      <c r="AU95" s="253">
        <v>1.2085896997456553</v>
      </c>
      <c r="AV95" s="253">
        <v>1.2252743378288145</v>
      </c>
      <c r="AW95" s="253">
        <v>0.99696314242389583</v>
      </c>
    </row>
    <row r="96" spans="2:49" ht="14.1" hidden="1" customHeight="1" x14ac:dyDescent="0.25">
      <c r="B96" s="122">
        <v>86</v>
      </c>
      <c r="C96" s="123">
        <v>387.07</v>
      </c>
      <c r="D96" s="128"/>
      <c r="E96" s="123">
        <v>384.61182059999987</v>
      </c>
      <c r="F96" s="64">
        <v>2.4581794000001196</v>
      </c>
      <c r="G96" s="123">
        <v>384.66300000000001</v>
      </c>
      <c r="H96" s="123">
        <v>382.22516059999987</v>
      </c>
      <c r="I96" s="64">
        <v>2.4378394000001435</v>
      </c>
      <c r="J96" s="64">
        <v>101.56</v>
      </c>
      <c r="K96" s="64">
        <v>1.0073000000000001</v>
      </c>
      <c r="L96" s="64">
        <v>0.6</v>
      </c>
      <c r="M96" s="64">
        <v>127.62870000000001</v>
      </c>
      <c r="N96" s="64">
        <v>0.42183362443834782</v>
      </c>
      <c r="O96" s="64">
        <v>29.989686247871738</v>
      </c>
      <c r="P96" s="64">
        <v>72.729058000893573</v>
      </c>
      <c r="Q96" s="64">
        <v>0.53634004312451344</v>
      </c>
      <c r="R96" s="64">
        <v>46.044785586720721</v>
      </c>
      <c r="S96" s="64">
        <v>11063.094917045793</v>
      </c>
      <c r="T96" s="64">
        <v>2.3700275699093956</v>
      </c>
      <c r="U96" s="64">
        <v>2.35</v>
      </c>
      <c r="V96" s="64">
        <v>0.70445834033898813</v>
      </c>
      <c r="W96" s="66" t="s">
        <v>224</v>
      </c>
      <c r="X96" s="123">
        <v>1.4999999999999999E-2</v>
      </c>
      <c r="Y96" s="122">
        <v>2</v>
      </c>
      <c r="Z96" s="64">
        <v>1.5</v>
      </c>
      <c r="AA96" s="64">
        <v>0.82876593849395142</v>
      </c>
      <c r="AB96" s="64">
        <v>1.2279135562611943</v>
      </c>
      <c r="AC96" s="64">
        <v>5.5232388816626079</v>
      </c>
      <c r="AD96" s="64">
        <v>30.296148941760716</v>
      </c>
      <c r="AF96" s="39">
        <v>86</v>
      </c>
      <c r="AG96" s="252">
        <v>87</v>
      </c>
      <c r="AH96" s="252">
        <v>85</v>
      </c>
      <c r="AI96" s="252">
        <v>0</v>
      </c>
      <c r="AJ96" s="252">
        <v>0</v>
      </c>
      <c r="AK96" s="253">
        <v>384.61182059999987</v>
      </c>
      <c r="AL96" s="253">
        <v>10000</v>
      </c>
      <c r="AM96" s="253">
        <v>10000</v>
      </c>
      <c r="AN96" s="253">
        <v>29.989686247871738</v>
      </c>
      <c r="AO96" s="253">
        <v>15</v>
      </c>
      <c r="AP96" s="253">
        <v>15</v>
      </c>
      <c r="AQ96" s="253">
        <v>0.7554740590110075</v>
      </c>
      <c r="AR96" s="253">
        <v>0.82876593849395142</v>
      </c>
      <c r="AS96" s="253">
        <v>0.29572385563108872</v>
      </c>
      <c r="AT96" s="253">
        <v>445.11301969637765</v>
      </c>
      <c r="AU96" s="253">
        <v>1.2111667121289293</v>
      </c>
      <c r="AV96" s="253">
        <v>1.2279135562611943</v>
      </c>
      <c r="AW96" s="253">
        <v>0.998260045101524</v>
      </c>
    </row>
    <row r="97" spans="2:49" ht="14.1" hidden="1" customHeight="1" x14ac:dyDescent="0.25">
      <c r="B97" s="122">
        <v>87</v>
      </c>
      <c r="C97" s="123">
        <v>384.66300000000001</v>
      </c>
      <c r="D97" s="128"/>
      <c r="E97" s="123">
        <v>382.22516059999987</v>
      </c>
      <c r="F97" s="64">
        <v>2.4378394000001435</v>
      </c>
      <c r="G97" s="123">
        <v>385.19400000000002</v>
      </c>
      <c r="H97" s="123">
        <v>381.50955059999984</v>
      </c>
      <c r="I97" s="64">
        <v>3.684449400000176</v>
      </c>
      <c r="J97" s="64">
        <v>102.23</v>
      </c>
      <c r="K97" s="64">
        <v>1.0386</v>
      </c>
      <c r="L97" s="64">
        <v>0.6</v>
      </c>
      <c r="M97" s="64">
        <v>128.66730000000001</v>
      </c>
      <c r="N97" s="64">
        <v>0.42122550787643814</v>
      </c>
      <c r="O97" s="64">
        <v>30.296148941760716</v>
      </c>
      <c r="P97" s="64">
        <v>72.328230067741401</v>
      </c>
      <c r="Q97" s="64">
        <v>0.53717032884374893</v>
      </c>
      <c r="R97" s="64">
        <v>47.218814133918841</v>
      </c>
      <c r="S97" s="64">
        <v>11110.313731179713</v>
      </c>
      <c r="T97" s="64">
        <v>-0.51941700088037357</v>
      </c>
      <c r="U97" s="64">
        <v>0.7</v>
      </c>
      <c r="V97" s="64">
        <v>0.71048462406685442</v>
      </c>
      <c r="W97" s="66" t="s">
        <v>224</v>
      </c>
      <c r="X97" s="123">
        <v>1.4999999999999999E-2</v>
      </c>
      <c r="Y97" s="122">
        <v>2</v>
      </c>
      <c r="Z97" s="64">
        <v>1.5</v>
      </c>
      <c r="AA97" s="64">
        <v>1.4174675305962654</v>
      </c>
      <c r="AB97" s="64">
        <v>1.2306145513989224</v>
      </c>
      <c r="AC97" s="64">
        <v>3.2127955766595422</v>
      </c>
      <c r="AD97" s="64">
        <v>30.826476282134134</v>
      </c>
      <c r="AF97" s="39">
        <v>87</v>
      </c>
      <c r="AG97" s="252">
        <v>91</v>
      </c>
      <c r="AH97" s="252">
        <v>86</v>
      </c>
      <c r="AI97" s="252">
        <v>0</v>
      </c>
      <c r="AJ97" s="252">
        <v>0</v>
      </c>
      <c r="AK97" s="253">
        <v>382.22516059999987</v>
      </c>
      <c r="AL97" s="253">
        <v>10000</v>
      </c>
      <c r="AM97" s="253">
        <v>10000</v>
      </c>
      <c r="AN97" s="253">
        <v>30.296148941760716</v>
      </c>
      <c r="AO97" s="253">
        <v>15</v>
      </c>
      <c r="AP97" s="253">
        <v>15</v>
      </c>
      <c r="AQ97" s="253">
        <v>1.0136075372616962</v>
      </c>
      <c r="AR97" s="253">
        <v>1.2847362972758249</v>
      </c>
      <c r="AS97" s="253">
        <v>1.4174675305962654</v>
      </c>
      <c r="AT97" s="253">
        <v>768.4767200457519</v>
      </c>
      <c r="AU97" s="253">
        <v>1.2138039873451105</v>
      </c>
      <c r="AV97" s="253">
        <v>1.2306145513989224</v>
      </c>
      <c r="AW97" s="253">
        <v>0.9995861627765531</v>
      </c>
    </row>
    <row r="98" spans="2:49" ht="14.1" hidden="1" customHeight="1" x14ac:dyDescent="0.25">
      <c r="B98" s="122">
        <v>88</v>
      </c>
      <c r="C98" s="123">
        <v>387.28899999999999</v>
      </c>
      <c r="D98" s="128"/>
      <c r="E98" s="123">
        <v>385.78899999999999</v>
      </c>
      <c r="F98" s="64">
        <v>1.5</v>
      </c>
      <c r="G98" s="123">
        <v>386.85300000000001</v>
      </c>
      <c r="H98" s="123">
        <v>385.338415</v>
      </c>
      <c r="I98" s="64">
        <v>1.514585000000011</v>
      </c>
      <c r="J98" s="64">
        <v>100.13</v>
      </c>
      <c r="K98" s="64">
        <v>1.5946</v>
      </c>
      <c r="L98" s="64">
        <v>0.6</v>
      </c>
      <c r="M98" s="64">
        <v>1.5946</v>
      </c>
      <c r="N98" s="64">
        <v>0.920296958582835</v>
      </c>
      <c r="O98" s="64">
        <v>15</v>
      </c>
      <c r="P98" s="64">
        <v>101.5258000467022</v>
      </c>
      <c r="Q98" s="64">
        <v>0.47581283640599359</v>
      </c>
      <c r="R98" s="64">
        <v>196.93575058817908</v>
      </c>
      <c r="S98" s="64">
        <v>196.93575058817908</v>
      </c>
      <c r="T98" s="64">
        <v>0.43543393588333029</v>
      </c>
      <c r="U98" s="64">
        <v>0.45</v>
      </c>
      <c r="V98" s="64">
        <v>0.11834716742741912</v>
      </c>
      <c r="W98" s="66" t="s">
        <v>224</v>
      </c>
      <c r="X98" s="123">
        <v>1.4999999999999999E-2</v>
      </c>
      <c r="Y98" s="122">
        <v>1</v>
      </c>
      <c r="Z98" s="64">
        <v>0.6</v>
      </c>
      <c r="AA98" s="64">
        <v>0.31775318842418121</v>
      </c>
      <c r="AB98" s="64">
        <v>0.28652232946732081</v>
      </c>
      <c r="AC98" s="64">
        <v>1.2954819623823679</v>
      </c>
      <c r="AD98" s="64">
        <v>16.288194958935883</v>
      </c>
      <c r="AF98" s="39">
        <v>88</v>
      </c>
      <c r="AG98" s="252">
        <v>89</v>
      </c>
      <c r="AH98" s="252">
        <v>0</v>
      </c>
      <c r="AI98" s="252">
        <v>0</v>
      </c>
      <c r="AJ98" s="252">
        <v>0</v>
      </c>
      <c r="AK98" s="253">
        <v>10000</v>
      </c>
      <c r="AL98" s="253">
        <v>10000</v>
      </c>
      <c r="AM98" s="253">
        <v>10000</v>
      </c>
      <c r="AN98" s="253">
        <v>15</v>
      </c>
      <c r="AO98" s="253">
        <v>15</v>
      </c>
      <c r="AP98" s="253">
        <v>15</v>
      </c>
      <c r="AQ98" s="253">
        <v>0.29271700654297994</v>
      </c>
      <c r="AR98" s="253">
        <v>0.31775318842418121</v>
      </c>
      <c r="AS98" s="253">
        <v>9.9888825178235094E-2</v>
      </c>
      <c r="AT98" s="253">
        <v>422.27045031783172</v>
      </c>
      <c r="AU98" s="253">
        <v>0.28417998968517516</v>
      </c>
      <c r="AV98" s="253">
        <v>0.28652232946732081</v>
      </c>
      <c r="AW98" s="253">
        <v>0.43219933920025078</v>
      </c>
    </row>
    <row r="99" spans="2:49" ht="14.1" hidden="1" customHeight="1" x14ac:dyDescent="0.25">
      <c r="B99" s="122">
        <v>89</v>
      </c>
      <c r="C99" s="123">
        <v>386.85300000000001</v>
      </c>
      <c r="D99" s="128"/>
      <c r="E99" s="123">
        <v>385.338415</v>
      </c>
      <c r="F99" s="64">
        <v>1.514585000000011</v>
      </c>
      <c r="G99" s="123">
        <v>385.803</v>
      </c>
      <c r="H99" s="123">
        <v>384.28032999999999</v>
      </c>
      <c r="I99" s="64">
        <v>1.5226700000000051</v>
      </c>
      <c r="J99" s="64">
        <v>100.77</v>
      </c>
      <c r="K99" s="64">
        <v>1.9686999999999999</v>
      </c>
      <c r="L99" s="64">
        <v>0.6</v>
      </c>
      <c r="M99" s="64">
        <v>3.5632999999999999</v>
      </c>
      <c r="N99" s="64">
        <v>0.79757269046505774</v>
      </c>
      <c r="O99" s="64">
        <v>16.288194958935883</v>
      </c>
      <c r="P99" s="64">
        <v>98.03440578885521</v>
      </c>
      <c r="Q99" s="64">
        <v>0.48338973185671635</v>
      </c>
      <c r="R99" s="64">
        <v>206.70834002169073</v>
      </c>
      <c r="S99" s="64">
        <v>403.64409060986981</v>
      </c>
      <c r="T99" s="64">
        <v>1.0419767788032266</v>
      </c>
      <c r="U99" s="64">
        <v>1.05</v>
      </c>
      <c r="V99" s="64">
        <v>0.49717117371485192</v>
      </c>
      <c r="W99" s="66" t="s">
        <v>224</v>
      </c>
      <c r="X99" s="123">
        <v>1.4999999999999999E-2</v>
      </c>
      <c r="Y99" s="122">
        <v>1</v>
      </c>
      <c r="Z99" s="64">
        <v>0.6</v>
      </c>
      <c r="AA99" s="64">
        <v>0.38725932832813881</v>
      </c>
      <c r="AB99" s="64">
        <v>0.41490733115710293</v>
      </c>
      <c r="AC99" s="64">
        <v>2.0916437333685485</v>
      </c>
      <c r="AD99" s="64">
        <v>17.091151969829511</v>
      </c>
      <c r="AF99" s="39">
        <v>89</v>
      </c>
      <c r="AG99" s="252">
        <v>90</v>
      </c>
      <c r="AH99" s="252">
        <v>88</v>
      </c>
      <c r="AI99" s="252">
        <v>0</v>
      </c>
      <c r="AJ99" s="252">
        <v>0</v>
      </c>
      <c r="AK99" s="253">
        <v>385.338415</v>
      </c>
      <c r="AL99" s="253">
        <v>10000</v>
      </c>
      <c r="AM99" s="253">
        <v>10000</v>
      </c>
      <c r="AN99" s="253">
        <v>16.288194958935883</v>
      </c>
      <c r="AO99" s="253">
        <v>15</v>
      </c>
      <c r="AP99" s="253">
        <v>15</v>
      </c>
      <c r="AQ99" s="253">
        <v>0.33728143376622288</v>
      </c>
      <c r="AR99" s="253">
        <v>0.38725932832813881</v>
      </c>
      <c r="AS99" s="253">
        <v>0.21280443908255922</v>
      </c>
      <c r="AT99" s="253">
        <v>536.05380645856587</v>
      </c>
      <c r="AU99" s="253">
        <v>0.40998259916044627</v>
      </c>
      <c r="AV99" s="253">
        <v>0.41490733115710293</v>
      </c>
      <c r="AW99" s="253">
        <v>0.54054629579836577</v>
      </c>
    </row>
    <row r="100" spans="2:49" ht="14.1" hidden="1" customHeight="1" x14ac:dyDescent="0.25">
      <c r="B100" s="122">
        <v>90</v>
      </c>
      <c r="C100" s="123">
        <v>385.803</v>
      </c>
      <c r="D100" s="128">
        <v>0.1</v>
      </c>
      <c r="E100" s="123">
        <v>384.18032999999997</v>
      </c>
      <c r="F100" s="64">
        <v>1.6226700000000278</v>
      </c>
      <c r="G100" s="123">
        <v>385.19400000000002</v>
      </c>
      <c r="H100" s="123">
        <v>382.54560999999995</v>
      </c>
      <c r="I100" s="64">
        <v>2.6483900000000631</v>
      </c>
      <c r="J100" s="64">
        <v>102.17</v>
      </c>
      <c r="K100" s="64">
        <v>2.0701999999999998</v>
      </c>
      <c r="L100" s="64">
        <v>0.6</v>
      </c>
      <c r="M100" s="64">
        <v>5.6334999999999997</v>
      </c>
      <c r="N100" s="64">
        <v>0.73512545775313376</v>
      </c>
      <c r="O100" s="64">
        <v>17.091151969829511</v>
      </c>
      <c r="P100" s="64">
        <v>95.993089964284579</v>
      </c>
      <c r="Q100" s="64">
        <v>0.48777255815660453</v>
      </c>
      <c r="R100" s="64">
        <v>197.9535723264151</v>
      </c>
      <c r="S100" s="64">
        <v>601.59766293628491</v>
      </c>
      <c r="T100" s="64">
        <v>0.59606538122734698</v>
      </c>
      <c r="U100" s="64">
        <v>1.6</v>
      </c>
      <c r="V100" s="64">
        <v>0.23811189693468252</v>
      </c>
      <c r="W100" s="66" t="s">
        <v>224</v>
      </c>
      <c r="X100" s="123">
        <v>1.4999999999999999E-2</v>
      </c>
      <c r="Y100" s="122">
        <v>1</v>
      </c>
      <c r="Z100" s="64">
        <v>0.8</v>
      </c>
      <c r="AA100" s="64">
        <v>0.35649323236506869</v>
      </c>
      <c r="AB100" s="64">
        <v>0.46899230532875363</v>
      </c>
      <c r="AC100" s="64">
        <v>2.7775778628327403</v>
      </c>
      <c r="AD100" s="64">
        <v>17.70421609167439</v>
      </c>
      <c r="AF100" s="39">
        <v>90</v>
      </c>
      <c r="AG100" s="252">
        <v>91</v>
      </c>
      <c r="AH100" s="252">
        <v>89</v>
      </c>
      <c r="AI100" s="252">
        <v>0</v>
      </c>
      <c r="AJ100" s="252">
        <v>0</v>
      </c>
      <c r="AK100" s="253">
        <v>384.28032999999999</v>
      </c>
      <c r="AL100" s="253">
        <v>10000</v>
      </c>
      <c r="AM100" s="253">
        <v>10000</v>
      </c>
      <c r="AN100" s="253">
        <v>17.091151969829511</v>
      </c>
      <c r="AO100" s="253">
        <v>15</v>
      </c>
      <c r="AP100" s="253">
        <v>15</v>
      </c>
      <c r="AQ100" s="253">
        <v>0.34027718845885013</v>
      </c>
      <c r="AR100" s="253">
        <v>0.35649323236506869</v>
      </c>
      <c r="AS100" s="253">
        <v>6.4098402042921637E-2</v>
      </c>
      <c r="AT100" s="253">
        <v>338.42304149820677</v>
      </c>
      <c r="AU100" s="253">
        <v>0.46418440296622104</v>
      </c>
      <c r="AV100" s="253">
        <v>0.46899230532875363</v>
      </c>
      <c r="AW100" s="253">
        <v>0.57443566426034098</v>
      </c>
    </row>
    <row r="101" spans="2:49" ht="14.1" hidden="1" customHeight="1" x14ac:dyDescent="0.25">
      <c r="B101" s="122">
        <v>91</v>
      </c>
      <c r="C101" s="123">
        <v>385.19400000000002</v>
      </c>
      <c r="D101" s="128"/>
      <c r="E101" s="123">
        <v>381.50955059999984</v>
      </c>
      <c r="F101" s="64">
        <v>3.684449400000176</v>
      </c>
      <c r="G101" s="123">
        <v>382.73599999999999</v>
      </c>
      <c r="H101" s="123">
        <v>380.29520339999982</v>
      </c>
      <c r="I101" s="64">
        <v>2.4407966000001693</v>
      </c>
      <c r="J101" s="64">
        <v>101.28</v>
      </c>
      <c r="K101" s="64">
        <v>2.0672000000000001</v>
      </c>
      <c r="L101" s="64">
        <v>0.6</v>
      </c>
      <c r="M101" s="64">
        <v>136.36800000000002</v>
      </c>
      <c r="N101" s="64">
        <v>0.41688971430444732</v>
      </c>
      <c r="O101" s="64">
        <v>30.826476282134134</v>
      </c>
      <c r="P101" s="64">
        <v>71.646392811534668</v>
      </c>
      <c r="Q101" s="64">
        <v>0.53858344384771295</v>
      </c>
      <c r="R101" s="64">
        <v>92.381124992644658</v>
      </c>
      <c r="S101" s="64">
        <v>11804.292519108641</v>
      </c>
      <c r="T101" s="64">
        <v>2.4269352290679569</v>
      </c>
      <c r="U101" s="64">
        <v>1.1990000000000001</v>
      </c>
      <c r="V101" s="64">
        <v>0.80201402784316833</v>
      </c>
      <c r="W101" s="66" t="s">
        <v>224</v>
      </c>
      <c r="X101" s="123">
        <v>1.4999999999999999E-2</v>
      </c>
      <c r="Y101" s="122">
        <v>2</v>
      </c>
      <c r="Z101" s="64">
        <v>1.5</v>
      </c>
      <c r="AA101" s="64">
        <v>1.0967797526802685</v>
      </c>
      <c r="AB101" s="64">
        <v>1.2696886963190246</v>
      </c>
      <c r="AC101" s="64">
        <v>4.2628223969966461</v>
      </c>
      <c r="AD101" s="64">
        <v>31.222458061996527</v>
      </c>
      <c r="AF101" s="39">
        <v>91</v>
      </c>
      <c r="AG101" s="252">
        <v>92</v>
      </c>
      <c r="AH101" s="252">
        <v>87</v>
      </c>
      <c r="AI101" s="252">
        <v>90</v>
      </c>
      <c r="AJ101" s="252">
        <v>0</v>
      </c>
      <c r="AK101" s="253">
        <v>381.50955059999984</v>
      </c>
      <c r="AL101" s="253">
        <v>382.54560999999995</v>
      </c>
      <c r="AM101" s="253">
        <v>10000</v>
      </c>
      <c r="AN101" s="253">
        <v>30.826476282134134</v>
      </c>
      <c r="AO101" s="253">
        <v>17.70421609167439</v>
      </c>
      <c r="AP101" s="253">
        <v>15</v>
      </c>
      <c r="AQ101" s="253">
        <v>0.91669784531378407</v>
      </c>
      <c r="AR101" s="253">
        <v>1.0967797526802685</v>
      </c>
      <c r="AS101" s="253">
        <v>0.82953329154827826</v>
      </c>
      <c r="AT101" s="253">
        <v>615.36134304014729</v>
      </c>
      <c r="AU101" s="253">
        <v>1.2519498601677848</v>
      </c>
      <c r="AV101" s="253">
        <v>1.2696886963190246</v>
      </c>
      <c r="AW101" s="253">
        <v>1.018643450800528</v>
      </c>
    </row>
    <row r="102" spans="2:49" ht="14.1" hidden="1" customHeight="1" x14ac:dyDescent="0.25">
      <c r="B102" s="122">
        <v>92</v>
      </c>
      <c r="C102" s="123">
        <v>382.73599999999999</v>
      </c>
      <c r="D102" s="128"/>
      <c r="E102" s="123">
        <v>380.29520339999982</v>
      </c>
      <c r="F102" s="64">
        <v>2.4407966000001693</v>
      </c>
      <c r="G102" s="123">
        <v>380.00299999999999</v>
      </c>
      <c r="H102" s="123">
        <v>377.5730633999998</v>
      </c>
      <c r="I102" s="64">
        <v>2.4299366000001896</v>
      </c>
      <c r="J102" s="64">
        <v>100.82</v>
      </c>
      <c r="K102" s="64">
        <v>1.032</v>
      </c>
      <c r="L102" s="64">
        <v>0.6</v>
      </c>
      <c r="M102" s="64">
        <v>137.40000000000003</v>
      </c>
      <c r="N102" s="64">
        <v>0.41633062797579928</v>
      </c>
      <c r="O102" s="64">
        <v>31.222458061996527</v>
      </c>
      <c r="P102" s="64">
        <v>71.146773432104794</v>
      </c>
      <c r="Q102" s="64">
        <v>0.53961957354562573</v>
      </c>
      <c r="R102" s="64">
        <v>45.824021904690987</v>
      </c>
      <c r="S102" s="64">
        <v>11850.116541013333</v>
      </c>
      <c r="T102" s="64">
        <v>2.7107716722872488</v>
      </c>
      <c r="U102" s="64">
        <v>2.7</v>
      </c>
      <c r="V102" s="64">
        <v>0.80825291808105904</v>
      </c>
      <c r="W102" s="66" t="s">
        <v>224</v>
      </c>
      <c r="X102" s="123">
        <v>1.4999999999999999E-2</v>
      </c>
      <c r="Y102" s="122">
        <v>2</v>
      </c>
      <c r="Z102" s="64">
        <v>1.5</v>
      </c>
      <c r="AA102" s="64">
        <v>0.82838867380602488</v>
      </c>
      <c r="AB102" s="64">
        <v>1.2722291339373593</v>
      </c>
      <c r="AC102" s="64">
        <v>5.9194850061052984</v>
      </c>
      <c r="AD102" s="64">
        <v>31.506322846112081</v>
      </c>
      <c r="AF102" s="39">
        <v>92</v>
      </c>
      <c r="AG102" s="252">
        <v>93</v>
      </c>
      <c r="AH102" s="252">
        <v>91</v>
      </c>
      <c r="AI102" s="252">
        <v>0</v>
      </c>
      <c r="AJ102" s="252">
        <v>0</v>
      </c>
      <c r="AK102" s="253">
        <v>380.29520339999982</v>
      </c>
      <c r="AL102" s="253">
        <v>10000</v>
      </c>
      <c r="AM102" s="253">
        <v>10000</v>
      </c>
      <c r="AN102" s="253">
        <v>31.222458061996527</v>
      </c>
      <c r="AO102" s="253">
        <v>15</v>
      </c>
      <c r="AP102" s="253">
        <v>15</v>
      </c>
      <c r="AQ102" s="253">
        <v>0.75522091342002717</v>
      </c>
      <c r="AR102" s="253">
        <v>0.82838867380602488</v>
      </c>
      <c r="AS102" s="253">
        <v>0.29521617449508902</v>
      </c>
      <c r="AT102" s="253">
        <v>444.86289408965064</v>
      </c>
      <c r="AU102" s="253">
        <v>1.2544295317874938</v>
      </c>
      <c r="AV102" s="253">
        <v>1.2722291339373593</v>
      </c>
      <c r="AW102" s="253">
        <v>1.0198743795304286</v>
      </c>
    </row>
    <row r="103" spans="2:49" ht="14.1" hidden="1" customHeight="1" x14ac:dyDescent="0.25">
      <c r="B103" s="122">
        <v>93</v>
      </c>
      <c r="C103" s="123">
        <v>380.00299999999999</v>
      </c>
      <c r="D103" s="128"/>
      <c r="E103" s="123">
        <v>377.5730633999998</v>
      </c>
      <c r="F103" s="64">
        <v>2.4299366000001896</v>
      </c>
      <c r="G103" s="123">
        <v>378.63799999999998</v>
      </c>
      <c r="H103" s="123">
        <v>376.19960839999982</v>
      </c>
      <c r="I103" s="64">
        <v>2.4383916000001591</v>
      </c>
      <c r="J103" s="64">
        <v>88.61</v>
      </c>
      <c r="K103" s="64">
        <v>0.98839999999999995</v>
      </c>
      <c r="L103" s="64">
        <v>0.6</v>
      </c>
      <c r="M103" s="64">
        <v>138.38840000000005</v>
      </c>
      <c r="N103" s="64">
        <v>0.41579978027967485</v>
      </c>
      <c r="O103" s="64">
        <v>31.506322846112081</v>
      </c>
      <c r="P103" s="64">
        <v>70.793482273961999</v>
      </c>
      <c r="Q103" s="64">
        <v>0.54035261695800751</v>
      </c>
      <c r="R103" s="64">
        <v>43.673678042289488</v>
      </c>
      <c r="S103" s="64">
        <v>11893.790219055621</v>
      </c>
      <c r="T103" s="64">
        <v>1.5404581875634906</v>
      </c>
      <c r="U103" s="64">
        <v>1.55</v>
      </c>
      <c r="V103" s="64">
        <v>0.81422153883452186</v>
      </c>
      <c r="W103" s="66" t="s">
        <v>224</v>
      </c>
      <c r="X103" s="123">
        <v>1.4999999999999999E-2</v>
      </c>
      <c r="Y103" s="122">
        <v>2</v>
      </c>
      <c r="Z103" s="64">
        <v>1.5</v>
      </c>
      <c r="AA103" s="64">
        <v>1.0044991526443443</v>
      </c>
      <c r="AB103" s="64">
        <v>1.2746459362047275</v>
      </c>
      <c r="AC103" s="64">
        <v>4.7277747977137397</v>
      </c>
      <c r="AD103" s="64">
        <v>31.818696721036812</v>
      </c>
      <c r="AF103" s="39">
        <v>93</v>
      </c>
      <c r="AG103" s="252">
        <v>94</v>
      </c>
      <c r="AH103" s="252">
        <v>92</v>
      </c>
      <c r="AI103" s="252">
        <v>0</v>
      </c>
      <c r="AJ103" s="252">
        <v>0</v>
      </c>
      <c r="AK103" s="253">
        <v>377.5730633999998</v>
      </c>
      <c r="AL103" s="253">
        <v>10000</v>
      </c>
      <c r="AM103" s="253">
        <v>10000</v>
      </c>
      <c r="AN103" s="253">
        <v>31.506322846112081</v>
      </c>
      <c r="AO103" s="253">
        <v>15</v>
      </c>
      <c r="AP103" s="253">
        <v>15</v>
      </c>
      <c r="AQ103" s="253">
        <v>0.86483409812896139</v>
      </c>
      <c r="AR103" s="253">
        <v>1.0044991526443443</v>
      </c>
      <c r="AS103" s="253">
        <v>0.6080984804618077</v>
      </c>
      <c r="AT103" s="253">
        <v>559.05042143750291</v>
      </c>
      <c r="AU103" s="253">
        <v>1.256788479026653</v>
      </c>
      <c r="AV103" s="253">
        <v>1.2746459362047275</v>
      </c>
      <c r="AW103" s="253">
        <v>1.0210445000023542</v>
      </c>
    </row>
    <row r="104" spans="2:49" ht="14.1" hidden="1" customHeight="1" x14ac:dyDescent="0.25">
      <c r="B104" s="122">
        <v>94</v>
      </c>
      <c r="C104" s="123">
        <v>378.63799999999998</v>
      </c>
      <c r="D104" s="128"/>
      <c r="E104" s="123">
        <v>376.19960839999982</v>
      </c>
      <c r="F104" s="64">
        <v>2.4383916000001591</v>
      </c>
      <c r="G104" s="123">
        <v>375.411</v>
      </c>
      <c r="H104" s="123">
        <v>372.95960839999981</v>
      </c>
      <c r="I104" s="64">
        <v>2.4513916000001927</v>
      </c>
      <c r="J104" s="64">
        <v>120</v>
      </c>
      <c r="K104" s="64">
        <v>0.94879999999999998</v>
      </c>
      <c r="L104" s="64">
        <v>0.6</v>
      </c>
      <c r="M104" s="64">
        <v>139.33720000000005</v>
      </c>
      <c r="N104" s="64">
        <v>0.41529438563652399</v>
      </c>
      <c r="O104" s="64">
        <v>31.818696721036812</v>
      </c>
      <c r="P104" s="64">
        <v>70.409310752150077</v>
      </c>
      <c r="Q104" s="64">
        <v>0.54115011413158576</v>
      </c>
      <c r="R104" s="64">
        <v>41.707179841144246</v>
      </c>
      <c r="S104" s="64">
        <v>11935.497398896765</v>
      </c>
      <c r="T104" s="64">
        <v>2.6891666666666465</v>
      </c>
      <c r="U104" s="64">
        <v>2.7</v>
      </c>
      <c r="V104" s="64">
        <v>0.81994190622427421</v>
      </c>
      <c r="W104" s="66" t="s">
        <v>224</v>
      </c>
      <c r="X104" s="123">
        <v>1.4999999999999999E-2</v>
      </c>
      <c r="Y104" s="122">
        <v>2</v>
      </c>
      <c r="Z104" s="64">
        <v>1.5</v>
      </c>
      <c r="AA104" s="64">
        <v>0.83229669141278118</v>
      </c>
      <c r="AB104" s="64">
        <v>1.0221591759482835</v>
      </c>
      <c r="AC104" s="64">
        <v>5.9276199006970813</v>
      </c>
      <c r="AD104" s="64">
        <v>32.156100271450832</v>
      </c>
      <c r="AF104" s="39">
        <v>94</v>
      </c>
      <c r="AG104" s="252">
        <v>95</v>
      </c>
      <c r="AH104" s="252">
        <v>93</v>
      </c>
      <c r="AI104" s="252">
        <v>0</v>
      </c>
      <c r="AJ104" s="252">
        <v>0</v>
      </c>
      <c r="AK104" s="253">
        <v>376.19960839999982</v>
      </c>
      <c r="AL104" s="253">
        <v>10000</v>
      </c>
      <c r="AM104" s="253">
        <v>10000</v>
      </c>
      <c r="AN104" s="253">
        <v>31.818696721036812</v>
      </c>
      <c r="AO104" s="253">
        <v>15</v>
      </c>
      <c r="AP104" s="253">
        <v>15</v>
      </c>
      <c r="AQ104" s="253">
        <v>0.75783879915385177</v>
      </c>
      <c r="AR104" s="253">
        <v>0.83229669141278118</v>
      </c>
      <c r="AS104" s="253">
        <v>0.30071581701599237</v>
      </c>
      <c r="AT104" s="253">
        <v>447.45324426056413</v>
      </c>
      <c r="AU104" s="253">
        <v>1.2590372566263397</v>
      </c>
      <c r="AV104" s="253">
        <v>1.2769499098408745</v>
      </c>
      <c r="AW104" s="253">
        <v>1.0221591759482835</v>
      </c>
    </row>
    <row r="105" spans="2:49" ht="14.1" hidden="1" customHeight="1" x14ac:dyDescent="0.25">
      <c r="B105" s="254">
        <v>95</v>
      </c>
      <c r="C105" s="255">
        <v>375.411</v>
      </c>
      <c r="D105" s="256"/>
      <c r="E105" s="255">
        <v>372.95960839999981</v>
      </c>
      <c r="F105" s="74">
        <v>2.4513916000001927</v>
      </c>
      <c r="G105" s="255">
        <v>374.5</v>
      </c>
      <c r="H105" s="255">
        <v>372.63960839999982</v>
      </c>
      <c r="I105" s="74">
        <v>-1.8603916000001846</v>
      </c>
      <c r="J105" s="74">
        <v>40</v>
      </c>
      <c r="K105" s="74">
        <v>0.1</v>
      </c>
      <c r="L105" s="74">
        <v>0.6</v>
      </c>
      <c r="M105" s="74">
        <v>139.43720000000005</v>
      </c>
      <c r="N105" s="74">
        <v>0.41524135516887595</v>
      </c>
      <c r="O105" s="74">
        <v>32.156100271450832</v>
      </c>
      <c r="P105" s="74">
        <v>69.999669148658953</v>
      </c>
      <c r="Q105" s="74">
        <v>0.54200095054550834</v>
      </c>
      <c r="R105" s="74">
        <v>4.3765195887570103</v>
      </c>
      <c r="S105" s="74">
        <v>11939.873918485522</v>
      </c>
      <c r="T105" s="74">
        <v>2.2775000000000034</v>
      </c>
      <c r="U105" s="74">
        <v>0.8</v>
      </c>
      <c r="V105" s="74">
        <v>0.82054333063250506</v>
      </c>
      <c r="W105" s="99" t="s">
        <v>224</v>
      </c>
      <c r="X105" s="255">
        <v>1.4999999999999999E-2</v>
      </c>
      <c r="Y105" s="254">
        <v>2</v>
      </c>
      <c r="Z105" s="74">
        <v>1.5</v>
      </c>
      <c r="AA105" s="74">
        <v>1.4368036601213039</v>
      </c>
      <c r="AB105" s="74">
        <v>1.0222759883332231</v>
      </c>
      <c r="AC105" s="74">
        <v>3.4279777805720166</v>
      </c>
      <c r="AD105" s="74">
        <v>32.350578389262736</v>
      </c>
      <c r="AF105" s="39">
        <v>95</v>
      </c>
      <c r="AG105" s="252">
        <v>0</v>
      </c>
      <c r="AH105" s="252">
        <v>94</v>
      </c>
      <c r="AI105" s="252">
        <v>0</v>
      </c>
      <c r="AJ105" s="252">
        <v>0</v>
      </c>
      <c r="AK105" s="253">
        <v>372.95960839999981</v>
      </c>
      <c r="AL105" s="253">
        <v>10000</v>
      </c>
      <c r="AM105" s="253">
        <v>10000</v>
      </c>
      <c r="AN105" s="253">
        <v>32.156100271450832</v>
      </c>
      <c r="AO105" s="253">
        <v>15</v>
      </c>
      <c r="AP105" s="253">
        <v>15</v>
      </c>
      <c r="AQ105" s="253">
        <v>1.0161727853385887</v>
      </c>
      <c r="AR105" s="253">
        <v>1.2899874895877901</v>
      </c>
      <c r="AS105" s="253">
        <v>1.4368036601213039</v>
      </c>
      <c r="AT105" s="253">
        <v>774.01473552616073</v>
      </c>
      <c r="AU105" s="253">
        <v>1.2592730077867784</v>
      </c>
      <c r="AV105" s="253">
        <v>1.2771914499194592</v>
      </c>
      <c r="AW105" s="253">
        <v>1.0222759883332231</v>
      </c>
    </row>
  </sheetData>
  <mergeCells count="37">
    <mergeCell ref="AN7:AP8"/>
    <mergeCell ref="AQ7:AS7"/>
    <mergeCell ref="AU7:AW7"/>
    <mergeCell ref="AT7:AT8"/>
    <mergeCell ref="AG7:AJ7"/>
    <mergeCell ref="AG8:AG9"/>
    <mergeCell ref="AH8:AJ8"/>
    <mergeCell ref="AK7:AM8"/>
    <mergeCell ref="N7:N9"/>
    <mergeCell ref="O7:O9"/>
    <mergeCell ref="B7:B9"/>
    <mergeCell ref="C8:F8"/>
    <mergeCell ref="C7:I7"/>
    <mergeCell ref="G8:I8"/>
    <mergeCell ref="J7:J9"/>
    <mergeCell ref="AA1:AD1"/>
    <mergeCell ref="AA2:AD2"/>
    <mergeCell ref="K3:Z4"/>
    <mergeCell ref="W7:Z7"/>
    <mergeCell ref="W8:W9"/>
    <mergeCell ref="X8:X9"/>
    <mergeCell ref="Y8:Y9"/>
    <mergeCell ref="R7:R9"/>
    <mergeCell ref="S7:S9"/>
    <mergeCell ref="T7:V7"/>
    <mergeCell ref="T8:T9"/>
    <mergeCell ref="U8:V8"/>
    <mergeCell ref="K7:L7"/>
    <mergeCell ref="K8:K9"/>
    <mergeCell ref="L8:L9"/>
    <mergeCell ref="M7:M9"/>
    <mergeCell ref="P7:P9"/>
    <mergeCell ref="Q7:Q9"/>
    <mergeCell ref="AD7:AD9"/>
    <mergeCell ref="AC7:AC9"/>
    <mergeCell ref="AA7:AB8"/>
    <mergeCell ref="Z8:Z9"/>
  </mergeCells>
  <printOptions horizontalCentered="1"/>
  <pageMargins left="0.59055118110236227" right="0.39370078740157483" top="0.39370078740157483" bottom="0.98425196850393704" header="0.31496062992125984" footer="0.31496062992125984"/>
  <pageSetup paperSize="8" scale="72"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sheetPr>
  <dimension ref="B1:Q81"/>
  <sheetViews>
    <sheetView showGridLines="0" view="pageBreakPreview" zoomScaleSheetLayoutView="100" workbookViewId="0">
      <pane ySplit="8" topLeftCell="A12" activePane="bottomLeft" state="frozen"/>
      <selection activeCell="K117" sqref="K117"/>
      <selection pane="bottomLeft" activeCell="B2" sqref="B2"/>
    </sheetView>
  </sheetViews>
  <sheetFormatPr defaultRowHeight="12.75" x14ac:dyDescent="0.25"/>
  <cols>
    <col min="1" max="1" width="1.7109375" style="221" customWidth="1"/>
    <col min="2" max="2" width="11.7109375" style="221" customWidth="1"/>
    <col min="3" max="3" width="15.7109375" style="221" customWidth="1"/>
    <col min="4" max="4" width="25.7109375" style="221" customWidth="1"/>
    <col min="5" max="5" width="7.7109375" style="221" customWidth="1"/>
    <col min="6" max="6" width="1.7109375" style="221" customWidth="1"/>
    <col min="7" max="13" width="8.7109375" style="221" customWidth="1"/>
    <col min="14" max="14" width="1.7109375" style="221" customWidth="1"/>
    <col min="15" max="15" width="9.7109375" style="221" customWidth="1"/>
    <col min="16" max="16" width="1.7109375" style="221" customWidth="1"/>
    <col min="17" max="17" width="10.7109375" style="221" customWidth="1"/>
    <col min="18" max="16384" width="9.140625" style="221"/>
  </cols>
  <sheetData>
    <row r="1" spans="2:17" ht="5.0999999999999996" customHeight="1" x14ac:dyDescent="0.25"/>
    <row r="2" spans="2:17" ht="14.1" customHeight="1" x14ac:dyDescent="0.2">
      <c r="B2" s="102" t="str">
        <f>DADOS!$B$3</f>
        <v>CLIENTE:</v>
      </c>
      <c r="C2" s="80" t="str">
        <f>DADOS!$C$3</f>
        <v>PREFEITURA MUNICIPAL DE APARECIDA DO TABOADO / MS</v>
      </c>
      <c r="D2" s="6"/>
      <c r="E2" s="6"/>
      <c r="F2" s="6"/>
      <c r="G2" s="245"/>
      <c r="H2" s="245"/>
      <c r="I2" s="245"/>
      <c r="J2" s="245"/>
      <c r="K2" s="245"/>
      <c r="L2" s="245"/>
      <c r="M2" s="245"/>
      <c r="N2" s="245"/>
      <c r="O2" s="245"/>
      <c r="P2" s="245"/>
      <c r="Q2" s="246"/>
    </row>
    <row r="3" spans="2:17" ht="14.1" customHeight="1" x14ac:dyDescent="0.2">
      <c r="B3" s="103" t="str">
        <f>DADOS!$B$4</f>
        <v>ENDEREÇO:</v>
      </c>
      <c r="C3" s="81" t="str">
        <f>DADOS!$C$4</f>
        <v>RUA ELIAS TOLENTINO DE ALMEIDA, Nº 4.098 - JD. SÃO BENTO</v>
      </c>
      <c r="D3" s="3"/>
      <c r="E3" s="1"/>
      <c r="F3" s="1"/>
      <c r="Q3" s="247"/>
    </row>
    <row r="4" spans="2:17" ht="14.1" customHeight="1" x14ac:dyDescent="0.2">
      <c r="B4" s="82"/>
      <c r="C4" s="81"/>
      <c r="D4" s="3"/>
      <c r="E4" s="1"/>
      <c r="F4" s="1"/>
      <c r="Q4" s="247"/>
    </row>
    <row r="5" spans="2:17" ht="14.1" customHeight="1" x14ac:dyDescent="0.2">
      <c r="B5" s="103" t="str">
        <f>DADOS!$B$7</f>
        <v>OBRA:</v>
      </c>
      <c r="C5" s="81" t="str">
        <f>DADOS!$C$7</f>
        <v>PAVIMENTAÇÃO ASFÁLTICA E DRENAGEM DE ÁGUAS PLUVIAIS</v>
      </c>
      <c r="D5" s="3"/>
      <c r="E5" s="1"/>
      <c r="F5" s="1"/>
      <c r="Q5" s="247"/>
    </row>
    <row r="6" spans="2:17" ht="14.1" customHeight="1" x14ac:dyDescent="0.2">
      <c r="B6" s="83" t="str">
        <f>DADOS!$B$8</f>
        <v>LOCAL:</v>
      </c>
      <c r="C6" s="84" t="str">
        <f>DADOS!$C$8</f>
        <v>DIVERSAS RUAS NO BAIRRO PRIMAVERA, APARECIDA DO TABOADO / MS</v>
      </c>
      <c r="D6" s="7"/>
      <c r="E6" s="8"/>
      <c r="F6" s="8"/>
      <c r="G6" s="248"/>
      <c r="H6" s="248"/>
      <c r="I6" s="248"/>
      <c r="J6" s="248"/>
      <c r="K6" s="248"/>
      <c r="L6" s="248"/>
      <c r="M6" s="248"/>
      <c r="N6" s="248"/>
      <c r="O6" s="248"/>
      <c r="P6" s="248"/>
      <c r="Q6" s="249"/>
    </row>
    <row r="7" spans="2:17" ht="5.0999999999999996" customHeight="1" x14ac:dyDescent="0.25"/>
    <row r="8" spans="2:17" ht="30" customHeight="1" x14ac:dyDescent="0.25">
      <c r="B8" s="353" t="s">
        <v>115</v>
      </c>
      <c r="C8" s="354"/>
      <c r="D8" s="354"/>
      <c r="E8" s="349"/>
      <c r="F8" s="12"/>
      <c r="G8" s="258" t="s">
        <v>592</v>
      </c>
      <c r="H8" s="258" t="s">
        <v>608</v>
      </c>
      <c r="I8" s="258" t="s">
        <v>610</v>
      </c>
      <c r="J8" s="258" t="s">
        <v>609</v>
      </c>
      <c r="K8" s="17">
        <f>'Dre-Dim'!B40</f>
        <v>30</v>
      </c>
      <c r="L8" s="17">
        <f>'Dre-Dim'!B41</f>
        <v>31</v>
      </c>
      <c r="M8" s="258" t="s">
        <v>593</v>
      </c>
      <c r="N8" s="12"/>
      <c r="O8" s="14" t="s">
        <v>114</v>
      </c>
      <c r="P8" s="12"/>
      <c r="Q8" s="13" t="s">
        <v>5</v>
      </c>
    </row>
    <row r="9" spans="2:17" ht="5.0999999999999996" customHeight="1" x14ac:dyDescent="0.25">
      <c r="C9" s="11"/>
      <c r="D9" s="11"/>
      <c r="E9" s="11"/>
      <c r="F9" s="11"/>
      <c r="G9" s="11"/>
      <c r="H9" s="11"/>
      <c r="I9" s="11"/>
      <c r="J9" s="11"/>
      <c r="K9" s="11"/>
      <c r="L9" s="11"/>
      <c r="M9" s="11"/>
      <c r="N9" s="11"/>
      <c r="O9" s="11"/>
      <c r="P9" s="11"/>
      <c r="Q9" s="11"/>
    </row>
    <row r="10" spans="2:17" ht="14.1" customHeight="1" x14ac:dyDescent="0.25">
      <c r="B10" s="350" t="s">
        <v>172</v>
      </c>
      <c r="C10" s="349" t="s">
        <v>116</v>
      </c>
      <c r="D10" s="341"/>
      <c r="E10" s="341"/>
      <c r="F10" s="11"/>
      <c r="G10" s="27">
        <v>40</v>
      </c>
      <c r="H10" s="27">
        <v>46</v>
      </c>
      <c r="I10" s="27">
        <v>10</v>
      </c>
      <c r="J10" s="27">
        <v>33</v>
      </c>
      <c r="K10" s="27">
        <f>'Dre-Dim'!J40</f>
        <v>75.44</v>
      </c>
      <c r="L10" s="27">
        <f>'Dre-Dim'!J41</f>
        <v>77.47</v>
      </c>
      <c r="M10" s="27">
        <v>38.89</v>
      </c>
      <c r="N10" s="11"/>
      <c r="O10" s="27">
        <f>'Dre-Disp. Estruturais'!$O$23</f>
        <v>690</v>
      </c>
      <c r="P10" s="11"/>
      <c r="Q10" s="19">
        <f>SUM(F10:P10)</f>
        <v>1010.8</v>
      </c>
    </row>
    <row r="11" spans="2:17" ht="14.1" customHeight="1" x14ac:dyDescent="0.25">
      <c r="B11" s="351"/>
      <c r="C11" s="349" t="s">
        <v>117</v>
      </c>
      <c r="D11" s="341"/>
      <c r="E11" s="341"/>
      <c r="F11" s="11"/>
      <c r="G11" s="27">
        <f>'Dre-Dim'!Z15</f>
        <v>0.8</v>
      </c>
      <c r="H11" s="27">
        <f>'Dre-Dim'!Z17</f>
        <v>0.8</v>
      </c>
      <c r="I11" s="27">
        <f>'Dre-Dim'!Z18</f>
        <v>1</v>
      </c>
      <c r="J11" s="27">
        <f>'Dre-Dim'!Z39</f>
        <v>0.6</v>
      </c>
      <c r="K11" s="27">
        <f>'Dre-Dim'!Z40</f>
        <v>0.6</v>
      </c>
      <c r="L11" s="27">
        <f>'Dre-Dim'!Z41</f>
        <v>0.8</v>
      </c>
      <c r="M11" s="27">
        <f>'Dre-Dim'!Z42</f>
        <v>0.8</v>
      </c>
      <c r="N11" s="11"/>
      <c r="O11" s="27">
        <v>0.4</v>
      </c>
      <c r="P11" s="11"/>
      <c r="Q11" s="22"/>
    </row>
    <row r="12" spans="2:17" ht="14.1" customHeight="1" x14ac:dyDescent="0.25">
      <c r="B12" s="351"/>
      <c r="C12" s="349" t="s">
        <v>118</v>
      </c>
      <c r="D12" s="341"/>
      <c r="E12" s="341"/>
      <c r="F12" s="11"/>
      <c r="G12" s="25">
        <f>'Dre-Dim'!Y15</f>
        <v>1</v>
      </c>
      <c r="H12" s="25">
        <f>'Dre-Dim'!Y17</f>
        <v>1</v>
      </c>
      <c r="I12" s="25">
        <f>'Dre-Dim'!Y18</f>
        <v>1</v>
      </c>
      <c r="J12" s="25">
        <f>'Dre-Dim'!Y39</f>
        <v>1</v>
      </c>
      <c r="K12" s="25">
        <f>'Dre-Dim'!Y40</f>
        <v>1</v>
      </c>
      <c r="L12" s="25">
        <f>'Dre-Dim'!Y41</f>
        <v>1</v>
      </c>
      <c r="M12" s="25">
        <f>'Dre-Dim'!Y42</f>
        <v>1</v>
      </c>
      <c r="N12" s="11"/>
      <c r="O12" s="25">
        <v>1</v>
      </c>
      <c r="P12" s="11"/>
      <c r="Q12" s="23"/>
    </row>
    <row r="13" spans="2:17" ht="14.1" customHeight="1" x14ac:dyDescent="0.25">
      <c r="B13" s="351"/>
      <c r="C13" s="349" t="s">
        <v>562</v>
      </c>
      <c r="D13" s="341"/>
      <c r="E13" s="341"/>
      <c r="F13" s="11"/>
      <c r="G13" s="25" t="str">
        <f>'Dre-Dim'!W15</f>
        <v>C</v>
      </c>
      <c r="H13" s="25" t="str">
        <f>'Dre-Dim'!W17</f>
        <v>C</v>
      </c>
      <c r="I13" s="25" t="str">
        <f>'Dre-Dim'!W18</f>
        <v>C</v>
      </c>
      <c r="J13" s="25" t="str">
        <f>'Dre-Dim'!W39</f>
        <v>C</v>
      </c>
      <c r="K13" s="25" t="str">
        <f>'Dre-Dim'!W40</f>
        <v>C</v>
      </c>
      <c r="L13" s="25" t="str">
        <f>'Dre-Dim'!W41</f>
        <v>C</v>
      </c>
      <c r="M13" s="25" t="str">
        <f>'Dre-Dim'!W42</f>
        <v>C</v>
      </c>
      <c r="N13" s="11"/>
      <c r="O13" s="25" t="s">
        <v>224</v>
      </c>
      <c r="P13" s="11"/>
      <c r="Q13" s="23"/>
    </row>
    <row r="14" spans="2:17" ht="14.1" customHeight="1" x14ac:dyDescent="0.25">
      <c r="B14" s="351"/>
      <c r="C14" s="349" t="s">
        <v>119</v>
      </c>
      <c r="D14" s="341"/>
      <c r="E14" s="341"/>
      <c r="F14" s="11"/>
      <c r="G14" s="15" t="str">
        <f t="shared" ref="G14:M14" si="0">IF(G11&gt;0.7,"PA-1","PS-1")</f>
        <v>PA-1</v>
      </c>
      <c r="H14" s="15" t="str">
        <f t="shared" si="0"/>
        <v>PA-1</v>
      </c>
      <c r="I14" s="15" t="str">
        <f t="shared" si="0"/>
        <v>PA-1</v>
      </c>
      <c r="J14" s="15" t="str">
        <f t="shared" si="0"/>
        <v>PS-1</v>
      </c>
      <c r="K14" s="15" t="str">
        <f t="shared" si="0"/>
        <v>PS-1</v>
      </c>
      <c r="L14" s="15" t="str">
        <f t="shared" si="0"/>
        <v>PA-1</v>
      </c>
      <c r="M14" s="15" t="str">
        <f t="shared" si="0"/>
        <v>PA-1</v>
      </c>
      <c r="N14" s="11"/>
      <c r="O14" s="15" t="str">
        <f>IF(O11&gt;0.7,"PA-1","PS-1")</f>
        <v>PS-1</v>
      </c>
      <c r="P14" s="11"/>
      <c r="Q14" s="23"/>
    </row>
    <row r="15" spans="2:17" ht="14.1" customHeight="1" x14ac:dyDescent="0.25">
      <c r="B15" s="351"/>
      <c r="C15" s="349" t="s">
        <v>120</v>
      </c>
      <c r="D15" s="341" t="s">
        <v>121</v>
      </c>
      <c r="E15" s="341"/>
      <c r="F15" s="11"/>
      <c r="G15" s="27">
        <f>ABS('Dre-Dim'!F15)</f>
        <v>2.2559200000000601</v>
      </c>
      <c r="H15" s="27">
        <f>ABS('Dre-Dim'!F17)</f>
        <v>1.8696199999999976</v>
      </c>
      <c r="I15" s="27">
        <f>ABS('Dre-Dim'!F18)</f>
        <v>2.2721700000000169</v>
      </c>
      <c r="J15" s="27">
        <f>ABS('Dre-Dim'!F39)</f>
        <v>1.5198100000000068</v>
      </c>
      <c r="K15" s="27">
        <f>ABS('Dre-Dim'!F40)</f>
        <v>1.5</v>
      </c>
      <c r="L15" s="27">
        <f>ABS('Dre-Dim'!F41)</f>
        <v>1.6298000000000457</v>
      </c>
      <c r="M15" s="27">
        <f>ABS('Dre-Dim'!F42)</f>
        <v>1.7419450000000438</v>
      </c>
      <c r="N15" s="11"/>
      <c r="O15" s="27">
        <v>1.5</v>
      </c>
      <c r="P15" s="11"/>
      <c r="Q15" s="23"/>
    </row>
    <row r="16" spans="2:17" ht="14.1" customHeight="1" x14ac:dyDescent="0.25">
      <c r="B16" s="351"/>
      <c r="C16" s="349"/>
      <c r="D16" s="341" t="s">
        <v>126</v>
      </c>
      <c r="E16" s="341"/>
      <c r="F16" s="11"/>
      <c r="G16" s="27">
        <f>ABS('Dre-Dim'!I15)</f>
        <v>2.2721700000000169</v>
      </c>
      <c r="H16" s="27">
        <f>ABS('Dre-Dim'!I17)</f>
        <v>1.8192399999999793</v>
      </c>
      <c r="I16" s="27">
        <f>ABS('Dre-Dim'!I18)</f>
        <v>2.1575950000000148</v>
      </c>
      <c r="J16" s="27">
        <f>ABS('Dre-Dim'!I39)</f>
        <v>1.5298000000000229</v>
      </c>
      <c r="K16" s="27">
        <f>ABS('Dre-Dim'!I40)</f>
        <v>1.5274799999999686</v>
      </c>
      <c r="L16" s="27">
        <f>ABS('Dre-Dim'!I41)</f>
        <v>1.7419450000000438</v>
      </c>
      <c r="M16" s="27">
        <f>ABS('Dre-Dim'!I42)</f>
        <v>1.9336150000000316</v>
      </c>
      <c r="N16" s="11"/>
      <c r="O16" s="27">
        <v>1.5</v>
      </c>
      <c r="P16" s="11"/>
      <c r="Q16" s="23"/>
    </row>
    <row r="17" spans="2:17" ht="14.1" customHeight="1" x14ac:dyDescent="0.25">
      <c r="B17" s="351"/>
      <c r="C17" s="349"/>
      <c r="D17" s="341" t="s">
        <v>122</v>
      </c>
      <c r="E17" s="341"/>
      <c r="F17" s="11"/>
      <c r="G17" s="27">
        <f t="shared" ref="G17:M17" si="1">ROUND(((G15+G16)/2),2)</f>
        <v>2.2599999999999998</v>
      </c>
      <c r="H17" s="27">
        <f t="shared" si="1"/>
        <v>1.84</v>
      </c>
      <c r="I17" s="27">
        <f t="shared" si="1"/>
        <v>2.21</v>
      </c>
      <c r="J17" s="27">
        <f t="shared" si="1"/>
        <v>1.52</v>
      </c>
      <c r="K17" s="27">
        <f t="shared" si="1"/>
        <v>1.51</v>
      </c>
      <c r="L17" s="27">
        <f t="shared" si="1"/>
        <v>1.69</v>
      </c>
      <c r="M17" s="27">
        <f t="shared" si="1"/>
        <v>1.84</v>
      </c>
      <c r="N17" s="11"/>
      <c r="O17" s="27">
        <f>ROUND(((O15+O16)/2),2)</f>
        <v>1.5</v>
      </c>
      <c r="P17" s="11"/>
      <c r="Q17" s="23"/>
    </row>
    <row r="18" spans="2:17" ht="14.1" customHeight="1" x14ac:dyDescent="0.25">
      <c r="B18" s="351"/>
      <c r="C18" s="349"/>
      <c r="D18" s="341" t="s">
        <v>123</v>
      </c>
      <c r="E18" s="341"/>
      <c r="F18" s="11"/>
      <c r="G18" s="27">
        <f t="shared" ref="G18:M18" si="2">IF(G11=0,0,IF(G14="PVC",0,G11*0.21))</f>
        <v>0.16800000000000001</v>
      </c>
      <c r="H18" s="27">
        <f t="shared" si="2"/>
        <v>0.16800000000000001</v>
      </c>
      <c r="I18" s="27">
        <f t="shared" si="2"/>
        <v>0.21</v>
      </c>
      <c r="J18" s="27">
        <f t="shared" si="2"/>
        <v>0.126</v>
      </c>
      <c r="K18" s="27">
        <f t="shared" si="2"/>
        <v>0.126</v>
      </c>
      <c r="L18" s="27">
        <f t="shared" si="2"/>
        <v>0.16800000000000001</v>
      </c>
      <c r="M18" s="27">
        <f t="shared" si="2"/>
        <v>0.16800000000000001</v>
      </c>
      <c r="N18" s="11"/>
      <c r="O18" s="27">
        <f>IF(O11=0,0,IF(O14="PVC",0,O11*0.21))</f>
        <v>8.4000000000000005E-2</v>
      </c>
      <c r="P18" s="11"/>
      <c r="Q18" s="23"/>
    </row>
    <row r="19" spans="2:17" ht="14.1" customHeight="1" x14ac:dyDescent="0.25">
      <c r="B19" s="351"/>
      <c r="C19" s="349"/>
      <c r="D19" s="341" t="s">
        <v>108</v>
      </c>
      <c r="E19" s="341"/>
      <c r="F19" s="11"/>
      <c r="G19" s="27">
        <f t="shared" ref="G19:M19" si="3">G52+G54</f>
        <v>0</v>
      </c>
      <c r="H19" s="27">
        <f t="shared" si="3"/>
        <v>0</v>
      </c>
      <c r="I19" s="27">
        <f t="shared" si="3"/>
        <v>0</v>
      </c>
      <c r="J19" s="27">
        <f t="shared" si="3"/>
        <v>0</v>
      </c>
      <c r="K19" s="27">
        <f t="shared" si="3"/>
        <v>0</v>
      </c>
      <c r="L19" s="27">
        <f t="shared" si="3"/>
        <v>0</v>
      </c>
      <c r="M19" s="27">
        <f t="shared" si="3"/>
        <v>0</v>
      </c>
      <c r="N19" s="11"/>
      <c r="O19" s="27">
        <f>O52+O54</f>
        <v>0</v>
      </c>
      <c r="P19" s="11"/>
      <c r="Q19" s="23"/>
    </row>
    <row r="20" spans="2:17" ht="14.1" customHeight="1" x14ac:dyDescent="0.25">
      <c r="B20" s="351"/>
      <c r="C20" s="349"/>
      <c r="D20" s="341" t="s">
        <v>124</v>
      </c>
      <c r="E20" s="341"/>
      <c r="G20" s="27">
        <f t="shared" ref="G20:M20" si="4">G17+G18+G19</f>
        <v>2.4279999999999999</v>
      </c>
      <c r="H20" s="27">
        <f t="shared" si="4"/>
        <v>2.008</v>
      </c>
      <c r="I20" s="27">
        <f t="shared" si="4"/>
        <v>2.42</v>
      </c>
      <c r="J20" s="27">
        <f t="shared" si="4"/>
        <v>1.6459999999999999</v>
      </c>
      <c r="K20" s="27">
        <f t="shared" si="4"/>
        <v>1.6360000000000001</v>
      </c>
      <c r="L20" s="27">
        <f t="shared" si="4"/>
        <v>1.8579999999999999</v>
      </c>
      <c r="M20" s="27">
        <f t="shared" si="4"/>
        <v>2.008</v>
      </c>
      <c r="O20" s="27">
        <f>O17+O18</f>
        <v>1.5840000000000001</v>
      </c>
      <c r="Q20" s="23"/>
    </row>
    <row r="21" spans="2:17" ht="14.1" customHeight="1" x14ac:dyDescent="0.25">
      <c r="B21" s="351"/>
      <c r="C21" s="349" t="s">
        <v>125</v>
      </c>
      <c r="D21" s="341"/>
      <c r="E21" s="341"/>
      <c r="G21" s="25">
        <v>3</v>
      </c>
      <c r="H21" s="25">
        <v>3</v>
      </c>
      <c r="I21" s="25">
        <v>3</v>
      </c>
      <c r="J21" s="25">
        <v>3</v>
      </c>
      <c r="K21" s="25">
        <v>3</v>
      </c>
      <c r="L21" s="25">
        <v>3</v>
      </c>
      <c r="M21" s="25">
        <v>3</v>
      </c>
      <c r="O21" s="25">
        <v>3</v>
      </c>
      <c r="Q21" s="24"/>
    </row>
    <row r="22" spans="2:17" ht="5.0999999999999996" customHeight="1" x14ac:dyDescent="0.25">
      <c r="B22" s="351"/>
    </row>
    <row r="23" spans="2:17" ht="14.1" customHeight="1" x14ac:dyDescent="0.25">
      <c r="B23" s="351"/>
      <c r="C23" s="349" t="s">
        <v>127</v>
      </c>
      <c r="D23" s="341" t="s">
        <v>130</v>
      </c>
      <c r="E23" s="341"/>
      <c r="F23" s="11"/>
      <c r="G23" s="27">
        <f t="shared" ref="G23:M23" si="5">IF(G16&lt;=4.5,IF(G14="PVC",0.4*2+G11*IF(G12=1,1,IF(G12=2,3,5)),G11*IF(G12=1,2,IF(G12=2,3.5,5))),0)</f>
        <v>1.6</v>
      </c>
      <c r="H23" s="27">
        <f t="shared" si="5"/>
        <v>1.6</v>
      </c>
      <c r="I23" s="27">
        <f t="shared" si="5"/>
        <v>2</v>
      </c>
      <c r="J23" s="27">
        <f t="shared" si="5"/>
        <v>1.2</v>
      </c>
      <c r="K23" s="27">
        <f t="shared" si="5"/>
        <v>1.2</v>
      </c>
      <c r="L23" s="27">
        <f t="shared" si="5"/>
        <v>1.6</v>
      </c>
      <c r="M23" s="27">
        <f t="shared" si="5"/>
        <v>1.6</v>
      </c>
      <c r="N23" s="11"/>
      <c r="O23" s="27">
        <f>IF(O16&lt;=4.5,IF(O14="PVC",0.4*2+O11*IF(O12=1,1,IF(O12=2,3,5)),O11*IF(O12=1,2,IF(O12=2,3.5,5))),0)</f>
        <v>0.8</v>
      </c>
      <c r="P23" s="11"/>
      <c r="Q23" s="22"/>
    </row>
    <row r="24" spans="2:17" ht="14.1" customHeight="1" x14ac:dyDescent="0.25">
      <c r="B24" s="351"/>
      <c r="C24" s="349"/>
      <c r="D24" s="341" t="s">
        <v>131</v>
      </c>
      <c r="E24" s="341"/>
      <c r="F24" s="11"/>
      <c r="G24" s="27">
        <f t="shared" ref="G24:M24" si="6">IF(G23=0,IF(G14="PVC",0.8*2+G11*IF(G12=1,1,IF(G12=2,3,5)),G11*IF(G12=1,3,IF(G12=2,4.5,6))),0)</f>
        <v>0</v>
      </c>
      <c r="H24" s="27">
        <f t="shared" si="6"/>
        <v>0</v>
      </c>
      <c r="I24" s="27">
        <f t="shared" si="6"/>
        <v>0</v>
      </c>
      <c r="J24" s="27">
        <f t="shared" si="6"/>
        <v>0</v>
      </c>
      <c r="K24" s="27">
        <f t="shared" si="6"/>
        <v>0</v>
      </c>
      <c r="L24" s="27">
        <f t="shared" si="6"/>
        <v>0</v>
      </c>
      <c r="M24" s="27">
        <f t="shared" si="6"/>
        <v>0</v>
      </c>
      <c r="N24" s="11"/>
      <c r="O24" s="27">
        <f>IF(O23=0,IF(O14="PVC",0.8*2+O11*IF(O12=1,1,IF(O12=2,3,5)),O11*IF(O12=1,3,IF(O12=2,4.5,6))),0)</f>
        <v>0</v>
      </c>
      <c r="P24" s="11"/>
      <c r="Q24" s="23"/>
    </row>
    <row r="25" spans="2:17" ht="14.1" customHeight="1" x14ac:dyDescent="0.25">
      <c r="B25" s="351"/>
      <c r="C25" s="349"/>
      <c r="D25" s="341" t="s">
        <v>132</v>
      </c>
      <c r="E25" s="341"/>
      <c r="F25" s="11"/>
      <c r="G25" s="27">
        <f t="shared" ref="G25:M25" si="7">IF(G21="V",G23+G24,G23+G24+G29/G21*2)</f>
        <v>3.2186666666666666</v>
      </c>
      <c r="H25" s="27">
        <f t="shared" si="7"/>
        <v>2.9386666666666668</v>
      </c>
      <c r="I25" s="27">
        <f t="shared" si="7"/>
        <v>3.6133333333333333</v>
      </c>
      <c r="J25" s="27">
        <f t="shared" si="7"/>
        <v>2.2973333333333334</v>
      </c>
      <c r="K25" s="27">
        <f t="shared" si="7"/>
        <v>2.2906666666666666</v>
      </c>
      <c r="L25" s="27">
        <f t="shared" si="7"/>
        <v>2.8386666666666667</v>
      </c>
      <c r="M25" s="27">
        <f t="shared" si="7"/>
        <v>2.9386666666666668</v>
      </c>
      <c r="N25" s="11"/>
      <c r="O25" s="27">
        <f>IF(O21="V",O23+O24,O23+O24+O29/O21*2)</f>
        <v>1.8560000000000001</v>
      </c>
      <c r="P25" s="11"/>
      <c r="Q25" s="23"/>
    </row>
    <row r="26" spans="2:17" ht="14.1" customHeight="1" x14ac:dyDescent="0.25">
      <c r="B26" s="351"/>
      <c r="C26" s="349"/>
      <c r="D26" s="341" t="s">
        <v>129</v>
      </c>
      <c r="E26" s="341"/>
      <c r="G26" s="27">
        <f t="shared" ref="G26:M26" si="8">IF(G21="V",G23+G24,G20/G21*2+G23+G24)</f>
        <v>3.2186666666666666</v>
      </c>
      <c r="H26" s="27">
        <f t="shared" si="8"/>
        <v>2.9386666666666668</v>
      </c>
      <c r="I26" s="27">
        <f t="shared" si="8"/>
        <v>3.6133333333333333</v>
      </c>
      <c r="J26" s="27">
        <f t="shared" si="8"/>
        <v>2.2973333333333334</v>
      </c>
      <c r="K26" s="27">
        <f t="shared" si="8"/>
        <v>2.2906666666666666</v>
      </c>
      <c r="L26" s="27">
        <f t="shared" si="8"/>
        <v>2.8386666666666667</v>
      </c>
      <c r="M26" s="27">
        <f t="shared" si="8"/>
        <v>2.9386666666666668</v>
      </c>
      <c r="O26" s="27">
        <f>IF(O21="V",O23+O24,O20/O21*2+O23+O24)</f>
        <v>1.8560000000000001</v>
      </c>
      <c r="Q26" s="23"/>
    </row>
    <row r="27" spans="2:17" ht="14.1" customHeight="1" x14ac:dyDescent="0.25">
      <c r="B27" s="351"/>
      <c r="C27" s="349" t="s">
        <v>128</v>
      </c>
      <c r="D27" s="341"/>
      <c r="E27" s="341"/>
      <c r="G27" s="27">
        <f t="shared" ref="G27:M27" si="9">ROUND(((PI()*(G11*1.2)^2/4)*G12),2)</f>
        <v>0.72</v>
      </c>
      <c r="H27" s="27">
        <f t="shared" si="9"/>
        <v>0.72</v>
      </c>
      <c r="I27" s="27">
        <f t="shared" si="9"/>
        <v>1.1299999999999999</v>
      </c>
      <c r="J27" s="27">
        <f t="shared" si="9"/>
        <v>0.41</v>
      </c>
      <c r="K27" s="27">
        <f t="shared" si="9"/>
        <v>0.41</v>
      </c>
      <c r="L27" s="27">
        <f t="shared" si="9"/>
        <v>0.72</v>
      </c>
      <c r="M27" s="27">
        <f t="shared" si="9"/>
        <v>0.72</v>
      </c>
      <c r="O27" s="27">
        <f>ROUND(((PI()*(O11*1.2)^2/4)*O12),2)</f>
        <v>0.18</v>
      </c>
      <c r="Q27" s="24"/>
    </row>
    <row r="28" spans="2:17" ht="5.0999999999999996" hidden="1" customHeight="1" x14ac:dyDescent="0.25">
      <c r="B28" s="351"/>
    </row>
    <row r="29" spans="2:17" ht="15" hidden="1" customHeight="1" x14ac:dyDescent="0.25">
      <c r="B29" s="351"/>
      <c r="C29" s="244" t="s">
        <v>559</v>
      </c>
      <c r="D29" s="348" t="s">
        <v>132</v>
      </c>
      <c r="E29" s="348"/>
      <c r="F29" s="11"/>
      <c r="G29" s="28">
        <f t="shared" ref="G29:M29" si="10">G20</f>
        <v>2.4279999999999999</v>
      </c>
      <c r="H29" s="28">
        <f t="shared" si="10"/>
        <v>2.008</v>
      </c>
      <c r="I29" s="28">
        <f t="shared" si="10"/>
        <v>2.42</v>
      </c>
      <c r="J29" s="28">
        <f t="shared" si="10"/>
        <v>1.6459999999999999</v>
      </c>
      <c r="K29" s="28">
        <f t="shared" si="10"/>
        <v>1.6360000000000001</v>
      </c>
      <c r="L29" s="28">
        <f t="shared" si="10"/>
        <v>1.8579999999999999</v>
      </c>
      <c r="M29" s="28">
        <f t="shared" si="10"/>
        <v>2.008</v>
      </c>
      <c r="N29" s="11"/>
      <c r="O29" s="28">
        <f>O20</f>
        <v>1.5840000000000001</v>
      </c>
      <c r="P29" s="11"/>
      <c r="Q29" s="20"/>
    </row>
    <row r="30" spans="2:17" ht="15" hidden="1" customHeight="1" x14ac:dyDescent="0.25">
      <c r="B30" s="351"/>
      <c r="C30" s="355" t="s">
        <v>137</v>
      </c>
      <c r="D30" s="348" t="s">
        <v>134</v>
      </c>
      <c r="E30" s="348"/>
      <c r="F30" s="11"/>
      <c r="G30" s="28">
        <f t="shared" ref="G30:M30" si="11">IF(G33+G32+G31&gt;0,0,IF(G20&gt;0,G20,0))</f>
        <v>0</v>
      </c>
      <c r="H30" s="28">
        <f t="shared" si="11"/>
        <v>0</v>
      </c>
      <c r="I30" s="28">
        <f t="shared" si="11"/>
        <v>0</v>
      </c>
      <c r="J30" s="28">
        <f t="shared" si="11"/>
        <v>0</v>
      </c>
      <c r="K30" s="28">
        <f t="shared" si="11"/>
        <v>0</v>
      </c>
      <c r="L30" s="28">
        <f t="shared" si="11"/>
        <v>0</v>
      </c>
      <c r="M30" s="28">
        <f t="shared" si="11"/>
        <v>0</v>
      </c>
      <c r="N30" s="11"/>
      <c r="O30" s="28">
        <f>IF(O33+O32+O31&gt;0,0,IF(O20&gt;0,O20,0))</f>
        <v>0</v>
      </c>
      <c r="P30" s="11"/>
      <c r="Q30" s="20"/>
    </row>
    <row r="31" spans="2:17" ht="15" hidden="1" customHeight="1" x14ac:dyDescent="0.25">
      <c r="B31" s="351"/>
      <c r="C31" s="355"/>
      <c r="D31" s="348" t="s">
        <v>133</v>
      </c>
      <c r="E31" s="348"/>
      <c r="F31" s="11"/>
      <c r="G31" s="28">
        <f t="shared" ref="G31:M31" si="12">IF(G33+G32&gt;0,0,IF(G20&gt;1.5,G20,0))</f>
        <v>2.4279999999999999</v>
      </c>
      <c r="H31" s="28">
        <f t="shared" si="12"/>
        <v>2.008</v>
      </c>
      <c r="I31" s="28">
        <f t="shared" si="12"/>
        <v>2.42</v>
      </c>
      <c r="J31" s="28">
        <f t="shared" si="12"/>
        <v>1.6459999999999999</v>
      </c>
      <c r="K31" s="28">
        <f t="shared" si="12"/>
        <v>1.6360000000000001</v>
      </c>
      <c r="L31" s="28">
        <f t="shared" si="12"/>
        <v>1.8579999999999999</v>
      </c>
      <c r="M31" s="28">
        <f t="shared" si="12"/>
        <v>2.008</v>
      </c>
      <c r="N31" s="11"/>
      <c r="O31" s="28">
        <f>IF(O33+O32&gt;0,0,IF(O20&gt;1.5,O20,0))</f>
        <v>1.5840000000000001</v>
      </c>
      <c r="P31" s="11"/>
      <c r="Q31" s="20"/>
    </row>
    <row r="32" spans="2:17" ht="15" hidden="1" customHeight="1" x14ac:dyDescent="0.25">
      <c r="B32" s="351"/>
      <c r="C32" s="355"/>
      <c r="D32" s="348" t="s">
        <v>135</v>
      </c>
      <c r="E32" s="348"/>
      <c r="F32" s="11"/>
      <c r="G32" s="28">
        <f t="shared" ref="G32:M32" si="13">IF(G33&gt;0,0,IF(G20&gt;3,G20,0))</f>
        <v>0</v>
      </c>
      <c r="H32" s="28">
        <f t="shared" si="13"/>
        <v>0</v>
      </c>
      <c r="I32" s="28">
        <f t="shared" si="13"/>
        <v>0</v>
      </c>
      <c r="J32" s="28">
        <f t="shared" si="13"/>
        <v>0</v>
      </c>
      <c r="K32" s="28">
        <f t="shared" si="13"/>
        <v>0</v>
      </c>
      <c r="L32" s="28">
        <f t="shared" si="13"/>
        <v>0</v>
      </c>
      <c r="M32" s="28">
        <f t="shared" si="13"/>
        <v>0</v>
      </c>
      <c r="N32" s="11"/>
      <c r="O32" s="28">
        <f>IF(O33&gt;0,0,IF(O20&gt;3,O20,0))</f>
        <v>0</v>
      </c>
      <c r="P32" s="11"/>
      <c r="Q32" s="20"/>
    </row>
    <row r="33" spans="2:17" ht="15" hidden="1" customHeight="1" x14ac:dyDescent="0.25">
      <c r="B33" s="351"/>
      <c r="C33" s="355"/>
      <c r="D33" s="348" t="s">
        <v>136</v>
      </c>
      <c r="E33" s="348"/>
      <c r="G33" s="28">
        <f t="shared" ref="G33:M33" si="14">IF(G20&gt;4.5,G20,0)</f>
        <v>0</v>
      </c>
      <c r="H33" s="28">
        <f t="shared" si="14"/>
        <v>0</v>
      </c>
      <c r="I33" s="28">
        <f t="shared" si="14"/>
        <v>0</v>
      </c>
      <c r="J33" s="28">
        <f t="shared" si="14"/>
        <v>0</v>
      </c>
      <c r="K33" s="28">
        <f t="shared" si="14"/>
        <v>0</v>
      </c>
      <c r="L33" s="28">
        <f t="shared" si="14"/>
        <v>0</v>
      </c>
      <c r="M33" s="28">
        <f t="shared" si="14"/>
        <v>0</v>
      </c>
      <c r="O33" s="28">
        <f>IF(O20&gt;4.5,O20,0)</f>
        <v>0</v>
      </c>
      <c r="Q33" s="20"/>
    </row>
    <row r="34" spans="2:17" ht="15" hidden="1" customHeight="1" x14ac:dyDescent="0.25">
      <c r="B34" s="351"/>
      <c r="C34" s="355" t="s">
        <v>138</v>
      </c>
      <c r="D34" s="348" t="s">
        <v>136</v>
      </c>
      <c r="E34" s="348"/>
      <c r="G34" s="28">
        <f t="shared" ref="G34:M34" si="15">IF(G33=0,0,TRUNC(((G23+G24+G26)/2*G20*G10),2))</f>
        <v>0</v>
      </c>
      <c r="H34" s="28">
        <f t="shared" si="15"/>
        <v>0</v>
      </c>
      <c r="I34" s="28">
        <f t="shared" si="15"/>
        <v>0</v>
      </c>
      <c r="J34" s="28">
        <f t="shared" si="15"/>
        <v>0</v>
      </c>
      <c r="K34" s="28">
        <f t="shared" si="15"/>
        <v>0</v>
      </c>
      <c r="L34" s="28">
        <f t="shared" si="15"/>
        <v>0</v>
      </c>
      <c r="M34" s="28">
        <f t="shared" si="15"/>
        <v>0</v>
      </c>
      <c r="O34" s="28">
        <f>IF(O33=0,0,TRUNC(((O23+O24+O26)/2*O20*O10),2))</f>
        <v>0</v>
      </c>
      <c r="Q34" s="20"/>
    </row>
    <row r="35" spans="2:17" ht="15" hidden="1" customHeight="1" x14ac:dyDescent="0.25">
      <c r="B35" s="351"/>
      <c r="C35" s="355"/>
      <c r="D35" s="348" t="s">
        <v>135</v>
      </c>
      <c r="E35" s="348"/>
      <c r="G35" s="28">
        <f t="shared" ref="G35:M35" si="16">IF(G32=0,0,TRUNC(((G23+G24+G26)/2*G20*G10),2))</f>
        <v>0</v>
      </c>
      <c r="H35" s="28">
        <f t="shared" si="16"/>
        <v>0</v>
      </c>
      <c r="I35" s="28">
        <f t="shared" si="16"/>
        <v>0</v>
      </c>
      <c r="J35" s="28">
        <f t="shared" si="16"/>
        <v>0</v>
      </c>
      <c r="K35" s="28">
        <f t="shared" si="16"/>
        <v>0</v>
      </c>
      <c r="L35" s="28">
        <f t="shared" si="16"/>
        <v>0</v>
      </c>
      <c r="M35" s="28">
        <f t="shared" si="16"/>
        <v>0</v>
      </c>
      <c r="O35" s="28">
        <f>IF(O32=0,0,TRUNC(((O23+O24+O26)/2*O20*O10),2))</f>
        <v>0</v>
      </c>
      <c r="Q35" s="20"/>
    </row>
    <row r="36" spans="2:17" ht="15" hidden="1" customHeight="1" x14ac:dyDescent="0.25">
      <c r="B36" s="351"/>
      <c r="C36" s="355"/>
      <c r="D36" s="348" t="s">
        <v>133</v>
      </c>
      <c r="E36" s="348"/>
      <c r="G36" s="28">
        <f t="shared" ref="G36:M36" si="17">IF(G31=0,0,TRUNC(((G23+G24+G26)/2*G20*G10),2))</f>
        <v>233.99</v>
      </c>
      <c r="H36" s="28">
        <f t="shared" si="17"/>
        <v>209.61</v>
      </c>
      <c r="I36" s="28">
        <f t="shared" si="17"/>
        <v>67.92</v>
      </c>
      <c r="J36" s="28">
        <f t="shared" si="17"/>
        <v>94.98</v>
      </c>
      <c r="K36" s="28">
        <f t="shared" si="17"/>
        <v>215.4</v>
      </c>
      <c r="L36" s="28">
        <f t="shared" si="17"/>
        <v>319.44</v>
      </c>
      <c r="M36" s="28">
        <f t="shared" si="17"/>
        <v>177.21</v>
      </c>
      <c r="O36" s="28">
        <f>IF(O31=0,0,TRUNC(((O23+O24+O26)/2*O20*O10),2))</f>
        <v>1451.45</v>
      </c>
      <c r="Q36" s="20"/>
    </row>
    <row r="37" spans="2:17" ht="15" hidden="1" customHeight="1" x14ac:dyDescent="0.25">
      <c r="B37" s="351"/>
      <c r="C37" s="355"/>
      <c r="D37" s="348" t="s">
        <v>134</v>
      </c>
      <c r="E37" s="348"/>
      <c r="G37" s="28">
        <f t="shared" ref="G37:M37" si="18">IF(G30=0,0,TRUNC(((G23+G24+G26)/2*G20*G10),2))</f>
        <v>0</v>
      </c>
      <c r="H37" s="28">
        <f t="shared" si="18"/>
        <v>0</v>
      </c>
      <c r="I37" s="28">
        <f t="shared" si="18"/>
        <v>0</v>
      </c>
      <c r="J37" s="28">
        <f t="shared" si="18"/>
        <v>0</v>
      </c>
      <c r="K37" s="28">
        <f t="shared" si="18"/>
        <v>0</v>
      </c>
      <c r="L37" s="28">
        <f t="shared" si="18"/>
        <v>0</v>
      </c>
      <c r="M37" s="28">
        <f t="shared" si="18"/>
        <v>0</v>
      </c>
      <c r="O37" s="28">
        <f>IF(O30=0,0,TRUNC(((O23+O24+O26)/2*O20*O10),2))</f>
        <v>0</v>
      </c>
      <c r="Q37" s="21"/>
    </row>
    <row r="38" spans="2:17" ht="5.0999999999999996" customHeight="1" x14ac:dyDescent="0.25">
      <c r="B38" s="351"/>
    </row>
    <row r="39" spans="2:17" ht="14.1" customHeight="1" x14ac:dyDescent="0.25">
      <c r="B39" s="351"/>
      <c r="C39" s="349" t="s">
        <v>139</v>
      </c>
      <c r="D39" s="341"/>
      <c r="E39" s="341"/>
      <c r="G39" s="27">
        <f t="shared" ref="G39:M39" si="19">SUM(G40:G50)</f>
        <v>233.98</v>
      </c>
      <c r="H39" s="27">
        <f t="shared" si="19"/>
        <v>209.6</v>
      </c>
      <c r="I39" s="27">
        <f t="shared" si="19"/>
        <v>67.91</v>
      </c>
      <c r="J39" s="27">
        <f t="shared" si="19"/>
        <v>94.97</v>
      </c>
      <c r="K39" s="27">
        <f t="shared" si="19"/>
        <v>215.4</v>
      </c>
      <c r="L39" s="27">
        <f t="shared" si="19"/>
        <v>319.43</v>
      </c>
      <c r="M39" s="27">
        <f t="shared" si="19"/>
        <v>177.2</v>
      </c>
      <c r="O39" s="27">
        <f>SUM(O40:O50)</f>
        <v>1451.4399999999998</v>
      </c>
      <c r="Q39" s="19">
        <f t="shared" ref="Q39:Q50" si="20">SUM(F39:P39)</f>
        <v>2769.93</v>
      </c>
    </row>
    <row r="40" spans="2:17" ht="14.1" hidden="1" customHeight="1" x14ac:dyDescent="0.25">
      <c r="B40" s="351"/>
      <c r="C40" s="349" t="s">
        <v>141</v>
      </c>
      <c r="D40" s="341" t="s">
        <v>142</v>
      </c>
      <c r="E40" s="341"/>
      <c r="G40" s="27">
        <f t="shared" ref="G40:M40" si="21">IF(G30=0,0,IF(G26&lt;=0.8,TRUNC((G37*95%),2),0))</f>
        <v>0</v>
      </c>
      <c r="H40" s="27">
        <f t="shared" si="21"/>
        <v>0</v>
      </c>
      <c r="I40" s="27">
        <f t="shared" si="21"/>
        <v>0</v>
      </c>
      <c r="J40" s="27">
        <f t="shared" si="21"/>
        <v>0</v>
      </c>
      <c r="K40" s="27">
        <f t="shared" si="21"/>
        <v>0</v>
      </c>
      <c r="L40" s="27">
        <f t="shared" si="21"/>
        <v>0</v>
      </c>
      <c r="M40" s="27">
        <f t="shared" si="21"/>
        <v>0</v>
      </c>
      <c r="O40" s="27">
        <f>IF(O30=0,0,IF(O26&lt;=0.8,TRUNC((O37*95%),2),0))</f>
        <v>0</v>
      </c>
      <c r="Q40" s="19">
        <f t="shared" si="20"/>
        <v>0</v>
      </c>
    </row>
    <row r="41" spans="2:17" ht="14.1" hidden="1" customHeight="1" x14ac:dyDescent="0.25">
      <c r="B41" s="351"/>
      <c r="C41" s="349"/>
      <c r="D41" s="341" t="s">
        <v>143</v>
      </c>
      <c r="E41" s="341"/>
      <c r="G41" s="27">
        <f t="shared" ref="G41:M41" si="22">IF(G30=0,0,IF(G40+G42=0,TRUNC((G37*95%),2),0))</f>
        <v>0</v>
      </c>
      <c r="H41" s="27">
        <f t="shared" si="22"/>
        <v>0</v>
      </c>
      <c r="I41" s="27">
        <f t="shared" si="22"/>
        <v>0</v>
      </c>
      <c r="J41" s="27">
        <f t="shared" si="22"/>
        <v>0</v>
      </c>
      <c r="K41" s="27">
        <f t="shared" si="22"/>
        <v>0</v>
      </c>
      <c r="L41" s="27">
        <f t="shared" si="22"/>
        <v>0</v>
      </c>
      <c r="M41" s="27">
        <f t="shared" si="22"/>
        <v>0</v>
      </c>
      <c r="O41" s="27">
        <f>IF(O30=0,0,IF(O40+O42=0,TRUNC((O37*95%),2),0))</f>
        <v>0</v>
      </c>
      <c r="Q41" s="19">
        <f t="shared" si="20"/>
        <v>0</v>
      </c>
    </row>
    <row r="42" spans="2:17" ht="14.1" hidden="1" customHeight="1" x14ac:dyDescent="0.25">
      <c r="B42" s="351"/>
      <c r="C42" s="349"/>
      <c r="D42" s="341" t="s">
        <v>144</v>
      </c>
      <c r="E42" s="341"/>
      <c r="G42" s="27">
        <f t="shared" ref="G42:M42" si="23">IF(G30=0,0,IF(G26&gt;1.5,TRUNC((G37*95%),2),0))</f>
        <v>0</v>
      </c>
      <c r="H42" s="27">
        <f t="shared" si="23"/>
        <v>0</v>
      </c>
      <c r="I42" s="27">
        <f t="shared" si="23"/>
        <v>0</v>
      </c>
      <c r="J42" s="27">
        <f t="shared" si="23"/>
        <v>0</v>
      </c>
      <c r="K42" s="27">
        <f t="shared" si="23"/>
        <v>0</v>
      </c>
      <c r="L42" s="27">
        <f t="shared" si="23"/>
        <v>0</v>
      </c>
      <c r="M42" s="27">
        <f t="shared" si="23"/>
        <v>0</v>
      </c>
      <c r="O42" s="27">
        <f>IF(O30=0,0,IF(O26&gt;1.5,TRUNC((O37*95%),2),0))</f>
        <v>0</v>
      </c>
      <c r="Q42" s="19">
        <f t="shared" si="20"/>
        <v>0</v>
      </c>
    </row>
    <row r="43" spans="2:17" ht="14.1" hidden="1" customHeight="1" x14ac:dyDescent="0.25">
      <c r="B43" s="351"/>
      <c r="C43" s="349"/>
      <c r="D43" s="341" t="s">
        <v>145</v>
      </c>
      <c r="E43" s="341"/>
      <c r="G43" s="27">
        <f t="shared" ref="G43:M43" si="24">IF(G31=0,0,IF(G26&lt;=0.8,TRUNC((G37*95%),2),0))</f>
        <v>0</v>
      </c>
      <c r="H43" s="27">
        <f t="shared" si="24"/>
        <v>0</v>
      </c>
      <c r="I43" s="27">
        <f t="shared" si="24"/>
        <v>0</v>
      </c>
      <c r="J43" s="27">
        <f t="shared" si="24"/>
        <v>0</v>
      </c>
      <c r="K43" s="27">
        <f t="shared" si="24"/>
        <v>0</v>
      </c>
      <c r="L43" s="27">
        <f t="shared" si="24"/>
        <v>0</v>
      </c>
      <c r="M43" s="27">
        <f t="shared" si="24"/>
        <v>0</v>
      </c>
      <c r="O43" s="27">
        <f>IF(O31=0,0,IF(O26&lt;=0.8,TRUNC((O37*95%),2),0))</f>
        <v>0</v>
      </c>
      <c r="Q43" s="19">
        <f t="shared" si="20"/>
        <v>0</v>
      </c>
    </row>
    <row r="44" spans="2:17" ht="14.1" hidden="1" customHeight="1" x14ac:dyDescent="0.25">
      <c r="B44" s="351"/>
      <c r="C44" s="349"/>
      <c r="D44" s="341" t="s">
        <v>146</v>
      </c>
      <c r="E44" s="341"/>
      <c r="G44" s="27">
        <f t="shared" ref="G44:M44" si="25">IF(G31=0,0,IF(G43+G45=0,TRUNC((G36*95%),2),0))</f>
        <v>0</v>
      </c>
      <c r="H44" s="27">
        <f t="shared" si="25"/>
        <v>0</v>
      </c>
      <c r="I44" s="27">
        <f t="shared" si="25"/>
        <v>0</v>
      </c>
      <c r="J44" s="27">
        <f t="shared" si="25"/>
        <v>0</v>
      </c>
      <c r="K44" s="27">
        <f t="shared" si="25"/>
        <v>0</v>
      </c>
      <c r="L44" s="27">
        <f t="shared" si="25"/>
        <v>0</v>
      </c>
      <c r="M44" s="27">
        <f t="shared" si="25"/>
        <v>0</v>
      </c>
      <c r="O44" s="27">
        <f>IF(O31=0,0,IF(O43+O45=0,TRUNC((O36*95%),2),0))</f>
        <v>0</v>
      </c>
      <c r="Q44" s="19">
        <f t="shared" si="20"/>
        <v>0</v>
      </c>
    </row>
    <row r="45" spans="2:17" ht="27.95" customHeight="1" x14ac:dyDescent="0.25">
      <c r="B45" s="351"/>
      <c r="C45" s="349"/>
      <c r="D45" s="341" t="s">
        <v>147</v>
      </c>
      <c r="E45" s="341"/>
      <c r="G45" s="27">
        <f t="shared" ref="G45:M45" si="26">IF(G31=0,0,IF(G26&gt;1.5,TRUNC((G36*95%),2),0))</f>
        <v>222.29</v>
      </c>
      <c r="H45" s="27">
        <f t="shared" si="26"/>
        <v>199.12</v>
      </c>
      <c r="I45" s="27">
        <f t="shared" si="26"/>
        <v>64.52</v>
      </c>
      <c r="J45" s="27">
        <f t="shared" si="26"/>
        <v>90.23</v>
      </c>
      <c r="K45" s="27">
        <f t="shared" si="26"/>
        <v>204.63</v>
      </c>
      <c r="L45" s="27">
        <f t="shared" si="26"/>
        <v>303.45999999999998</v>
      </c>
      <c r="M45" s="27">
        <f t="shared" si="26"/>
        <v>168.34</v>
      </c>
      <c r="O45" s="27">
        <f>IF(O31=0,0,IF(O26&gt;1.5,TRUNC((O36*95%),2),0))</f>
        <v>1378.87</v>
      </c>
      <c r="Q45" s="19">
        <f t="shared" si="20"/>
        <v>2631.46</v>
      </c>
    </row>
    <row r="46" spans="2:17" ht="14.1" hidden="1" customHeight="1" x14ac:dyDescent="0.25">
      <c r="B46" s="351"/>
      <c r="C46" s="349"/>
      <c r="D46" s="341" t="s">
        <v>149</v>
      </c>
      <c r="E46" s="341"/>
      <c r="G46" s="27">
        <f t="shared" ref="G46:M46" si="27">IF(G32=0,0,IF(G47=0,TRUNC((G35*95%),2),0))</f>
        <v>0</v>
      </c>
      <c r="H46" s="27">
        <f t="shared" si="27"/>
        <v>0</v>
      </c>
      <c r="I46" s="27">
        <f t="shared" si="27"/>
        <v>0</v>
      </c>
      <c r="J46" s="27">
        <f t="shared" si="27"/>
        <v>0</v>
      </c>
      <c r="K46" s="27">
        <f t="shared" si="27"/>
        <v>0</v>
      </c>
      <c r="L46" s="27">
        <f t="shared" si="27"/>
        <v>0</v>
      </c>
      <c r="M46" s="27">
        <f t="shared" si="27"/>
        <v>0</v>
      </c>
      <c r="O46" s="27">
        <f>IF(O32=0,0,IF(O47=0,TRUNC((O35*95%),2),0))</f>
        <v>0</v>
      </c>
      <c r="Q46" s="19">
        <f t="shared" si="20"/>
        <v>0</v>
      </c>
    </row>
    <row r="47" spans="2:17" ht="14.1" hidden="1" customHeight="1" x14ac:dyDescent="0.25">
      <c r="B47" s="351"/>
      <c r="C47" s="349"/>
      <c r="D47" s="341" t="s">
        <v>148</v>
      </c>
      <c r="E47" s="341"/>
      <c r="G47" s="27">
        <f t="shared" ref="G47:M47" si="28">IF(G32=0,0,IF(G26&gt;1.5,TRUNC((G35*95%),2),0))</f>
        <v>0</v>
      </c>
      <c r="H47" s="27">
        <f t="shared" si="28"/>
        <v>0</v>
      </c>
      <c r="I47" s="27">
        <f t="shared" si="28"/>
        <v>0</v>
      </c>
      <c r="J47" s="27">
        <f t="shared" si="28"/>
        <v>0</v>
      </c>
      <c r="K47" s="27">
        <f t="shared" si="28"/>
        <v>0</v>
      </c>
      <c r="L47" s="27">
        <f t="shared" si="28"/>
        <v>0</v>
      </c>
      <c r="M47" s="27">
        <f t="shared" si="28"/>
        <v>0</v>
      </c>
      <c r="O47" s="27">
        <f>IF(O32=0,0,IF(O26&gt;1.5,TRUNC((O35*95%),2),0))</f>
        <v>0</v>
      </c>
      <c r="Q47" s="19">
        <f t="shared" si="20"/>
        <v>0</v>
      </c>
    </row>
    <row r="48" spans="2:17" ht="14.1" hidden="1" customHeight="1" x14ac:dyDescent="0.25">
      <c r="B48" s="351"/>
      <c r="C48" s="349"/>
      <c r="D48" s="341" t="s">
        <v>150</v>
      </c>
      <c r="E48" s="341"/>
      <c r="G48" s="27">
        <f t="shared" ref="G48:M48" si="29">IF(G33=0,0,IF(G49=0,TRUNC((G34*95%),2),0))</f>
        <v>0</v>
      </c>
      <c r="H48" s="27">
        <f t="shared" si="29"/>
        <v>0</v>
      </c>
      <c r="I48" s="27">
        <f t="shared" si="29"/>
        <v>0</v>
      </c>
      <c r="J48" s="27">
        <f t="shared" si="29"/>
        <v>0</v>
      </c>
      <c r="K48" s="27">
        <f t="shared" si="29"/>
        <v>0</v>
      </c>
      <c r="L48" s="27">
        <f t="shared" si="29"/>
        <v>0</v>
      </c>
      <c r="M48" s="27">
        <f t="shared" si="29"/>
        <v>0</v>
      </c>
      <c r="O48" s="27">
        <f>IF(O33=0,0,IF(O49=0,TRUNC((O34*95%),2),0))</f>
        <v>0</v>
      </c>
      <c r="Q48" s="19">
        <f t="shared" si="20"/>
        <v>0</v>
      </c>
    </row>
    <row r="49" spans="2:17" ht="14.1" hidden="1" customHeight="1" x14ac:dyDescent="0.25">
      <c r="B49" s="351"/>
      <c r="C49" s="349"/>
      <c r="D49" s="341" t="s">
        <v>151</v>
      </c>
      <c r="E49" s="341"/>
      <c r="G49" s="27">
        <f t="shared" ref="G49:M49" si="30">IF(G33=0,0,IF(G26&gt;1.5,TRUNC((G34*95%),2),0))</f>
        <v>0</v>
      </c>
      <c r="H49" s="27">
        <f t="shared" si="30"/>
        <v>0</v>
      </c>
      <c r="I49" s="27">
        <f t="shared" si="30"/>
        <v>0</v>
      </c>
      <c r="J49" s="27">
        <f t="shared" si="30"/>
        <v>0</v>
      </c>
      <c r="K49" s="27">
        <f t="shared" si="30"/>
        <v>0</v>
      </c>
      <c r="L49" s="27">
        <f t="shared" si="30"/>
        <v>0</v>
      </c>
      <c r="M49" s="27">
        <f t="shared" si="30"/>
        <v>0</v>
      </c>
      <c r="O49" s="27">
        <f>IF(O33=0,0,IF(O26&gt;1.5,TRUNC((O34*95%),2),0))</f>
        <v>0</v>
      </c>
      <c r="Q49" s="19">
        <f t="shared" si="20"/>
        <v>0</v>
      </c>
    </row>
    <row r="50" spans="2:17" ht="14.1" customHeight="1" x14ac:dyDescent="0.25">
      <c r="B50" s="351"/>
      <c r="C50" s="349" t="s">
        <v>140</v>
      </c>
      <c r="D50" s="341"/>
      <c r="E50" s="341"/>
      <c r="G50" s="27">
        <f t="shared" ref="G50:M50" si="31">TRUNC((SUM(G34:G37)*5%),2)</f>
        <v>11.69</v>
      </c>
      <c r="H50" s="27">
        <f t="shared" si="31"/>
        <v>10.48</v>
      </c>
      <c r="I50" s="27">
        <f t="shared" si="31"/>
        <v>3.39</v>
      </c>
      <c r="J50" s="27">
        <f t="shared" si="31"/>
        <v>4.74</v>
      </c>
      <c r="K50" s="27">
        <f t="shared" si="31"/>
        <v>10.77</v>
      </c>
      <c r="L50" s="27">
        <f t="shared" si="31"/>
        <v>15.97</v>
      </c>
      <c r="M50" s="27">
        <f t="shared" si="31"/>
        <v>8.86</v>
      </c>
      <c r="O50" s="27">
        <f>TRUNC((SUM(O34:O37)*5%),2)</f>
        <v>72.569999999999993</v>
      </c>
      <c r="Q50" s="19">
        <f t="shared" si="20"/>
        <v>138.47</v>
      </c>
    </row>
    <row r="51" spans="2:17" ht="5.0999999999999996" customHeight="1" x14ac:dyDescent="0.25">
      <c r="B51" s="351"/>
    </row>
    <row r="52" spans="2:17" ht="14.1" hidden="1" customHeight="1" x14ac:dyDescent="0.25">
      <c r="B52" s="351"/>
      <c r="C52" s="349" t="s">
        <v>152</v>
      </c>
      <c r="D52" s="341" t="s">
        <v>153</v>
      </c>
      <c r="E52" s="341"/>
      <c r="G52" s="26"/>
      <c r="H52" s="26"/>
      <c r="I52" s="26"/>
      <c r="J52" s="26"/>
      <c r="K52" s="26"/>
      <c r="L52" s="26"/>
      <c r="M52" s="26"/>
      <c r="O52" s="26"/>
      <c r="Q52" s="38"/>
    </row>
    <row r="53" spans="2:17" ht="14.1" hidden="1" customHeight="1" x14ac:dyDescent="0.25">
      <c r="B53" s="351"/>
      <c r="C53" s="349"/>
      <c r="D53" s="341" t="s">
        <v>154</v>
      </c>
      <c r="E53" s="341"/>
      <c r="G53" s="27">
        <f t="shared" ref="G53:M53" si="32">TRUNC(((G52*G10*G23)*1.1),2)</f>
        <v>0</v>
      </c>
      <c r="H53" s="27">
        <f t="shared" si="32"/>
        <v>0</v>
      </c>
      <c r="I53" s="27">
        <f t="shared" si="32"/>
        <v>0</v>
      </c>
      <c r="J53" s="27">
        <f t="shared" si="32"/>
        <v>0</v>
      </c>
      <c r="K53" s="27">
        <f t="shared" si="32"/>
        <v>0</v>
      </c>
      <c r="L53" s="27">
        <f t="shared" si="32"/>
        <v>0</v>
      </c>
      <c r="M53" s="27">
        <f t="shared" si="32"/>
        <v>0</v>
      </c>
      <c r="O53" s="27">
        <f>TRUNC(((O52*O10*O23)*1.1),2)</f>
        <v>0</v>
      </c>
      <c r="Q53" s="19">
        <f>SUM(F53:P53)</f>
        <v>0</v>
      </c>
    </row>
    <row r="54" spans="2:17" ht="14.1" hidden="1" customHeight="1" x14ac:dyDescent="0.25">
      <c r="B54" s="351"/>
      <c r="C54" s="349" t="s">
        <v>155</v>
      </c>
      <c r="D54" s="341" t="s">
        <v>153</v>
      </c>
      <c r="E54" s="341"/>
      <c r="G54" s="26"/>
      <c r="H54" s="26"/>
      <c r="I54" s="26"/>
      <c r="J54" s="26"/>
      <c r="K54" s="26"/>
      <c r="L54" s="26"/>
      <c r="M54" s="26"/>
      <c r="O54" s="26"/>
      <c r="Q54" s="38"/>
    </row>
    <row r="55" spans="2:17" ht="14.1" hidden="1" customHeight="1" x14ac:dyDescent="0.25">
      <c r="B55" s="351"/>
      <c r="C55" s="349"/>
      <c r="D55" s="341" t="s">
        <v>154</v>
      </c>
      <c r="E55" s="341"/>
      <c r="G55" s="27">
        <f t="shared" ref="G55:M55" si="33">TRUNC(((G54*G10*G23)*1.1),2)</f>
        <v>0</v>
      </c>
      <c r="H55" s="27">
        <f t="shared" si="33"/>
        <v>0</v>
      </c>
      <c r="I55" s="27">
        <f t="shared" si="33"/>
        <v>0</v>
      </c>
      <c r="J55" s="27">
        <f t="shared" si="33"/>
        <v>0</v>
      </c>
      <c r="K55" s="27">
        <f t="shared" si="33"/>
        <v>0</v>
      </c>
      <c r="L55" s="27">
        <f t="shared" si="33"/>
        <v>0</v>
      </c>
      <c r="M55" s="27">
        <f t="shared" si="33"/>
        <v>0</v>
      </c>
      <c r="O55" s="27">
        <f>TRUNC(((O54*O10*O23)*1.1),2)</f>
        <v>0</v>
      </c>
      <c r="Q55" s="19">
        <f>SUM(F55:P55)</f>
        <v>0</v>
      </c>
    </row>
    <row r="56" spans="2:17" ht="14.1" hidden="1" customHeight="1" x14ac:dyDescent="0.25">
      <c r="B56" s="351"/>
      <c r="C56" s="349" t="s">
        <v>157</v>
      </c>
      <c r="D56" s="341"/>
      <c r="E56" s="18">
        <f>IF('Resumo DMT''s'!$E$14&gt;30,30,'Resumo DMT''s'!$E$14)</f>
        <v>30</v>
      </c>
      <c r="G56" s="27">
        <f t="shared" ref="G56:M56" si="34">TRUNC(((G53+G55)*$E$56),2)</f>
        <v>0</v>
      </c>
      <c r="H56" s="27">
        <f t="shared" si="34"/>
        <v>0</v>
      </c>
      <c r="I56" s="27">
        <f t="shared" si="34"/>
        <v>0</v>
      </c>
      <c r="J56" s="27">
        <f t="shared" si="34"/>
        <v>0</v>
      </c>
      <c r="K56" s="27">
        <f t="shared" si="34"/>
        <v>0</v>
      </c>
      <c r="L56" s="27">
        <f t="shared" si="34"/>
        <v>0</v>
      </c>
      <c r="M56" s="27">
        <f t="shared" si="34"/>
        <v>0</v>
      </c>
      <c r="O56" s="27">
        <f>TRUNC(((O53+O55)*$E$56),2)</f>
        <v>0</v>
      </c>
      <c r="Q56" s="19">
        <f>SUM(F56:P56)</f>
        <v>0</v>
      </c>
    </row>
    <row r="57" spans="2:17" ht="14.1" hidden="1" customHeight="1" x14ac:dyDescent="0.25">
      <c r="B57" s="351"/>
      <c r="C57" s="349" t="s">
        <v>157</v>
      </c>
      <c r="D57" s="341"/>
      <c r="E57" s="18">
        <f>IF('Resumo DMT''s'!$E$14&gt;30,'Resumo DMT''s'!$E$14-30,0)</f>
        <v>19</v>
      </c>
      <c r="G57" s="27">
        <f t="shared" ref="G57:M57" si="35">TRUNC(((G53+G55)*$E$57),2)</f>
        <v>0</v>
      </c>
      <c r="H57" s="27">
        <f t="shared" si="35"/>
        <v>0</v>
      </c>
      <c r="I57" s="27">
        <f t="shared" si="35"/>
        <v>0</v>
      </c>
      <c r="J57" s="27">
        <f t="shared" si="35"/>
        <v>0</v>
      </c>
      <c r="K57" s="27">
        <f t="shared" si="35"/>
        <v>0</v>
      </c>
      <c r="L57" s="27">
        <f t="shared" si="35"/>
        <v>0</v>
      </c>
      <c r="M57" s="27">
        <f t="shared" si="35"/>
        <v>0</v>
      </c>
      <c r="O57" s="27">
        <f>TRUNC(((O53+O55)*$E$57),2)</f>
        <v>0</v>
      </c>
      <c r="Q57" s="19">
        <f>SUM(F57:P57)</f>
        <v>0</v>
      </c>
    </row>
    <row r="58" spans="2:17" ht="14.1" hidden="1" customHeight="1" x14ac:dyDescent="0.25">
      <c r="B58" s="351"/>
      <c r="C58" s="349" t="s">
        <v>156</v>
      </c>
      <c r="D58" s="341"/>
      <c r="E58" s="341"/>
      <c r="G58" s="27">
        <f t="shared" ref="G58:M58" si="36">TRUNC((IF(G53+G55&gt;0,G69/14,0)),2)</f>
        <v>0</v>
      </c>
      <c r="H58" s="27">
        <f t="shared" si="36"/>
        <v>0</v>
      </c>
      <c r="I58" s="27">
        <f t="shared" si="36"/>
        <v>0</v>
      </c>
      <c r="J58" s="27">
        <f t="shared" si="36"/>
        <v>0</v>
      </c>
      <c r="K58" s="27">
        <f t="shared" si="36"/>
        <v>0</v>
      </c>
      <c r="L58" s="27">
        <f t="shared" si="36"/>
        <v>0</v>
      </c>
      <c r="M58" s="27">
        <f t="shared" si="36"/>
        <v>0</v>
      </c>
      <c r="O58" s="27">
        <f>TRUNC((IF(O53+O55&gt;0,O69/14,0)),2)</f>
        <v>0</v>
      </c>
      <c r="Q58" s="19">
        <f>SUM(F58:P58)</f>
        <v>0</v>
      </c>
    </row>
    <row r="59" spans="2:17" ht="5.0999999999999996" hidden="1" customHeight="1" x14ac:dyDescent="0.25">
      <c r="B59" s="351"/>
    </row>
    <row r="60" spans="2:17" ht="14.1" customHeight="1" x14ac:dyDescent="0.25">
      <c r="B60" s="351"/>
      <c r="C60" s="349" t="s">
        <v>158</v>
      </c>
      <c r="D60" s="341" t="s">
        <v>159</v>
      </c>
      <c r="E60" s="341"/>
      <c r="G60" s="27">
        <f t="shared" ref="G60:M60" si="37">IF(G52+G54&gt;0,0,IF((G23+G24)&lt;=1.5,TRUNC((G10*(G23+G24)),2),0))</f>
        <v>0</v>
      </c>
      <c r="H60" s="27">
        <f t="shared" si="37"/>
        <v>0</v>
      </c>
      <c r="I60" s="27">
        <f t="shared" si="37"/>
        <v>0</v>
      </c>
      <c r="J60" s="27">
        <f t="shared" si="37"/>
        <v>39.6</v>
      </c>
      <c r="K60" s="27">
        <f t="shared" si="37"/>
        <v>90.52</v>
      </c>
      <c r="L60" s="27">
        <f t="shared" si="37"/>
        <v>0</v>
      </c>
      <c r="M60" s="27">
        <f t="shared" si="37"/>
        <v>0</v>
      </c>
      <c r="O60" s="27">
        <f>IF(O52+O54&gt;0,0,IF((O23+O24)&lt;=1.5,TRUNC((O10*(O23+O24)),2),0))</f>
        <v>552</v>
      </c>
      <c r="Q60" s="19">
        <f>SUM(F60:P60)</f>
        <v>682.12</v>
      </c>
    </row>
    <row r="61" spans="2:17" ht="14.1" customHeight="1" x14ac:dyDescent="0.25">
      <c r="B61" s="351"/>
      <c r="C61" s="349"/>
      <c r="D61" s="341" t="s">
        <v>160</v>
      </c>
      <c r="E61" s="341"/>
      <c r="G61" s="27">
        <f t="shared" ref="G61:M61" si="38">IF(G52+G54&gt;0,0,IF((G23+G24)&gt;1.5,TRUNC((G10*(G23+G24)),2),0))</f>
        <v>64</v>
      </c>
      <c r="H61" s="27">
        <f t="shared" si="38"/>
        <v>73.599999999999994</v>
      </c>
      <c r="I61" s="27">
        <f t="shared" si="38"/>
        <v>20</v>
      </c>
      <c r="J61" s="27">
        <f t="shared" si="38"/>
        <v>0</v>
      </c>
      <c r="K61" s="27">
        <f t="shared" si="38"/>
        <v>0</v>
      </c>
      <c r="L61" s="27">
        <f t="shared" si="38"/>
        <v>123.95</v>
      </c>
      <c r="M61" s="27">
        <f t="shared" si="38"/>
        <v>62.22</v>
      </c>
      <c r="O61" s="27">
        <f>IF(O52+O54&gt;0,0,IF((O23+O24)&gt;1.5,TRUNC((O10*(O23+O24)),2),0))</f>
        <v>0</v>
      </c>
      <c r="Q61" s="19">
        <f>SUM(F61:P61)</f>
        <v>343.77</v>
      </c>
    </row>
    <row r="62" spans="2:17" ht="5.0999999999999996" customHeight="1" x14ac:dyDescent="0.25">
      <c r="B62" s="351"/>
    </row>
    <row r="63" spans="2:17" ht="14.1" hidden="1" customHeight="1" x14ac:dyDescent="0.25">
      <c r="B63" s="351"/>
      <c r="C63" s="349" t="s">
        <v>162</v>
      </c>
      <c r="D63" s="341" t="s">
        <v>362</v>
      </c>
      <c r="E63" s="341"/>
      <c r="G63" s="27">
        <f t="shared" ref="G63:M63" si="39">IF(AND(G20&gt;1.5,G20&lt;=2,G26&lt;=1.5),TRUNC((G20*2*G10),2),0)</f>
        <v>0</v>
      </c>
      <c r="H63" s="27">
        <f t="shared" si="39"/>
        <v>0</v>
      </c>
      <c r="I63" s="27">
        <f t="shared" si="39"/>
        <v>0</v>
      </c>
      <c r="J63" s="27">
        <f t="shared" si="39"/>
        <v>0</v>
      </c>
      <c r="K63" s="27">
        <f t="shared" si="39"/>
        <v>0</v>
      </c>
      <c r="L63" s="27">
        <f t="shared" si="39"/>
        <v>0</v>
      </c>
      <c r="M63" s="27">
        <f t="shared" si="39"/>
        <v>0</v>
      </c>
      <c r="O63" s="27">
        <v>0</v>
      </c>
      <c r="Q63" s="19">
        <f>SUM(F63:P63)</f>
        <v>0</v>
      </c>
    </row>
    <row r="64" spans="2:17" ht="27.95" customHeight="1" x14ac:dyDescent="0.25">
      <c r="B64" s="351"/>
      <c r="C64" s="349"/>
      <c r="D64" s="341" t="s">
        <v>363</v>
      </c>
      <c r="E64" s="341"/>
      <c r="G64" s="27">
        <f t="shared" ref="G64:M64" si="40">IF(AND(G20&gt;1.5,G20&lt;=2,G26&gt;1.5),TRUNC((G20*2*G10),2),0)</f>
        <v>0</v>
      </c>
      <c r="H64" s="27">
        <f t="shared" si="40"/>
        <v>0</v>
      </c>
      <c r="I64" s="27">
        <f t="shared" si="40"/>
        <v>0</v>
      </c>
      <c r="J64" s="27">
        <f t="shared" si="40"/>
        <v>108.63</v>
      </c>
      <c r="K64" s="27">
        <f t="shared" si="40"/>
        <v>246.83</v>
      </c>
      <c r="L64" s="27">
        <f t="shared" si="40"/>
        <v>287.87</v>
      </c>
      <c r="M64" s="27">
        <f t="shared" si="40"/>
        <v>0</v>
      </c>
      <c r="O64" s="27">
        <v>0</v>
      </c>
      <c r="Q64" s="19">
        <f>SUM(F64:P64)</f>
        <v>643.33000000000004</v>
      </c>
    </row>
    <row r="65" spans="2:17" ht="14.1" hidden="1" customHeight="1" x14ac:dyDescent="0.25">
      <c r="B65" s="351"/>
      <c r="C65" s="349" t="s">
        <v>163</v>
      </c>
      <c r="D65" s="341" t="s">
        <v>165</v>
      </c>
      <c r="E65" s="341"/>
      <c r="G65" s="27">
        <f t="shared" ref="G65:M65" si="41">IF(AND(G20&gt;2,G20&lt;=3,G26&lt;=1.5),TRUNC((G20*2*G10),2),0)</f>
        <v>0</v>
      </c>
      <c r="H65" s="27">
        <f t="shared" si="41"/>
        <v>0</v>
      </c>
      <c r="I65" s="27">
        <f t="shared" si="41"/>
        <v>0</v>
      </c>
      <c r="J65" s="27">
        <f t="shared" si="41"/>
        <v>0</v>
      </c>
      <c r="K65" s="27">
        <f t="shared" si="41"/>
        <v>0</v>
      </c>
      <c r="L65" s="27">
        <f t="shared" si="41"/>
        <v>0</v>
      </c>
      <c r="M65" s="27">
        <f t="shared" si="41"/>
        <v>0</v>
      </c>
      <c r="O65" s="27">
        <v>0</v>
      </c>
      <c r="Q65" s="19">
        <f>SUM(F65:P65)</f>
        <v>0</v>
      </c>
    </row>
    <row r="66" spans="2:17" ht="27.95" customHeight="1" x14ac:dyDescent="0.25">
      <c r="B66" s="351"/>
      <c r="C66" s="349"/>
      <c r="D66" s="341" t="s">
        <v>166</v>
      </c>
      <c r="E66" s="341"/>
      <c r="G66" s="27">
        <f t="shared" ref="G66:M66" si="42">IF(AND(G20&gt;2,G20&lt;=3,G26&gt;1.5),TRUNC((G20*2*G10),2),0)</f>
        <v>194.24</v>
      </c>
      <c r="H66" s="27">
        <f t="shared" si="42"/>
        <v>184.73</v>
      </c>
      <c r="I66" s="27">
        <f t="shared" si="42"/>
        <v>48.4</v>
      </c>
      <c r="J66" s="27">
        <f t="shared" si="42"/>
        <v>0</v>
      </c>
      <c r="K66" s="27">
        <f t="shared" si="42"/>
        <v>0</v>
      </c>
      <c r="L66" s="27">
        <f t="shared" si="42"/>
        <v>0</v>
      </c>
      <c r="M66" s="27">
        <f t="shared" si="42"/>
        <v>156.18</v>
      </c>
      <c r="O66" s="27">
        <v>0</v>
      </c>
      <c r="Q66" s="19">
        <f>SUM(F66:P66)</f>
        <v>583.54999999999995</v>
      </c>
    </row>
    <row r="67" spans="2:17" ht="27.95" hidden="1" customHeight="1" x14ac:dyDescent="0.25">
      <c r="B67" s="351"/>
      <c r="C67" s="243" t="s">
        <v>161</v>
      </c>
      <c r="D67" s="341" t="s">
        <v>164</v>
      </c>
      <c r="E67" s="341"/>
      <c r="G67" s="27">
        <f t="shared" ref="G67:M67" si="43">IF(G20&gt;3,TRUNC((G20*2*G10),2),0)</f>
        <v>0</v>
      </c>
      <c r="H67" s="27">
        <f t="shared" si="43"/>
        <v>0</v>
      </c>
      <c r="I67" s="27">
        <f t="shared" si="43"/>
        <v>0</v>
      </c>
      <c r="J67" s="27">
        <f t="shared" si="43"/>
        <v>0</v>
      </c>
      <c r="K67" s="27">
        <f t="shared" si="43"/>
        <v>0</v>
      </c>
      <c r="L67" s="27">
        <f t="shared" si="43"/>
        <v>0</v>
      </c>
      <c r="M67" s="27">
        <f t="shared" si="43"/>
        <v>0</v>
      </c>
      <c r="O67" s="27">
        <v>0</v>
      </c>
      <c r="Q67" s="19">
        <f>SUM(F67:P67)</f>
        <v>0</v>
      </c>
    </row>
    <row r="68" spans="2:17" ht="5.0999999999999996" customHeight="1" x14ac:dyDescent="0.25">
      <c r="B68" s="351"/>
    </row>
    <row r="69" spans="2:17" ht="15" customHeight="1" x14ac:dyDescent="0.25">
      <c r="B69" s="351"/>
      <c r="C69" s="349" t="s">
        <v>167</v>
      </c>
      <c r="D69" s="341"/>
      <c r="E69" s="341"/>
      <c r="G69" s="27">
        <f t="shared" ref="G69:M69" si="44">TRUNC((G39-G53-G55-(G27*G10)),2)</f>
        <v>205.18</v>
      </c>
      <c r="H69" s="27">
        <f t="shared" si="44"/>
        <v>176.48</v>
      </c>
      <c r="I69" s="27">
        <f t="shared" si="44"/>
        <v>56.61</v>
      </c>
      <c r="J69" s="27">
        <f t="shared" si="44"/>
        <v>81.44</v>
      </c>
      <c r="K69" s="27">
        <f t="shared" si="44"/>
        <v>184.46</v>
      </c>
      <c r="L69" s="27">
        <f t="shared" si="44"/>
        <v>263.64999999999998</v>
      </c>
      <c r="M69" s="27">
        <f t="shared" si="44"/>
        <v>149.19</v>
      </c>
      <c r="O69" s="27">
        <f>TRUNC((O39-O53-O55-(O27*O10)),2)</f>
        <v>1327.24</v>
      </c>
      <c r="Q69" s="19">
        <f t="shared" ref="Q69:Q77" si="45">SUM(F69:P69)</f>
        <v>2444.25</v>
      </c>
    </row>
    <row r="70" spans="2:17" ht="14.1" hidden="1" customHeight="1" x14ac:dyDescent="0.25">
      <c r="B70" s="351"/>
      <c r="C70" s="349" t="s">
        <v>168</v>
      </c>
      <c r="D70" s="341" t="s">
        <v>142</v>
      </c>
      <c r="E70" s="341"/>
      <c r="G70" s="27">
        <f t="shared" ref="G70:M70" si="46">IF(G20&lt;=1.5,IF(G26&lt;=0.8,G69,0),0)</f>
        <v>0</v>
      </c>
      <c r="H70" s="27">
        <f t="shared" si="46"/>
        <v>0</v>
      </c>
      <c r="I70" s="27">
        <f t="shared" si="46"/>
        <v>0</v>
      </c>
      <c r="J70" s="27">
        <f t="shared" si="46"/>
        <v>0</v>
      </c>
      <c r="K70" s="27">
        <f t="shared" si="46"/>
        <v>0</v>
      </c>
      <c r="L70" s="27">
        <f t="shared" si="46"/>
        <v>0</v>
      </c>
      <c r="M70" s="27">
        <f t="shared" si="46"/>
        <v>0</v>
      </c>
      <c r="O70" s="27">
        <f>IF(O20&lt;=1.5,IF(O26&lt;=0.8,O69,0),0)</f>
        <v>0</v>
      </c>
      <c r="Q70" s="19">
        <f t="shared" si="45"/>
        <v>0</v>
      </c>
    </row>
    <row r="71" spans="2:17" ht="14.1" hidden="1" customHeight="1" x14ac:dyDescent="0.25">
      <c r="B71" s="351"/>
      <c r="C71" s="349"/>
      <c r="D71" s="341" t="s">
        <v>143</v>
      </c>
      <c r="E71" s="341"/>
      <c r="G71" s="27">
        <f t="shared" ref="G71:M71" si="47">IF(G20&lt;=1.5,IF(AND(G26&gt;0.8,G26&lt;=1.5),IF(G26&gt;0.8,G69,0),0),0)</f>
        <v>0</v>
      </c>
      <c r="H71" s="27">
        <f t="shared" si="47"/>
        <v>0</v>
      </c>
      <c r="I71" s="27">
        <f t="shared" si="47"/>
        <v>0</v>
      </c>
      <c r="J71" s="27">
        <f t="shared" si="47"/>
        <v>0</v>
      </c>
      <c r="K71" s="27">
        <f t="shared" si="47"/>
        <v>0</v>
      </c>
      <c r="L71" s="27">
        <f t="shared" si="47"/>
        <v>0</v>
      </c>
      <c r="M71" s="27">
        <f t="shared" si="47"/>
        <v>0</v>
      </c>
      <c r="O71" s="27">
        <f>IF(O20&lt;=1.5,IF(AND(O26&gt;0.8,O26&lt;=1.5),IF(O26&gt;0.8,O69,0),0),0)</f>
        <v>0</v>
      </c>
      <c r="Q71" s="19">
        <f t="shared" si="45"/>
        <v>0</v>
      </c>
    </row>
    <row r="72" spans="2:17" ht="14.1" hidden="1" customHeight="1" x14ac:dyDescent="0.25">
      <c r="B72" s="351"/>
      <c r="C72" s="349"/>
      <c r="D72" s="341" t="s">
        <v>144</v>
      </c>
      <c r="E72" s="341"/>
      <c r="G72" s="27">
        <f t="shared" ref="G72:M72" si="48">IF(G20&lt;=1.5,IF(G26&gt;1.5,G69,0),0)</f>
        <v>0</v>
      </c>
      <c r="H72" s="27">
        <f t="shared" si="48"/>
        <v>0</v>
      </c>
      <c r="I72" s="27">
        <f t="shared" si="48"/>
        <v>0</v>
      </c>
      <c r="J72" s="27">
        <f t="shared" si="48"/>
        <v>0</v>
      </c>
      <c r="K72" s="27">
        <f t="shared" si="48"/>
        <v>0</v>
      </c>
      <c r="L72" s="27">
        <f t="shared" si="48"/>
        <v>0</v>
      </c>
      <c r="M72" s="27">
        <f t="shared" si="48"/>
        <v>0</v>
      </c>
      <c r="O72" s="27">
        <f>IF(O20&lt;=1.5,IF(O26&gt;1.5,O69,0),0)</f>
        <v>0</v>
      </c>
      <c r="Q72" s="19">
        <f t="shared" si="45"/>
        <v>0</v>
      </c>
    </row>
    <row r="73" spans="2:17" ht="14.1" hidden="1" customHeight="1" x14ac:dyDescent="0.25">
      <c r="B73" s="351"/>
      <c r="C73" s="349"/>
      <c r="D73" s="341" t="s">
        <v>145</v>
      </c>
      <c r="E73" s="341"/>
      <c r="G73" s="27">
        <f t="shared" ref="G73:M73" si="49">IF(SUM(G70:G72)&gt;0,0,IF(G20&lt;3,IF(G26&lt;=0.8,G69,0),0))</f>
        <v>0</v>
      </c>
      <c r="H73" s="27">
        <f t="shared" si="49"/>
        <v>0</v>
      </c>
      <c r="I73" s="27">
        <f t="shared" si="49"/>
        <v>0</v>
      </c>
      <c r="J73" s="27">
        <f t="shared" si="49"/>
        <v>0</v>
      </c>
      <c r="K73" s="27">
        <f t="shared" si="49"/>
        <v>0</v>
      </c>
      <c r="L73" s="27">
        <f t="shared" si="49"/>
        <v>0</v>
      </c>
      <c r="M73" s="27">
        <f t="shared" si="49"/>
        <v>0</v>
      </c>
      <c r="O73" s="27">
        <f>IF(SUM(O70:O72)&gt;0,0,IF(O20&lt;3,IF(O26&lt;=0.8,O69,0),0))</f>
        <v>0</v>
      </c>
      <c r="Q73" s="19">
        <f t="shared" si="45"/>
        <v>0</v>
      </c>
    </row>
    <row r="74" spans="2:17" ht="14.1" hidden="1" customHeight="1" x14ac:dyDescent="0.25">
      <c r="B74" s="351"/>
      <c r="C74" s="349"/>
      <c r="D74" s="341" t="s">
        <v>146</v>
      </c>
      <c r="E74" s="341"/>
      <c r="G74" s="27">
        <f t="shared" ref="G74:M74" si="50">IF(SUM(G70:G73)&gt;0,0,IF(G20&lt;3,IF(AND(G26&gt;0.8,G26&lt;=1.5),G69,0),0))</f>
        <v>0</v>
      </c>
      <c r="H74" s="27">
        <f t="shared" si="50"/>
        <v>0</v>
      </c>
      <c r="I74" s="27">
        <f t="shared" si="50"/>
        <v>0</v>
      </c>
      <c r="J74" s="27">
        <f t="shared" si="50"/>
        <v>0</v>
      </c>
      <c r="K74" s="27">
        <f t="shared" si="50"/>
        <v>0</v>
      </c>
      <c r="L74" s="27">
        <f t="shared" si="50"/>
        <v>0</v>
      </c>
      <c r="M74" s="27">
        <f t="shared" si="50"/>
        <v>0</v>
      </c>
      <c r="O74" s="27">
        <f>IF(SUM(O70:O73)&gt;0,0,IF(O20&lt;3,IF(AND(O26&gt;0.8,O26&lt;=1.5),O69,0),0))</f>
        <v>0</v>
      </c>
      <c r="Q74" s="19">
        <f t="shared" si="45"/>
        <v>0</v>
      </c>
    </row>
    <row r="75" spans="2:17" ht="27.95" customHeight="1" x14ac:dyDescent="0.25">
      <c r="B75" s="351"/>
      <c r="C75" s="349"/>
      <c r="D75" s="341" t="s">
        <v>147</v>
      </c>
      <c r="E75" s="341"/>
      <c r="G75" s="27">
        <f t="shared" ref="G75:M75" si="51">IF(SUM(G70:G74)&gt;0,0,IF(G20&lt;=3,IF(G26&gt;1.5,G69,0),0))</f>
        <v>205.18</v>
      </c>
      <c r="H75" s="27">
        <f t="shared" si="51"/>
        <v>176.48</v>
      </c>
      <c r="I75" s="27">
        <f t="shared" si="51"/>
        <v>56.61</v>
      </c>
      <c r="J75" s="27">
        <f t="shared" si="51"/>
        <v>81.44</v>
      </c>
      <c r="K75" s="27">
        <f t="shared" si="51"/>
        <v>184.46</v>
      </c>
      <c r="L75" s="27">
        <f t="shared" si="51"/>
        <v>263.64999999999998</v>
      </c>
      <c r="M75" s="27">
        <f t="shared" si="51"/>
        <v>149.19</v>
      </c>
      <c r="O75" s="27">
        <f>IF(SUM(O70:O74)&gt;0,0,IF(O20&lt;=3,IF(O26&gt;1.5,O69,0),0))</f>
        <v>1327.24</v>
      </c>
      <c r="Q75" s="19">
        <f t="shared" si="45"/>
        <v>2444.25</v>
      </c>
    </row>
    <row r="76" spans="2:17" ht="14.1" hidden="1" customHeight="1" x14ac:dyDescent="0.25">
      <c r="B76" s="351"/>
      <c r="C76" s="349"/>
      <c r="D76" s="341" t="s">
        <v>561</v>
      </c>
      <c r="E76" s="341"/>
      <c r="G76" s="27">
        <f t="shared" ref="G76:M76" si="52">IF(SUM(G70:G75)&gt;0,0,IF(AND(G20&gt;3,G20&lt;=6),IF(G26&lt;=1.5,G69,0),0))</f>
        <v>0</v>
      </c>
      <c r="H76" s="27">
        <f t="shared" si="52"/>
        <v>0</v>
      </c>
      <c r="I76" s="27">
        <f t="shared" si="52"/>
        <v>0</v>
      </c>
      <c r="J76" s="27">
        <f t="shared" si="52"/>
        <v>0</v>
      </c>
      <c r="K76" s="27">
        <f t="shared" si="52"/>
        <v>0</v>
      </c>
      <c r="L76" s="27">
        <f t="shared" si="52"/>
        <v>0</v>
      </c>
      <c r="M76" s="27">
        <f t="shared" si="52"/>
        <v>0</v>
      </c>
      <c r="O76" s="27">
        <f>IF(SUM(O70:O75)&gt;0,0,IF(AND(O20&gt;3,O20&lt;=6),IF(O26&lt;=1.5,O69,0),0))</f>
        <v>0</v>
      </c>
      <c r="Q76" s="19">
        <f t="shared" si="45"/>
        <v>0</v>
      </c>
    </row>
    <row r="77" spans="2:17" ht="14.1" hidden="1" customHeight="1" x14ac:dyDescent="0.25">
      <c r="B77" s="351"/>
      <c r="C77" s="349"/>
      <c r="D77" s="341" t="s">
        <v>560</v>
      </c>
      <c r="E77" s="341"/>
      <c r="G77" s="27">
        <f t="shared" ref="G77:M77" si="53">IF(SUM(G70:G76)&gt;0,0,IF(AND(G20&gt;3,G20&lt;=6),IF(G26&gt;1.5,G69,0),0))</f>
        <v>0</v>
      </c>
      <c r="H77" s="27">
        <f t="shared" si="53"/>
        <v>0</v>
      </c>
      <c r="I77" s="27">
        <f t="shared" si="53"/>
        <v>0</v>
      </c>
      <c r="J77" s="27">
        <f t="shared" si="53"/>
        <v>0</v>
      </c>
      <c r="K77" s="27">
        <f t="shared" si="53"/>
        <v>0</v>
      </c>
      <c r="L77" s="27">
        <f t="shared" si="53"/>
        <v>0</v>
      </c>
      <c r="M77" s="27">
        <f t="shared" si="53"/>
        <v>0</v>
      </c>
      <c r="O77" s="27">
        <f>IF(SUM(O70:O76)&gt;0,0,IF(AND(O20&gt;3,O20&lt;=6),IF(O26&gt;1.5,O69,0),0))</f>
        <v>0</v>
      </c>
      <c r="Q77" s="19">
        <f t="shared" si="45"/>
        <v>0</v>
      </c>
    </row>
    <row r="78" spans="2:17" ht="5.0999999999999996" customHeight="1" x14ac:dyDescent="0.25">
      <c r="B78" s="351"/>
    </row>
    <row r="79" spans="2:17" ht="14.1" customHeight="1" x14ac:dyDescent="0.25">
      <c r="B79" s="351"/>
      <c r="C79" s="349" t="s">
        <v>171</v>
      </c>
      <c r="D79" s="341"/>
      <c r="E79" s="341"/>
      <c r="G79" s="27">
        <f t="shared" ref="G79:M79" si="54">TRUNC((((G27*G10)+(G53+G55))*1.3),2)</f>
        <v>37.44</v>
      </c>
      <c r="H79" s="27">
        <f t="shared" si="54"/>
        <v>43.05</v>
      </c>
      <c r="I79" s="27">
        <f t="shared" si="54"/>
        <v>14.69</v>
      </c>
      <c r="J79" s="27">
        <f t="shared" si="54"/>
        <v>17.579999999999998</v>
      </c>
      <c r="K79" s="27">
        <f t="shared" si="54"/>
        <v>40.200000000000003</v>
      </c>
      <c r="L79" s="27">
        <f t="shared" si="54"/>
        <v>72.510000000000005</v>
      </c>
      <c r="M79" s="27">
        <f t="shared" si="54"/>
        <v>36.4</v>
      </c>
      <c r="O79" s="27">
        <f>TRUNC((((O27*O10)+(O53+O55))*1.3),2)</f>
        <v>161.46</v>
      </c>
      <c r="Q79" s="19">
        <f>SUM(F79:P79)</f>
        <v>423.32999999999993</v>
      </c>
    </row>
    <row r="80" spans="2:17" ht="14.1" customHeight="1" x14ac:dyDescent="0.25">
      <c r="B80" s="351"/>
      <c r="C80" s="349" t="s">
        <v>170</v>
      </c>
      <c r="D80" s="341"/>
      <c r="E80" s="18">
        <f>'Resumo DMT''s'!$E$13</f>
        <v>6.4</v>
      </c>
      <c r="G80" s="27">
        <f t="shared" ref="G80:M80" si="55">TRUNC((G79*$E$80),2)</f>
        <v>239.61</v>
      </c>
      <c r="H80" s="27">
        <f t="shared" si="55"/>
        <v>275.52</v>
      </c>
      <c r="I80" s="27">
        <f t="shared" si="55"/>
        <v>94.01</v>
      </c>
      <c r="J80" s="27">
        <f t="shared" si="55"/>
        <v>112.51</v>
      </c>
      <c r="K80" s="27">
        <f t="shared" si="55"/>
        <v>257.27999999999997</v>
      </c>
      <c r="L80" s="27">
        <f t="shared" si="55"/>
        <v>464.06</v>
      </c>
      <c r="M80" s="27">
        <f t="shared" si="55"/>
        <v>232.96</v>
      </c>
      <c r="O80" s="27">
        <f>TRUNC((O79*$E$80),2)</f>
        <v>1033.3399999999999</v>
      </c>
      <c r="Q80" s="19">
        <f>SUM(F80:P80)</f>
        <v>2709.29</v>
      </c>
    </row>
    <row r="81" spans="2:17" ht="14.1" customHeight="1" x14ac:dyDescent="0.25">
      <c r="B81" s="352"/>
      <c r="C81" s="349" t="s">
        <v>169</v>
      </c>
      <c r="D81" s="341"/>
      <c r="E81" s="341"/>
      <c r="G81" s="27">
        <f t="shared" ref="G81:M81" si="56">G79</f>
        <v>37.44</v>
      </c>
      <c r="H81" s="27">
        <f t="shared" si="56"/>
        <v>43.05</v>
      </c>
      <c r="I81" s="27">
        <f t="shared" si="56"/>
        <v>14.69</v>
      </c>
      <c r="J81" s="27">
        <f t="shared" si="56"/>
        <v>17.579999999999998</v>
      </c>
      <c r="K81" s="27">
        <f t="shared" si="56"/>
        <v>40.200000000000003</v>
      </c>
      <c r="L81" s="27">
        <f t="shared" si="56"/>
        <v>72.510000000000005</v>
      </c>
      <c r="M81" s="27">
        <f t="shared" si="56"/>
        <v>36.4</v>
      </c>
      <c r="O81" s="27">
        <f>O79</f>
        <v>161.46</v>
      </c>
      <c r="Q81" s="19">
        <f>SUM(F81:P81)</f>
        <v>423.32999999999993</v>
      </c>
    </row>
  </sheetData>
  <mergeCells count="77">
    <mergeCell ref="C81:E81"/>
    <mergeCell ref="C69:E69"/>
    <mergeCell ref="C70:C77"/>
    <mergeCell ref="D70:E70"/>
    <mergeCell ref="D71:E71"/>
    <mergeCell ref="D72:E72"/>
    <mergeCell ref="D73:E73"/>
    <mergeCell ref="D74:E74"/>
    <mergeCell ref="D75:E75"/>
    <mergeCell ref="D76:E76"/>
    <mergeCell ref="D77:E77"/>
    <mergeCell ref="C79:E79"/>
    <mergeCell ref="C80:D80"/>
    <mergeCell ref="D67:E67"/>
    <mergeCell ref="C60:C61"/>
    <mergeCell ref="D60:E60"/>
    <mergeCell ref="D61:E61"/>
    <mergeCell ref="C63:C64"/>
    <mergeCell ref="D63:E63"/>
    <mergeCell ref="D64:E64"/>
    <mergeCell ref="C56:D56"/>
    <mergeCell ref="C58:E58"/>
    <mergeCell ref="C57:D57"/>
    <mergeCell ref="C65:C66"/>
    <mergeCell ref="D65:E65"/>
    <mergeCell ref="D66:E66"/>
    <mergeCell ref="C52:C53"/>
    <mergeCell ref="D52:E52"/>
    <mergeCell ref="D53:E53"/>
    <mergeCell ref="C50:E50"/>
    <mergeCell ref="C54:C55"/>
    <mergeCell ref="D54:E54"/>
    <mergeCell ref="D55:E55"/>
    <mergeCell ref="D45:E45"/>
    <mergeCell ref="C39:E39"/>
    <mergeCell ref="C40:C49"/>
    <mergeCell ref="D40:E40"/>
    <mergeCell ref="D41:E41"/>
    <mergeCell ref="D48:E48"/>
    <mergeCell ref="D49:E49"/>
    <mergeCell ref="D44:E44"/>
    <mergeCell ref="D43:E43"/>
    <mergeCell ref="D42:E42"/>
    <mergeCell ref="D47:E47"/>
    <mergeCell ref="D46:E46"/>
    <mergeCell ref="C30:C33"/>
    <mergeCell ref="D30:E30"/>
    <mergeCell ref="D31:E31"/>
    <mergeCell ref="D32:E32"/>
    <mergeCell ref="D33:E33"/>
    <mergeCell ref="C34:C37"/>
    <mergeCell ref="D37:E37"/>
    <mergeCell ref="D36:E36"/>
    <mergeCell ref="D35:E35"/>
    <mergeCell ref="D34:E34"/>
    <mergeCell ref="C27:E27"/>
    <mergeCell ref="C23:C26"/>
    <mergeCell ref="D23:E23"/>
    <mergeCell ref="D24:E24"/>
    <mergeCell ref="D25:E25"/>
    <mergeCell ref="D26:E26"/>
    <mergeCell ref="D29:E29"/>
    <mergeCell ref="C13:E13"/>
    <mergeCell ref="B10:B81"/>
    <mergeCell ref="B8:E8"/>
    <mergeCell ref="C21:E21"/>
    <mergeCell ref="C14:E14"/>
    <mergeCell ref="D15:E15"/>
    <mergeCell ref="C15:C20"/>
    <mergeCell ref="D16:E16"/>
    <mergeCell ref="D17:E17"/>
    <mergeCell ref="D18:E18"/>
    <mergeCell ref="D20:E20"/>
    <mergeCell ref="D19:E19"/>
    <mergeCell ref="C10:E10"/>
    <mergeCell ref="C11:E11"/>
    <mergeCell ref="C12:E12"/>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B1:Q60"/>
  <sheetViews>
    <sheetView showGridLines="0" view="pageBreakPreview" zoomScaleSheetLayoutView="100" workbookViewId="0">
      <pane ySplit="8" topLeftCell="A15" activePane="bottomLeft" state="frozen"/>
      <selection activeCell="K117" sqref="K117"/>
      <selection pane="bottomLeft" activeCell="R39" sqref="R39"/>
    </sheetView>
  </sheetViews>
  <sheetFormatPr defaultRowHeight="12.75" x14ac:dyDescent="0.25"/>
  <cols>
    <col min="1" max="1" width="1.7109375" style="221" customWidth="1"/>
    <col min="2" max="2" width="11.7109375" style="221" customWidth="1"/>
    <col min="3" max="3" width="16.7109375" style="221" customWidth="1"/>
    <col min="4" max="4" width="40.7109375" style="221" customWidth="1"/>
    <col min="5" max="5" width="7.7109375" style="221" customWidth="1"/>
    <col min="6" max="6" width="1.7109375" style="221" customWidth="1"/>
    <col min="7" max="13" width="8.7109375" style="221" customWidth="1"/>
    <col min="14" max="14" width="1.7109375" style="221" customWidth="1"/>
    <col min="15" max="15" width="10" style="221" bestFit="1" customWidth="1"/>
    <col min="16" max="16" width="9.140625" style="221"/>
    <col min="17" max="17" width="13.85546875" style="221" customWidth="1"/>
    <col min="18" max="16384" width="9.140625" style="221"/>
  </cols>
  <sheetData>
    <row r="1" spans="2:15" ht="5.0999999999999996" customHeight="1" x14ac:dyDescent="0.25"/>
    <row r="2" spans="2:15" ht="14.1" customHeight="1" x14ac:dyDescent="0.2">
      <c r="B2" s="102" t="str">
        <f>DADOS!$B$3</f>
        <v>CLIENTE:</v>
      </c>
      <c r="C2" s="80" t="str">
        <f>DADOS!$C$3</f>
        <v>PREFEITURA MUNICIPAL DE APARECIDA DO TABOADO / MS</v>
      </c>
      <c r="D2" s="6"/>
      <c r="E2" s="6"/>
      <c r="F2" s="6"/>
      <c r="G2" s="245"/>
      <c r="H2" s="245"/>
      <c r="I2" s="245"/>
      <c r="J2" s="245"/>
      <c r="K2" s="245"/>
      <c r="L2" s="245"/>
      <c r="M2" s="245"/>
      <c r="N2" s="245"/>
      <c r="O2" s="246"/>
    </row>
    <row r="3" spans="2:15" ht="14.1" customHeight="1" x14ac:dyDescent="0.2">
      <c r="B3" s="103" t="str">
        <f>DADOS!$B$4</f>
        <v>ENDEREÇO:</v>
      </c>
      <c r="C3" s="81" t="str">
        <f>DADOS!$C$4</f>
        <v>RUA ELIAS TOLENTINO DE ALMEIDA, Nº 4.098 - JD. SÃO BENTO</v>
      </c>
      <c r="D3" s="3"/>
      <c r="E3" s="1"/>
      <c r="F3" s="1"/>
      <c r="O3" s="247"/>
    </row>
    <row r="4" spans="2:15" ht="14.1" customHeight="1" x14ac:dyDescent="0.2">
      <c r="B4" s="82"/>
      <c r="C4" s="81"/>
      <c r="D4" s="3"/>
      <c r="E4" s="1"/>
      <c r="F4" s="1"/>
      <c r="O4" s="247"/>
    </row>
    <row r="5" spans="2:15" ht="14.1" customHeight="1" x14ac:dyDescent="0.2">
      <c r="B5" s="103" t="str">
        <f>DADOS!$B$7</f>
        <v>OBRA:</v>
      </c>
      <c r="C5" s="81" t="str">
        <f>DADOS!$C$7</f>
        <v>PAVIMENTAÇÃO ASFÁLTICA E DRENAGEM DE ÁGUAS PLUVIAIS</v>
      </c>
      <c r="D5" s="3"/>
      <c r="E5" s="1"/>
      <c r="F5" s="1"/>
      <c r="O5" s="247"/>
    </row>
    <row r="6" spans="2:15" ht="14.1" customHeight="1" x14ac:dyDescent="0.2">
      <c r="B6" s="83" t="str">
        <f>DADOS!$B$8</f>
        <v>LOCAL:</v>
      </c>
      <c r="C6" s="84" t="str">
        <f>DADOS!$C$8</f>
        <v>DIVERSAS RUAS NO BAIRRO PRIMAVERA, APARECIDA DO TABOADO / MS</v>
      </c>
      <c r="D6" s="7"/>
      <c r="E6" s="8"/>
      <c r="F6" s="8"/>
      <c r="G6" s="248"/>
      <c r="H6" s="248"/>
      <c r="I6" s="248"/>
      <c r="J6" s="248"/>
      <c r="K6" s="248"/>
      <c r="L6" s="248"/>
      <c r="M6" s="248"/>
      <c r="N6" s="248"/>
      <c r="O6" s="249"/>
    </row>
    <row r="7" spans="2:15" ht="5.0999999999999996" customHeight="1" x14ac:dyDescent="0.25"/>
    <row r="8" spans="2:15" ht="30" customHeight="1" x14ac:dyDescent="0.25">
      <c r="B8" s="353" t="s">
        <v>115</v>
      </c>
      <c r="C8" s="354"/>
      <c r="D8" s="354"/>
      <c r="E8" s="349"/>
      <c r="F8" s="12"/>
      <c r="G8" s="17" t="str">
        <f>'Dre-Terraplenagem'!G8</f>
        <v>5B</v>
      </c>
      <c r="H8" s="17" t="str">
        <f>'Dre-Terraplenagem'!H8</f>
        <v>7B</v>
      </c>
      <c r="I8" s="17" t="str">
        <f>'Dre-Terraplenagem'!I8</f>
        <v>8A</v>
      </c>
      <c r="J8" s="17" t="str">
        <f>'Dre-Terraplenagem'!J8</f>
        <v>29B</v>
      </c>
      <c r="K8" s="17">
        <f>'Dre-Terraplenagem'!K8</f>
        <v>30</v>
      </c>
      <c r="L8" s="17">
        <f>'Dre-Terraplenagem'!L8</f>
        <v>31</v>
      </c>
      <c r="M8" s="17" t="str">
        <f>'Dre-Terraplenagem'!M8</f>
        <v>32A</v>
      </c>
      <c r="N8" s="12"/>
      <c r="O8" s="13" t="s">
        <v>5</v>
      </c>
    </row>
    <row r="9" spans="2:15" ht="5.0999999999999996" customHeight="1" x14ac:dyDescent="0.25"/>
    <row r="10" spans="2:15" ht="14.1" customHeight="1" x14ac:dyDescent="0.25">
      <c r="B10" s="350" t="s">
        <v>173</v>
      </c>
      <c r="C10" s="349" t="s">
        <v>116</v>
      </c>
      <c r="D10" s="341"/>
      <c r="E10" s="341"/>
      <c r="G10" s="27">
        <f>'Dre-Terraplenagem'!G10</f>
        <v>40</v>
      </c>
      <c r="H10" s="27">
        <f>'Dre-Terraplenagem'!H10</f>
        <v>46</v>
      </c>
      <c r="I10" s="27">
        <f>'Dre-Terraplenagem'!I10</f>
        <v>10</v>
      </c>
      <c r="J10" s="27">
        <f>'Dre-Terraplenagem'!J10</f>
        <v>33</v>
      </c>
      <c r="K10" s="27">
        <f>'Dre-Terraplenagem'!K10</f>
        <v>75.44</v>
      </c>
      <c r="L10" s="27">
        <f>'Dre-Terraplenagem'!L10</f>
        <v>77.47</v>
      </c>
      <c r="M10" s="27">
        <f>'Dre-Terraplenagem'!M10</f>
        <v>38.89</v>
      </c>
      <c r="O10" s="19">
        <f>SUM(F10:N10)</f>
        <v>320.79999999999995</v>
      </c>
    </row>
    <row r="11" spans="2:15" ht="14.1" customHeight="1" x14ac:dyDescent="0.25">
      <c r="B11" s="351"/>
      <c r="C11" s="349" t="s">
        <v>117</v>
      </c>
      <c r="D11" s="341"/>
      <c r="E11" s="341"/>
      <c r="G11" s="27">
        <f>'Dre-Terraplenagem'!G11</f>
        <v>0.8</v>
      </c>
      <c r="H11" s="27">
        <f>'Dre-Terraplenagem'!H11</f>
        <v>0.8</v>
      </c>
      <c r="I11" s="27">
        <f>'Dre-Terraplenagem'!I11</f>
        <v>1</v>
      </c>
      <c r="J11" s="27">
        <f>'Dre-Terraplenagem'!J11</f>
        <v>0.6</v>
      </c>
      <c r="K11" s="27">
        <f>'Dre-Terraplenagem'!K11</f>
        <v>0.6</v>
      </c>
      <c r="L11" s="27">
        <f>'Dre-Terraplenagem'!L11</f>
        <v>0.8</v>
      </c>
      <c r="M11" s="27">
        <f>'Dre-Terraplenagem'!M11</f>
        <v>0.8</v>
      </c>
      <c r="O11" s="22"/>
    </row>
    <row r="12" spans="2:15" ht="14.1" customHeight="1" x14ac:dyDescent="0.25">
      <c r="B12" s="351"/>
      <c r="C12" s="349" t="s">
        <v>118</v>
      </c>
      <c r="D12" s="341"/>
      <c r="E12" s="341"/>
      <c r="G12" s="25">
        <f>'Dre-Terraplenagem'!G12</f>
        <v>1</v>
      </c>
      <c r="H12" s="25">
        <f>'Dre-Terraplenagem'!H12</f>
        <v>1</v>
      </c>
      <c r="I12" s="25">
        <f>'Dre-Terraplenagem'!I12</f>
        <v>1</v>
      </c>
      <c r="J12" s="25">
        <f>'Dre-Terraplenagem'!J12</f>
        <v>1</v>
      </c>
      <c r="K12" s="25">
        <f>'Dre-Terraplenagem'!K12</f>
        <v>1</v>
      </c>
      <c r="L12" s="25">
        <f>'Dre-Terraplenagem'!L12</f>
        <v>1</v>
      </c>
      <c r="M12" s="25">
        <f>'Dre-Terraplenagem'!M12</f>
        <v>1</v>
      </c>
      <c r="O12" s="23"/>
    </row>
    <row r="13" spans="2:15" ht="14.1" customHeight="1" x14ac:dyDescent="0.25">
      <c r="B13" s="351"/>
      <c r="C13" s="349" t="s">
        <v>562</v>
      </c>
      <c r="D13" s="341"/>
      <c r="E13" s="341"/>
      <c r="G13" s="25" t="str">
        <f>'Dre-Terraplenagem'!G13</f>
        <v>C</v>
      </c>
      <c r="H13" s="25" t="str">
        <f>'Dre-Terraplenagem'!H13</f>
        <v>C</v>
      </c>
      <c r="I13" s="25" t="str">
        <f>'Dre-Terraplenagem'!I13</f>
        <v>C</v>
      </c>
      <c r="J13" s="25" t="str">
        <f>'Dre-Terraplenagem'!J13</f>
        <v>C</v>
      </c>
      <c r="K13" s="25" t="str">
        <f>'Dre-Terraplenagem'!K13</f>
        <v>C</v>
      </c>
      <c r="L13" s="25" t="str">
        <f>'Dre-Terraplenagem'!L13</f>
        <v>C</v>
      </c>
      <c r="M13" s="25" t="str">
        <f>'Dre-Terraplenagem'!M13</f>
        <v>C</v>
      </c>
      <c r="O13" s="23"/>
    </row>
    <row r="14" spans="2:15" ht="14.1" customHeight="1" x14ac:dyDescent="0.25">
      <c r="B14" s="351"/>
      <c r="C14" s="349" t="s">
        <v>119</v>
      </c>
      <c r="D14" s="341"/>
      <c r="E14" s="341"/>
      <c r="G14" s="15" t="str">
        <f>'Dre-Terraplenagem'!G14</f>
        <v>PA-1</v>
      </c>
      <c r="H14" s="15" t="str">
        <f>'Dre-Terraplenagem'!H14</f>
        <v>PA-1</v>
      </c>
      <c r="I14" s="15" t="str">
        <f>'Dre-Terraplenagem'!I14</f>
        <v>PA-1</v>
      </c>
      <c r="J14" s="15" t="str">
        <f>'Dre-Terraplenagem'!J14</f>
        <v>PS-1</v>
      </c>
      <c r="K14" s="15" t="str">
        <f>'Dre-Terraplenagem'!K14</f>
        <v>PS-1</v>
      </c>
      <c r="L14" s="15" t="str">
        <f>'Dre-Terraplenagem'!L14</f>
        <v>PA-1</v>
      </c>
      <c r="M14" s="15" t="str">
        <f>'Dre-Terraplenagem'!M14</f>
        <v>PA-1</v>
      </c>
      <c r="O14" s="23"/>
    </row>
    <row r="15" spans="2:15" ht="14.1" customHeight="1" x14ac:dyDescent="0.25">
      <c r="B15" s="351"/>
      <c r="C15" s="349" t="s">
        <v>120</v>
      </c>
      <c r="D15" s="341" t="s">
        <v>121</v>
      </c>
      <c r="E15" s="341"/>
      <c r="G15" s="27">
        <f>'Dre-Terraplenagem'!G15</f>
        <v>2.2559200000000601</v>
      </c>
      <c r="H15" s="27">
        <f>'Dre-Terraplenagem'!H15</f>
        <v>1.8696199999999976</v>
      </c>
      <c r="I15" s="27">
        <f>'Dre-Terraplenagem'!I15</f>
        <v>2.2721700000000169</v>
      </c>
      <c r="J15" s="27">
        <f>'Dre-Terraplenagem'!J15</f>
        <v>1.5198100000000068</v>
      </c>
      <c r="K15" s="27">
        <f>'Dre-Terraplenagem'!K15</f>
        <v>1.5</v>
      </c>
      <c r="L15" s="27">
        <f>'Dre-Terraplenagem'!L15</f>
        <v>1.6298000000000457</v>
      </c>
      <c r="M15" s="27">
        <f>'Dre-Terraplenagem'!M15</f>
        <v>1.7419450000000438</v>
      </c>
      <c r="O15" s="23"/>
    </row>
    <row r="16" spans="2:15" ht="14.1" customHeight="1" x14ac:dyDescent="0.25">
      <c r="B16" s="351"/>
      <c r="C16" s="349"/>
      <c r="D16" s="341" t="s">
        <v>126</v>
      </c>
      <c r="E16" s="341"/>
      <c r="G16" s="27">
        <f>'Dre-Terraplenagem'!G16</f>
        <v>2.2721700000000169</v>
      </c>
      <c r="H16" s="27">
        <f>'Dre-Terraplenagem'!H16</f>
        <v>1.8192399999999793</v>
      </c>
      <c r="I16" s="27">
        <f>'Dre-Terraplenagem'!I16</f>
        <v>2.1575950000000148</v>
      </c>
      <c r="J16" s="27">
        <f>'Dre-Terraplenagem'!J16</f>
        <v>1.5298000000000229</v>
      </c>
      <c r="K16" s="27">
        <f>'Dre-Terraplenagem'!K16</f>
        <v>1.5274799999999686</v>
      </c>
      <c r="L16" s="27">
        <f>'Dre-Terraplenagem'!L16</f>
        <v>1.7419450000000438</v>
      </c>
      <c r="M16" s="27">
        <f>'Dre-Terraplenagem'!M16</f>
        <v>1.9336150000000316</v>
      </c>
      <c r="O16" s="23"/>
    </row>
    <row r="17" spans="2:15" ht="14.1" customHeight="1" x14ac:dyDescent="0.25">
      <c r="B17" s="351"/>
      <c r="C17" s="349"/>
      <c r="D17" s="341" t="s">
        <v>122</v>
      </c>
      <c r="E17" s="341"/>
      <c r="G17" s="27">
        <f>'Dre-Terraplenagem'!G17</f>
        <v>2.2599999999999998</v>
      </c>
      <c r="H17" s="27">
        <f>'Dre-Terraplenagem'!H17</f>
        <v>1.84</v>
      </c>
      <c r="I17" s="27">
        <f>'Dre-Terraplenagem'!I17</f>
        <v>2.21</v>
      </c>
      <c r="J17" s="27">
        <f>'Dre-Terraplenagem'!J17</f>
        <v>1.52</v>
      </c>
      <c r="K17" s="27">
        <f>'Dre-Terraplenagem'!K17</f>
        <v>1.51</v>
      </c>
      <c r="L17" s="27">
        <f>'Dre-Terraplenagem'!L17</f>
        <v>1.69</v>
      </c>
      <c r="M17" s="27">
        <f>'Dre-Terraplenagem'!M17</f>
        <v>1.84</v>
      </c>
      <c r="O17" s="23"/>
    </row>
    <row r="18" spans="2:15" ht="14.1" customHeight="1" x14ac:dyDescent="0.25">
      <c r="B18" s="351"/>
      <c r="C18" s="349"/>
      <c r="D18" s="341" t="s">
        <v>123</v>
      </c>
      <c r="E18" s="341"/>
      <c r="G18" s="27">
        <f>'Dre-Terraplenagem'!G18</f>
        <v>0.16800000000000001</v>
      </c>
      <c r="H18" s="27">
        <f>'Dre-Terraplenagem'!H18</f>
        <v>0.16800000000000001</v>
      </c>
      <c r="I18" s="27">
        <f>'Dre-Terraplenagem'!I18</f>
        <v>0.21</v>
      </c>
      <c r="J18" s="27">
        <f>'Dre-Terraplenagem'!J18</f>
        <v>0.126</v>
      </c>
      <c r="K18" s="27">
        <f>'Dre-Terraplenagem'!K18</f>
        <v>0.126</v>
      </c>
      <c r="L18" s="27">
        <f>'Dre-Terraplenagem'!L18</f>
        <v>0.16800000000000001</v>
      </c>
      <c r="M18" s="27">
        <f>'Dre-Terraplenagem'!M18</f>
        <v>0.16800000000000001</v>
      </c>
      <c r="O18" s="23"/>
    </row>
    <row r="19" spans="2:15" ht="14.1" customHeight="1" x14ac:dyDescent="0.25">
      <c r="B19" s="351"/>
      <c r="C19" s="349"/>
      <c r="D19" s="341" t="s">
        <v>108</v>
      </c>
      <c r="E19" s="341"/>
      <c r="G19" s="27">
        <f>'Dre-Terraplenagem'!G19</f>
        <v>0</v>
      </c>
      <c r="H19" s="27">
        <f>'Dre-Terraplenagem'!H19</f>
        <v>0</v>
      </c>
      <c r="I19" s="27">
        <f>'Dre-Terraplenagem'!I19</f>
        <v>0</v>
      </c>
      <c r="J19" s="27">
        <f>'Dre-Terraplenagem'!J19</f>
        <v>0</v>
      </c>
      <c r="K19" s="27">
        <f>'Dre-Terraplenagem'!K19</f>
        <v>0</v>
      </c>
      <c r="L19" s="27">
        <f>'Dre-Terraplenagem'!L19</f>
        <v>0</v>
      </c>
      <c r="M19" s="27">
        <f>'Dre-Terraplenagem'!M19</f>
        <v>0</v>
      </c>
      <c r="O19" s="23"/>
    </row>
    <row r="20" spans="2:15" ht="14.1" customHeight="1" x14ac:dyDescent="0.25">
      <c r="B20" s="351"/>
      <c r="C20" s="349"/>
      <c r="D20" s="341" t="s">
        <v>124</v>
      </c>
      <c r="E20" s="341"/>
      <c r="G20" s="27">
        <f>'Dre-Terraplenagem'!G20</f>
        <v>2.4279999999999999</v>
      </c>
      <c r="H20" s="27">
        <f>'Dre-Terraplenagem'!H20</f>
        <v>2.008</v>
      </c>
      <c r="I20" s="27">
        <f>'Dre-Terraplenagem'!I20</f>
        <v>2.42</v>
      </c>
      <c r="J20" s="27">
        <f>'Dre-Terraplenagem'!J20</f>
        <v>1.6459999999999999</v>
      </c>
      <c r="K20" s="27">
        <f>'Dre-Terraplenagem'!K20</f>
        <v>1.6360000000000001</v>
      </c>
      <c r="L20" s="27">
        <f>'Dre-Terraplenagem'!L20</f>
        <v>1.8579999999999999</v>
      </c>
      <c r="M20" s="27">
        <f>'Dre-Terraplenagem'!M20</f>
        <v>2.008</v>
      </c>
      <c r="O20" s="23"/>
    </row>
    <row r="21" spans="2:15" ht="14.1" customHeight="1" x14ac:dyDescent="0.25">
      <c r="B21" s="351"/>
      <c r="C21" s="349" t="s">
        <v>125</v>
      </c>
      <c r="D21" s="341"/>
      <c r="E21" s="341"/>
      <c r="G21" s="25">
        <f>'Dre-Terraplenagem'!G21</f>
        <v>3</v>
      </c>
      <c r="H21" s="25">
        <f>'Dre-Terraplenagem'!H21</f>
        <v>3</v>
      </c>
      <c r="I21" s="25">
        <f>'Dre-Terraplenagem'!I21</f>
        <v>3</v>
      </c>
      <c r="J21" s="25">
        <f>'Dre-Terraplenagem'!J21</f>
        <v>3</v>
      </c>
      <c r="K21" s="25">
        <f>'Dre-Terraplenagem'!K21</f>
        <v>3</v>
      </c>
      <c r="L21" s="25">
        <f>'Dre-Terraplenagem'!L21</f>
        <v>3</v>
      </c>
      <c r="M21" s="25">
        <f>'Dre-Terraplenagem'!M21</f>
        <v>3</v>
      </c>
      <c r="O21" s="24"/>
    </row>
    <row r="22" spans="2:15" ht="5.0999999999999996" customHeight="1" x14ac:dyDescent="0.25">
      <c r="B22" s="351"/>
    </row>
    <row r="23" spans="2:15" ht="14.1" customHeight="1" x14ac:dyDescent="0.25">
      <c r="B23" s="351"/>
      <c r="C23" s="243" t="s">
        <v>174</v>
      </c>
      <c r="D23" s="341" t="s">
        <v>175</v>
      </c>
      <c r="E23" s="341"/>
      <c r="G23" s="27">
        <f>17+17+5+9+33+33</f>
        <v>114</v>
      </c>
      <c r="H23" s="27">
        <v>0</v>
      </c>
      <c r="I23" s="27">
        <f>12+20+20+5+9+30+30</f>
        <v>126</v>
      </c>
      <c r="J23" s="27">
        <v>0</v>
      </c>
      <c r="K23" s="27">
        <f>29+29+17+5+9+17+18+17+5+9</f>
        <v>155</v>
      </c>
      <c r="L23" s="27">
        <f>29+29+17+5+9+17+18+18+5+9</f>
        <v>156</v>
      </c>
      <c r="M23" s="27">
        <f>28+28+11+14+10+17+17+5+9</f>
        <v>139</v>
      </c>
      <c r="O23" s="19">
        <f>SUM(F23:N23)</f>
        <v>690</v>
      </c>
    </row>
    <row r="24" spans="2:15" ht="14.1" customHeight="1" x14ac:dyDescent="0.25">
      <c r="B24" s="351"/>
      <c r="C24" s="349" t="s">
        <v>177</v>
      </c>
      <c r="D24" s="341" t="s">
        <v>176</v>
      </c>
      <c r="E24" s="341"/>
      <c r="G24" s="27">
        <f t="shared" ref="G24:M24" si="0">IF(G11=0.6,G10*G12,0)</f>
        <v>0</v>
      </c>
      <c r="H24" s="27">
        <f t="shared" si="0"/>
        <v>0</v>
      </c>
      <c r="I24" s="27">
        <f t="shared" si="0"/>
        <v>0</v>
      </c>
      <c r="J24" s="27">
        <f t="shared" si="0"/>
        <v>33</v>
      </c>
      <c r="K24" s="27">
        <f t="shared" si="0"/>
        <v>75.44</v>
      </c>
      <c r="L24" s="27">
        <f t="shared" si="0"/>
        <v>0</v>
      </c>
      <c r="M24" s="27">
        <f t="shared" si="0"/>
        <v>0</v>
      </c>
      <c r="O24" s="19">
        <f>SUM(F24:N24)</f>
        <v>108.44</v>
      </c>
    </row>
    <row r="25" spans="2:15" ht="14.1" customHeight="1" x14ac:dyDescent="0.25">
      <c r="B25" s="351"/>
      <c r="C25" s="349"/>
      <c r="D25" s="341" t="s">
        <v>178</v>
      </c>
      <c r="E25" s="341"/>
      <c r="G25" s="27">
        <f t="shared" ref="G25:M25" si="1">IF(G11=0.8,G10*G12,0)</f>
        <v>40</v>
      </c>
      <c r="H25" s="27">
        <f t="shared" si="1"/>
        <v>46</v>
      </c>
      <c r="I25" s="27">
        <f t="shared" si="1"/>
        <v>0</v>
      </c>
      <c r="J25" s="27">
        <f t="shared" si="1"/>
        <v>0</v>
      </c>
      <c r="K25" s="27">
        <f t="shared" si="1"/>
        <v>0</v>
      </c>
      <c r="L25" s="27">
        <f t="shared" si="1"/>
        <v>77.47</v>
      </c>
      <c r="M25" s="27">
        <f t="shared" si="1"/>
        <v>38.89</v>
      </c>
      <c r="O25" s="19">
        <f>SUM(F25:N25)</f>
        <v>202.36</v>
      </c>
    </row>
    <row r="26" spans="2:15" ht="14.1" customHeight="1" x14ac:dyDescent="0.25">
      <c r="B26" s="351"/>
      <c r="C26" s="349"/>
      <c r="D26" s="341" t="s">
        <v>179</v>
      </c>
      <c r="E26" s="341"/>
      <c r="G26" s="27">
        <f t="shared" ref="G26:M26" si="2">IF(G11=1,G10*G12,0)</f>
        <v>0</v>
      </c>
      <c r="H26" s="27">
        <f t="shared" si="2"/>
        <v>0</v>
      </c>
      <c r="I26" s="27">
        <f t="shared" si="2"/>
        <v>10</v>
      </c>
      <c r="J26" s="27">
        <f t="shared" si="2"/>
        <v>0</v>
      </c>
      <c r="K26" s="27">
        <f t="shared" si="2"/>
        <v>0</v>
      </c>
      <c r="L26" s="27">
        <f t="shared" si="2"/>
        <v>0</v>
      </c>
      <c r="M26" s="27">
        <f t="shared" si="2"/>
        <v>0</v>
      </c>
      <c r="O26" s="19">
        <f>SUM(F26:N26)</f>
        <v>10</v>
      </c>
    </row>
    <row r="27" spans="2:15" ht="5.0999999999999996" customHeight="1" x14ac:dyDescent="0.25">
      <c r="B27" s="351"/>
    </row>
    <row r="28" spans="2:15" ht="14.1" customHeight="1" x14ac:dyDescent="0.25">
      <c r="B28" s="351"/>
      <c r="C28" s="349" t="s">
        <v>180</v>
      </c>
      <c r="D28" s="341" t="s">
        <v>175</v>
      </c>
      <c r="E28" s="341"/>
      <c r="G28" s="27">
        <f t="shared" ref="G28:M31" si="3">G23</f>
        <v>114</v>
      </c>
      <c r="H28" s="27">
        <f t="shared" si="3"/>
        <v>0</v>
      </c>
      <c r="I28" s="27">
        <f t="shared" si="3"/>
        <v>126</v>
      </c>
      <c r="J28" s="27">
        <f t="shared" si="3"/>
        <v>0</v>
      </c>
      <c r="K28" s="27">
        <f t="shared" si="3"/>
        <v>155</v>
      </c>
      <c r="L28" s="27">
        <f t="shared" si="3"/>
        <v>156</v>
      </c>
      <c r="M28" s="27">
        <f t="shared" si="3"/>
        <v>139</v>
      </c>
      <c r="O28" s="19">
        <f>SUM(F28:N28)</f>
        <v>690</v>
      </c>
    </row>
    <row r="29" spans="2:15" ht="14.1" customHeight="1" x14ac:dyDescent="0.25">
      <c r="B29" s="351"/>
      <c r="C29" s="349"/>
      <c r="D29" s="341" t="s">
        <v>176</v>
      </c>
      <c r="E29" s="341"/>
      <c r="G29" s="27">
        <f t="shared" si="3"/>
        <v>0</v>
      </c>
      <c r="H29" s="27">
        <f t="shared" si="3"/>
        <v>0</v>
      </c>
      <c r="I29" s="27">
        <f t="shared" si="3"/>
        <v>0</v>
      </c>
      <c r="J29" s="27">
        <f t="shared" si="3"/>
        <v>33</v>
      </c>
      <c r="K29" s="27">
        <f t="shared" si="3"/>
        <v>75.44</v>
      </c>
      <c r="L29" s="27">
        <f t="shared" si="3"/>
        <v>0</v>
      </c>
      <c r="M29" s="27">
        <f t="shared" si="3"/>
        <v>0</v>
      </c>
      <c r="O29" s="19">
        <f>SUM(F29:N29)</f>
        <v>108.44</v>
      </c>
    </row>
    <row r="30" spans="2:15" ht="14.1" customHeight="1" x14ac:dyDescent="0.25">
      <c r="B30" s="351"/>
      <c r="C30" s="349"/>
      <c r="D30" s="341" t="s">
        <v>178</v>
      </c>
      <c r="E30" s="341"/>
      <c r="G30" s="27">
        <f t="shared" si="3"/>
        <v>40</v>
      </c>
      <c r="H30" s="27">
        <f t="shared" si="3"/>
        <v>46</v>
      </c>
      <c r="I30" s="27">
        <f t="shared" si="3"/>
        <v>0</v>
      </c>
      <c r="J30" s="27">
        <f t="shared" si="3"/>
        <v>0</v>
      </c>
      <c r="K30" s="27">
        <f t="shared" si="3"/>
        <v>0</v>
      </c>
      <c r="L30" s="27">
        <f t="shared" si="3"/>
        <v>77.47</v>
      </c>
      <c r="M30" s="27">
        <f t="shared" si="3"/>
        <v>38.89</v>
      </c>
      <c r="O30" s="19">
        <f>SUM(F30:N30)</f>
        <v>202.36</v>
      </c>
    </row>
    <row r="31" spans="2:15" ht="14.1" customHeight="1" x14ac:dyDescent="0.25">
      <c r="B31" s="351"/>
      <c r="C31" s="349"/>
      <c r="D31" s="341" t="s">
        <v>179</v>
      </c>
      <c r="E31" s="341"/>
      <c r="G31" s="27">
        <f t="shared" si="3"/>
        <v>0</v>
      </c>
      <c r="H31" s="27">
        <f t="shared" si="3"/>
        <v>0</v>
      </c>
      <c r="I31" s="27">
        <f t="shared" si="3"/>
        <v>10</v>
      </c>
      <c r="J31" s="27">
        <f t="shared" si="3"/>
        <v>0</v>
      </c>
      <c r="K31" s="27">
        <f t="shared" si="3"/>
        <v>0</v>
      </c>
      <c r="L31" s="27">
        <f t="shared" si="3"/>
        <v>0</v>
      </c>
      <c r="M31" s="27">
        <f t="shared" si="3"/>
        <v>0</v>
      </c>
      <c r="O31" s="19">
        <f>SUM(F31:N31)</f>
        <v>10</v>
      </c>
    </row>
    <row r="32" spans="2:15" ht="5.0999999999999996" customHeight="1" x14ac:dyDescent="0.25">
      <c r="B32" s="351"/>
    </row>
    <row r="33" spans="2:17" ht="14.1" customHeight="1" x14ac:dyDescent="0.25">
      <c r="B33" s="351"/>
      <c r="C33" s="341" t="s">
        <v>181</v>
      </c>
      <c r="D33" s="356" t="s">
        <v>422</v>
      </c>
      <c r="E33" s="356"/>
      <c r="G33" s="126">
        <f t="shared" ref="G33:M33" si="4">180/1000</f>
        <v>0.18</v>
      </c>
      <c r="H33" s="126">
        <f t="shared" si="4"/>
        <v>0.18</v>
      </c>
      <c r="I33" s="126">
        <f t="shared" si="4"/>
        <v>0.18</v>
      </c>
      <c r="J33" s="126">
        <f t="shared" si="4"/>
        <v>0.18</v>
      </c>
      <c r="K33" s="126">
        <f t="shared" si="4"/>
        <v>0.18</v>
      </c>
      <c r="L33" s="126">
        <f t="shared" si="4"/>
        <v>0.18</v>
      </c>
      <c r="M33" s="126">
        <f t="shared" si="4"/>
        <v>0.18</v>
      </c>
      <c r="O33" s="22"/>
      <c r="Q33" s="257">
        <f>0.18/2.4</f>
        <v>7.4999999999999997E-2</v>
      </c>
    </row>
    <row r="34" spans="2:17" ht="14.1" customHeight="1" x14ac:dyDescent="0.25">
      <c r="B34" s="351"/>
      <c r="C34" s="341"/>
      <c r="D34" s="356" t="s">
        <v>423</v>
      </c>
      <c r="E34" s="356"/>
      <c r="G34" s="126">
        <f>347/1000</f>
        <v>0.34699999999999998</v>
      </c>
      <c r="H34" s="126">
        <f t="shared" ref="H34:M34" si="5">347/1000</f>
        <v>0.34699999999999998</v>
      </c>
      <c r="I34" s="126">
        <f t="shared" si="5"/>
        <v>0.34699999999999998</v>
      </c>
      <c r="J34" s="126">
        <f t="shared" si="5"/>
        <v>0.34699999999999998</v>
      </c>
      <c r="K34" s="126">
        <f t="shared" si="5"/>
        <v>0.34699999999999998</v>
      </c>
      <c r="L34" s="126">
        <f t="shared" si="5"/>
        <v>0.34699999999999998</v>
      </c>
      <c r="M34" s="126">
        <f t="shared" si="5"/>
        <v>0.34699999999999998</v>
      </c>
      <c r="O34" s="23"/>
      <c r="Q34" s="257"/>
    </row>
    <row r="35" spans="2:17" ht="14.1" customHeight="1" x14ac:dyDescent="0.25">
      <c r="B35" s="351"/>
      <c r="C35" s="341"/>
      <c r="D35" s="356" t="s">
        <v>424</v>
      </c>
      <c r="E35" s="356"/>
      <c r="G35" s="126">
        <f>625/1000</f>
        <v>0.625</v>
      </c>
      <c r="H35" s="126">
        <f t="shared" ref="H35:M35" si="6">625/1000</f>
        <v>0.625</v>
      </c>
      <c r="I35" s="126">
        <f t="shared" si="6"/>
        <v>0.625</v>
      </c>
      <c r="J35" s="126">
        <f t="shared" si="6"/>
        <v>0.625</v>
      </c>
      <c r="K35" s="126">
        <f t="shared" si="6"/>
        <v>0.625</v>
      </c>
      <c r="L35" s="126">
        <f t="shared" si="6"/>
        <v>0.625</v>
      </c>
      <c r="M35" s="126">
        <f t="shared" si="6"/>
        <v>0.625</v>
      </c>
      <c r="O35" s="23"/>
      <c r="Q35" s="257"/>
    </row>
    <row r="36" spans="2:17" ht="14.1" customHeight="1" x14ac:dyDescent="0.25">
      <c r="B36" s="351"/>
      <c r="C36" s="341"/>
      <c r="D36" s="356" t="s">
        <v>425</v>
      </c>
      <c r="E36" s="356"/>
      <c r="G36" s="126">
        <f>980/1000</f>
        <v>0.98</v>
      </c>
      <c r="H36" s="126">
        <f t="shared" ref="H36:M36" si="7">980/1000</f>
        <v>0.98</v>
      </c>
      <c r="I36" s="126">
        <f t="shared" si="7"/>
        <v>0.98</v>
      </c>
      <c r="J36" s="126">
        <f t="shared" si="7"/>
        <v>0.98</v>
      </c>
      <c r="K36" s="126">
        <f t="shared" si="7"/>
        <v>0.98</v>
      </c>
      <c r="L36" s="126">
        <f t="shared" si="7"/>
        <v>0.98</v>
      </c>
      <c r="M36" s="126">
        <f t="shared" si="7"/>
        <v>0.98</v>
      </c>
      <c r="O36" s="23"/>
      <c r="Q36" s="257"/>
    </row>
    <row r="37" spans="2:17" ht="14.1" customHeight="1" x14ac:dyDescent="0.25">
      <c r="B37" s="351"/>
      <c r="C37" s="341"/>
      <c r="D37" s="341" t="s">
        <v>426</v>
      </c>
      <c r="E37" s="341"/>
      <c r="G37" s="27">
        <f t="shared" ref="G37:M37" si="8">TRUNC(((G23*G33)+(G24*G34)+(G25*G35)+(G26*G36)),2)</f>
        <v>45.52</v>
      </c>
      <c r="H37" s="27">
        <f t="shared" si="8"/>
        <v>28.75</v>
      </c>
      <c r="I37" s="27">
        <f t="shared" si="8"/>
        <v>32.479999999999997</v>
      </c>
      <c r="J37" s="27">
        <f t="shared" si="8"/>
        <v>11.45</v>
      </c>
      <c r="K37" s="27">
        <f t="shared" si="8"/>
        <v>54.07</v>
      </c>
      <c r="L37" s="27">
        <f t="shared" si="8"/>
        <v>76.489999999999995</v>
      </c>
      <c r="M37" s="27">
        <f t="shared" si="8"/>
        <v>49.32</v>
      </c>
      <c r="O37" s="19">
        <f>SUM(F37:N37)</f>
        <v>298.08</v>
      </c>
    </row>
    <row r="38" spans="2:17" ht="14.1" customHeight="1" x14ac:dyDescent="0.25">
      <c r="B38" s="351"/>
      <c r="C38" s="341" t="s">
        <v>380</v>
      </c>
      <c r="D38" s="341"/>
      <c r="E38" s="18">
        <f>IF('Resumo DMT''s'!$E$15&gt;30,30,'Resumo DMT''s'!$E$15)</f>
        <v>30</v>
      </c>
      <c r="G38" s="27">
        <f t="shared" ref="G38:M38" si="9">TRUNC((G37*$E$38),2)</f>
        <v>1365.6</v>
      </c>
      <c r="H38" s="27">
        <f t="shared" si="9"/>
        <v>862.5</v>
      </c>
      <c r="I38" s="27">
        <f t="shared" si="9"/>
        <v>974.4</v>
      </c>
      <c r="J38" s="27">
        <f t="shared" si="9"/>
        <v>343.5</v>
      </c>
      <c r="K38" s="27">
        <f t="shared" si="9"/>
        <v>1622.1</v>
      </c>
      <c r="L38" s="27">
        <f t="shared" si="9"/>
        <v>2294.6999999999998</v>
      </c>
      <c r="M38" s="27">
        <f t="shared" si="9"/>
        <v>1479.6</v>
      </c>
      <c r="O38" s="19">
        <f>SUM(F38:N38)</f>
        <v>8942.4</v>
      </c>
    </row>
    <row r="39" spans="2:17" ht="14.1" customHeight="1" x14ac:dyDescent="0.25">
      <c r="B39" s="351"/>
      <c r="C39" s="341" t="s">
        <v>377</v>
      </c>
      <c r="D39" s="341"/>
      <c r="E39" s="18">
        <f>IF('Resumo DMT''s'!$E$15&gt;30,'Resumo DMT''s'!$E$15-30,0)</f>
        <v>430</v>
      </c>
      <c r="G39" s="27">
        <f t="shared" ref="G39:M39" si="10">TRUNC((G37*$E$39),2)</f>
        <v>19573.599999999999</v>
      </c>
      <c r="H39" s="27">
        <f t="shared" si="10"/>
        <v>12362.5</v>
      </c>
      <c r="I39" s="27">
        <f t="shared" si="10"/>
        <v>13966.4</v>
      </c>
      <c r="J39" s="27">
        <f t="shared" si="10"/>
        <v>4923.5</v>
      </c>
      <c r="K39" s="27">
        <f t="shared" si="10"/>
        <v>23250.1</v>
      </c>
      <c r="L39" s="27">
        <f t="shared" si="10"/>
        <v>32890.699999999997</v>
      </c>
      <c r="M39" s="27">
        <f t="shared" si="10"/>
        <v>21207.599999999999</v>
      </c>
      <c r="O39" s="19">
        <f>SUM(F39:N39)</f>
        <v>128174.39999999999</v>
      </c>
    </row>
    <row r="40" spans="2:17" ht="5.0999999999999996" customHeight="1" x14ac:dyDescent="0.25">
      <c r="B40" s="351"/>
    </row>
    <row r="41" spans="2:17" ht="14.1" customHeight="1" x14ac:dyDescent="0.25">
      <c r="B41" s="351"/>
      <c r="C41" s="357" t="s">
        <v>182</v>
      </c>
      <c r="D41" s="356"/>
      <c r="E41" s="356"/>
      <c r="G41" s="30">
        <v>1</v>
      </c>
      <c r="H41" s="30">
        <v>0</v>
      </c>
      <c r="I41" s="30">
        <v>1</v>
      </c>
      <c r="J41" s="30">
        <v>0</v>
      </c>
      <c r="K41" s="30">
        <v>1</v>
      </c>
      <c r="L41" s="30">
        <v>1</v>
      </c>
      <c r="M41" s="30">
        <v>1</v>
      </c>
      <c r="O41" s="22"/>
    </row>
    <row r="42" spans="2:17" ht="14.1" customHeight="1" x14ac:dyDescent="0.25">
      <c r="B42" s="351"/>
      <c r="C42" s="349" t="s">
        <v>183</v>
      </c>
      <c r="D42" s="356" t="s">
        <v>430</v>
      </c>
      <c r="E42" s="356"/>
      <c r="G42" s="37">
        <v>1.1000000000000001</v>
      </c>
      <c r="H42" s="37">
        <v>1.1000000000000001</v>
      </c>
      <c r="I42" s="37">
        <v>1.1000000000000001</v>
      </c>
      <c r="J42" s="37">
        <v>1.1000000000000001</v>
      </c>
      <c r="K42" s="37">
        <v>1.1000000000000001</v>
      </c>
      <c r="L42" s="37">
        <v>1.1000000000000001</v>
      </c>
      <c r="M42" s="37">
        <v>1.1000000000000001</v>
      </c>
      <c r="O42" s="23"/>
    </row>
    <row r="43" spans="2:17" ht="14.1" customHeight="1" x14ac:dyDescent="0.25">
      <c r="B43" s="351"/>
      <c r="C43" s="349"/>
      <c r="D43" s="356" t="s">
        <v>427</v>
      </c>
      <c r="E43" s="356"/>
      <c r="G43" s="126">
        <v>0.57920000000000005</v>
      </c>
      <c r="H43" s="126">
        <v>0.57920000000000005</v>
      </c>
      <c r="I43" s="126">
        <v>0.57920000000000005</v>
      </c>
      <c r="J43" s="126">
        <v>0.57920000000000005</v>
      </c>
      <c r="K43" s="126">
        <v>0.57920000000000005</v>
      </c>
      <c r="L43" s="126">
        <v>0.57920000000000005</v>
      </c>
      <c r="M43" s="126">
        <v>0.57920000000000005</v>
      </c>
      <c r="O43" s="23"/>
    </row>
    <row r="44" spans="2:17" ht="14.1" customHeight="1" x14ac:dyDescent="0.25">
      <c r="B44" s="351"/>
      <c r="C44" s="349"/>
      <c r="D44" s="356" t="s">
        <v>428</v>
      </c>
      <c r="E44" s="356"/>
      <c r="G44" s="126">
        <v>0.58720000000000006</v>
      </c>
      <c r="H44" s="126">
        <v>0.58720000000000006</v>
      </c>
      <c r="I44" s="126">
        <v>0.58720000000000006</v>
      </c>
      <c r="J44" s="126">
        <v>0.58720000000000006</v>
      </c>
      <c r="K44" s="126">
        <v>0.58720000000000006</v>
      </c>
      <c r="L44" s="126">
        <v>0.58720000000000006</v>
      </c>
      <c r="M44" s="126">
        <v>0.58720000000000006</v>
      </c>
      <c r="O44" s="24"/>
    </row>
    <row r="45" spans="2:17" ht="14.1" customHeight="1" x14ac:dyDescent="0.25">
      <c r="B45" s="351"/>
      <c r="C45" s="349"/>
      <c r="D45" s="341">
        <v>1</v>
      </c>
      <c r="E45" s="341"/>
      <c r="G45" s="25">
        <f t="shared" ref="G45:M45" si="11">IF(G41=1,1,0)</f>
        <v>1</v>
      </c>
      <c r="H45" s="25">
        <f t="shared" si="11"/>
        <v>0</v>
      </c>
      <c r="I45" s="25">
        <f t="shared" si="11"/>
        <v>1</v>
      </c>
      <c r="J45" s="25">
        <f t="shared" si="11"/>
        <v>0</v>
      </c>
      <c r="K45" s="25">
        <f t="shared" si="11"/>
        <v>1</v>
      </c>
      <c r="L45" s="25">
        <f t="shared" si="11"/>
        <v>1</v>
      </c>
      <c r="M45" s="25">
        <f t="shared" si="11"/>
        <v>1</v>
      </c>
      <c r="O45" s="31">
        <f>SUM(F45:N45)</f>
        <v>5</v>
      </c>
    </row>
    <row r="46" spans="2:17" ht="14.1" hidden="1" customHeight="1" x14ac:dyDescent="0.25">
      <c r="B46" s="351"/>
      <c r="C46" s="349"/>
      <c r="D46" s="356" t="s">
        <v>432</v>
      </c>
      <c r="E46" s="356"/>
      <c r="G46" s="125">
        <v>1.0229999999999999</v>
      </c>
      <c r="H46" s="125">
        <v>1.0229999999999999</v>
      </c>
      <c r="I46" s="125">
        <v>1.0229999999999999</v>
      </c>
      <c r="J46" s="125">
        <v>1.0229999999999999</v>
      </c>
      <c r="K46" s="125">
        <v>1.0229999999999999</v>
      </c>
      <c r="L46" s="125">
        <v>1.0229999999999999</v>
      </c>
      <c r="M46" s="125">
        <v>1.0229999999999999</v>
      </c>
      <c r="O46" s="23"/>
    </row>
    <row r="47" spans="2:17" ht="14.1" hidden="1" customHeight="1" x14ac:dyDescent="0.25">
      <c r="B47" s="351"/>
      <c r="C47" s="349"/>
      <c r="D47" s="356" t="s">
        <v>429</v>
      </c>
      <c r="E47" s="356"/>
      <c r="G47" s="37">
        <v>1.74</v>
      </c>
      <c r="H47" s="37">
        <v>1.74</v>
      </c>
      <c r="I47" s="37">
        <v>1.74</v>
      </c>
      <c r="J47" s="37">
        <v>1.74</v>
      </c>
      <c r="K47" s="37">
        <v>1.74</v>
      </c>
      <c r="L47" s="37">
        <v>1.74</v>
      </c>
      <c r="M47" s="37">
        <v>1.74</v>
      </c>
      <c r="O47" s="23"/>
    </row>
    <row r="48" spans="2:17" ht="14.1" hidden="1" customHeight="1" x14ac:dyDescent="0.25">
      <c r="B48" s="351"/>
      <c r="C48" s="349"/>
      <c r="D48" s="356" t="s">
        <v>431</v>
      </c>
      <c r="E48" s="356"/>
      <c r="G48" s="37">
        <v>0.64</v>
      </c>
      <c r="H48" s="37">
        <v>0.64</v>
      </c>
      <c r="I48" s="37">
        <v>0.64</v>
      </c>
      <c r="J48" s="37">
        <v>0.64</v>
      </c>
      <c r="K48" s="37">
        <v>0.64</v>
      </c>
      <c r="L48" s="37">
        <v>0.64</v>
      </c>
      <c r="M48" s="37">
        <v>0.64</v>
      </c>
      <c r="O48" s="23"/>
    </row>
    <row r="49" spans="2:15" ht="14.1" customHeight="1" x14ac:dyDescent="0.25">
      <c r="B49" s="351"/>
      <c r="C49" s="349"/>
      <c r="D49" s="341" t="s">
        <v>187</v>
      </c>
      <c r="E49" s="341"/>
      <c r="G49" s="27">
        <f>TRUNC((G45*(G46*G42+G47*G43+G48*G44)),2)</f>
        <v>2.5</v>
      </c>
      <c r="H49" s="27">
        <f t="shared" ref="H49:M49" si="12">TRUNC((H45*(H46*H42+H47*H43+H48*H44)),2)</f>
        <v>0</v>
      </c>
      <c r="I49" s="27">
        <f t="shared" si="12"/>
        <v>2.5</v>
      </c>
      <c r="J49" s="27">
        <f t="shared" si="12"/>
        <v>0</v>
      </c>
      <c r="K49" s="27">
        <f t="shared" si="12"/>
        <v>2.5</v>
      </c>
      <c r="L49" s="27">
        <f t="shared" si="12"/>
        <v>2.5</v>
      </c>
      <c r="M49" s="27">
        <f t="shared" si="12"/>
        <v>2.5</v>
      </c>
      <c r="O49" s="19">
        <f>SUM(F49:N49)</f>
        <v>12.5</v>
      </c>
    </row>
    <row r="50" spans="2:15" ht="14.1" customHeight="1" x14ac:dyDescent="0.25">
      <c r="B50" s="351"/>
      <c r="C50" s="349"/>
      <c r="D50" s="14" t="s">
        <v>186</v>
      </c>
      <c r="E50" s="18">
        <f>IF('Resumo DMT''s'!$E$14&gt;30,30,'Resumo DMT''s'!$E$14)</f>
        <v>30</v>
      </c>
      <c r="G50" s="27">
        <f t="shared" ref="G50:M50" si="13">TRUNC((G49*$E$50),2)</f>
        <v>75</v>
      </c>
      <c r="H50" s="27">
        <f t="shared" si="13"/>
        <v>0</v>
      </c>
      <c r="I50" s="27">
        <f t="shared" si="13"/>
        <v>75</v>
      </c>
      <c r="J50" s="27">
        <f t="shared" si="13"/>
        <v>0</v>
      </c>
      <c r="K50" s="27">
        <f t="shared" si="13"/>
        <v>75</v>
      </c>
      <c r="L50" s="27">
        <f t="shared" si="13"/>
        <v>75</v>
      </c>
      <c r="M50" s="27">
        <f t="shared" si="13"/>
        <v>75</v>
      </c>
      <c r="O50" s="19">
        <f>SUM(F50:N50)</f>
        <v>375</v>
      </c>
    </row>
    <row r="51" spans="2:15" ht="14.1" customHeight="1" x14ac:dyDescent="0.25">
      <c r="B51" s="351"/>
      <c r="C51" s="349"/>
      <c r="D51" s="14" t="s">
        <v>186</v>
      </c>
      <c r="E51" s="18">
        <f>IF('Resumo DMT''s'!$E$14&gt;30,'Resumo DMT''s'!$E$14-30,0)</f>
        <v>19</v>
      </c>
      <c r="G51" s="27">
        <f t="shared" ref="G51:M51" si="14">TRUNC((G49*$E$51),2)</f>
        <v>47.5</v>
      </c>
      <c r="H51" s="27">
        <f t="shared" si="14"/>
        <v>0</v>
      </c>
      <c r="I51" s="27">
        <f t="shared" si="14"/>
        <v>47.5</v>
      </c>
      <c r="J51" s="27">
        <f t="shared" si="14"/>
        <v>0</v>
      </c>
      <c r="K51" s="27">
        <f t="shared" si="14"/>
        <v>47.5</v>
      </c>
      <c r="L51" s="27">
        <f t="shared" si="14"/>
        <v>47.5</v>
      </c>
      <c r="M51" s="27">
        <f t="shared" si="14"/>
        <v>47.5</v>
      </c>
      <c r="O51" s="19">
        <f>SUM(F51:N51)</f>
        <v>237.5</v>
      </c>
    </row>
    <row r="52" spans="2:15" ht="14.1" customHeight="1" x14ac:dyDescent="0.25">
      <c r="B52" s="351"/>
      <c r="C52" s="349" t="s">
        <v>185</v>
      </c>
      <c r="D52" s="341"/>
      <c r="E52" s="341"/>
      <c r="G52" s="27">
        <f>G45</f>
        <v>1</v>
      </c>
      <c r="H52" s="27">
        <f t="shared" ref="H52:M52" si="15">H45</f>
        <v>0</v>
      </c>
      <c r="I52" s="27">
        <f t="shared" si="15"/>
        <v>1</v>
      </c>
      <c r="J52" s="27">
        <f t="shared" si="15"/>
        <v>0</v>
      </c>
      <c r="K52" s="27">
        <f t="shared" si="15"/>
        <v>1</v>
      </c>
      <c r="L52" s="27">
        <f t="shared" si="15"/>
        <v>1</v>
      </c>
      <c r="M52" s="27">
        <f t="shared" si="15"/>
        <v>1</v>
      </c>
      <c r="O52" s="19">
        <f>SUM(F52:N52)</f>
        <v>5</v>
      </c>
    </row>
    <row r="53" spans="2:15" ht="14.1" customHeight="1" x14ac:dyDescent="0.25">
      <c r="B53" s="351"/>
      <c r="C53" s="349" t="s">
        <v>184</v>
      </c>
      <c r="D53" s="341"/>
      <c r="E53" s="341"/>
      <c r="G53" s="25">
        <f t="shared" ref="G53:M53" si="16">G52</f>
        <v>1</v>
      </c>
      <c r="H53" s="25">
        <f t="shared" si="16"/>
        <v>0</v>
      </c>
      <c r="I53" s="25">
        <f t="shared" si="16"/>
        <v>1</v>
      </c>
      <c r="J53" s="25">
        <f t="shared" si="16"/>
        <v>0</v>
      </c>
      <c r="K53" s="25">
        <f t="shared" si="16"/>
        <v>1</v>
      </c>
      <c r="L53" s="25">
        <f t="shared" si="16"/>
        <v>1</v>
      </c>
      <c r="M53" s="25">
        <f t="shared" si="16"/>
        <v>1</v>
      </c>
      <c r="O53" s="31">
        <f>SUM(F53:N53)</f>
        <v>5</v>
      </c>
    </row>
    <row r="54" spans="2:15" ht="5.0999999999999996" customHeight="1" x14ac:dyDescent="0.25">
      <c r="B54" s="351"/>
    </row>
    <row r="55" spans="2:15" ht="14.1" hidden="1" customHeight="1" x14ac:dyDescent="0.25">
      <c r="B55" s="351"/>
      <c r="C55" s="341" t="s">
        <v>188</v>
      </c>
      <c r="D55" s="356" t="s">
        <v>428</v>
      </c>
      <c r="E55" s="356"/>
      <c r="G55" s="126">
        <v>0.58720000000000006</v>
      </c>
      <c r="H55" s="126">
        <v>0.58720000000000006</v>
      </c>
      <c r="I55" s="126">
        <v>0.58720000000000006</v>
      </c>
      <c r="J55" s="126">
        <v>0.58720000000000006</v>
      </c>
      <c r="K55" s="126">
        <v>0.58720000000000006</v>
      </c>
      <c r="L55" s="126">
        <v>0.58720000000000006</v>
      </c>
      <c r="M55" s="126">
        <v>0.58720000000000006</v>
      </c>
      <c r="O55" s="38"/>
    </row>
    <row r="56" spans="2:15" ht="14.1" customHeight="1" x14ac:dyDescent="0.25">
      <c r="B56" s="351"/>
      <c r="C56" s="341"/>
      <c r="D56" s="341" t="s">
        <v>189</v>
      </c>
      <c r="E56" s="341"/>
      <c r="G56" s="25">
        <v>6</v>
      </c>
      <c r="H56" s="25">
        <v>0</v>
      </c>
      <c r="I56" s="25">
        <v>7</v>
      </c>
      <c r="J56" s="25">
        <v>0</v>
      </c>
      <c r="K56" s="25">
        <v>10</v>
      </c>
      <c r="L56" s="25">
        <v>10</v>
      </c>
      <c r="M56" s="25">
        <v>9</v>
      </c>
      <c r="O56" s="31">
        <f>SUM(F56:N56)</f>
        <v>42</v>
      </c>
    </row>
    <row r="57" spans="2:15" ht="14.1" hidden="1" customHeight="1" x14ac:dyDescent="0.25">
      <c r="B57" s="351"/>
      <c r="C57" s="341"/>
      <c r="D57" s="356" t="s">
        <v>433</v>
      </c>
      <c r="E57" s="356"/>
      <c r="G57" s="125">
        <v>0.72899999999999998</v>
      </c>
      <c r="H57" s="125">
        <v>0.72899999999999998</v>
      </c>
      <c r="I57" s="125">
        <v>0.72899999999999998</v>
      </c>
      <c r="J57" s="125">
        <v>0.72899999999999998</v>
      </c>
      <c r="K57" s="125">
        <v>0.72899999999999998</v>
      </c>
      <c r="L57" s="125">
        <v>0.72899999999999998</v>
      </c>
      <c r="M57" s="125">
        <v>0.72899999999999998</v>
      </c>
      <c r="O57" s="38"/>
    </row>
    <row r="58" spans="2:15" ht="14.1" customHeight="1" x14ac:dyDescent="0.25">
      <c r="B58" s="351"/>
      <c r="C58" s="341"/>
      <c r="D58" s="341" t="s">
        <v>190</v>
      </c>
      <c r="E58" s="341"/>
      <c r="G58" s="27">
        <f>TRUNC(((G56*G55*G57)),2)</f>
        <v>2.56</v>
      </c>
      <c r="H58" s="27">
        <f t="shared" ref="H58:M58" si="17">TRUNC(((H56*H55*H57)),2)</f>
        <v>0</v>
      </c>
      <c r="I58" s="27">
        <f t="shared" si="17"/>
        <v>2.99</v>
      </c>
      <c r="J58" s="27">
        <f t="shared" si="17"/>
        <v>0</v>
      </c>
      <c r="K58" s="27">
        <f t="shared" si="17"/>
        <v>4.28</v>
      </c>
      <c r="L58" s="27">
        <f t="shared" si="17"/>
        <v>4.28</v>
      </c>
      <c r="M58" s="27">
        <f t="shared" si="17"/>
        <v>3.85</v>
      </c>
      <c r="O58" s="19">
        <f>SUM(F58:N58)</f>
        <v>17.960000000000004</v>
      </c>
    </row>
    <row r="59" spans="2:15" ht="14.1" customHeight="1" x14ac:dyDescent="0.25">
      <c r="B59" s="351"/>
      <c r="C59" s="341"/>
      <c r="D59" s="14" t="s">
        <v>186</v>
      </c>
      <c r="E59" s="18">
        <f>IF('Resumo DMT''s'!$E$14&gt;30,30,'Resumo DMT''s'!$E$14)</f>
        <v>30</v>
      </c>
      <c r="G59" s="27">
        <f t="shared" ref="G59:M59" si="18">TRUNC((G58*$E$59),2)</f>
        <v>76.8</v>
      </c>
      <c r="H59" s="27">
        <f t="shared" si="18"/>
        <v>0</v>
      </c>
      <c r="I59" s="27">
        <f t="shared" si="18"/>
        <v>89.7</v>
      </c>
      <c r="J59" s="27">
        <f t="shared" si="18"/>
        <v>0</v>
      </c>
      <c r="K59" s="27">
        <f t="shared" si="18"/>
        <v>128.4</v>
      </c>
      <c r="L59" s="27">
        <f t="shared" si="18"/>
        <v>128.4</v>
      </c>
      <c r="M59" s="27">
        <f t="shared" si="18"/>
        <v>115.5</v>
      </c>
      <c r="O59" s="19">
        <f>SUM(F59:N59)</f>
        <v>538.79999999999995</v>
      </c>
    </row>
    <row r="60" spans="2:15" ht="14.1" customHeight="1" x14ac:dyDescent="0.25">
      <c r="B60" s="351"/>
      <c r="C60" s="341"/>
      <c r="D60" s="14" t="s">
        <v>186</v>
      </c>
      <c r="E60" s="18">
        <f>IF('Resumo DMT''s'!$E$14&gt;30,'Resumo DMT''s'!$E$14-30,0)</f>
        <v>19</v>
      </c>
      <c r="G60" s="27">
        <f t="shared" ref="G60:M60" si="19">TRUNC((G58*$E$60),2)</f>
        <v>48.64</v>
      </c>
      <c r="H60" s="27">
        <f t="shared" si="19"/>
        <v>0</v>
      </c>
      <c r="I60" s="27">
        <f t="shared" si="19"/>
        <v>56.81</v>
      </c>
      <c r="J60" s="27">
        <f t="shared" si="19"/>
        <v>0</v>
      </c>
      <c r="K60" s="27">
        <f t="shared" si="19"/>
        <v>81.319999999999993</v>
      </c>
      <c r="L60" s="27">
        <f t="shared" si="19"/>
        <v>81.319999999999993</v>
      </c>
      <c r="M60" s="27">
        <f t="shared" si="19"/>
        <v>73.150000000000006</v>
      </c>
      <c r="O60" s="19">
        <f>SUM(F60:N60)</f>
        <v>341.24</v>
      </c>
    </row>
  </sheetData>
  <mergeCells count="50">
    <mergeCell ref="C28:C31"/>
    <mergeCell ref="D28:E28"/>
    <mergeCell ref="D29:E29"/>
    <mergeCell ref="D31:E31"/>
    <mergeCell ref="B8:E8"/>
    <mergeCell ref="B10:B60"/>
    <mergeCell ref="C10:E10"/>
    <mergeCell ref="C11:E11"/>
    <mergeCell ref="C12:E12"/>
    <mergeCell ref="C21:E21"/>
    <mergeCell ref="D23:E23"/>
    <mergeCell ref="C14:E14"/>
    <mergeCell ref="C15:C20"/>
    <mergeCell ref="D15:E15"/>
    <mergeCell ref="C39:D39"/>
    <mergeCell ref="D57:E57"/>
    <mergeCell ref="D55:E55"/>
    <mergeCell ref="C42:C51"/>
    <mergeCell ref="C55:C60"/>
    <mergeCell ref="D56:E56"/>
    <mergeCell ref="D58:E58"/>
    <mergeCell ref="D43:E43"/>
    <mergeCell ref="D44:E44"/>
    <mergeCell ref="D46:E46"/>
    <mergeCell ref="D47:E47"/>
    <mergeCell ref="D48:E48"/>
    <mergeCell ref="D33:E33"/>
    <mergeCell ref="D34:E34"/>
    <mergeCell ref="D35:E35"/>
    <mergeCell ref="D45:E45"/>
    <mergeCell ref="D36:E36"/>
    <mergeCell ref="D42:E42"/>
    <mergeCell ref="C41:E41"/>
    <mergeCell ref="C38:D38"/>
    <mergeCell ref="C13:E13"/>
    <mergeCell ref="D19:E19"/>
    <mergeCell ref="D49:E49"/>
    <mergeCell ref="C52:E52"/>
    <mergeCell ref="C53:E53"/>
    <mergeCell ref="D25:E25"/>
    <mergeCell ref="D26:E26"/>
    <mergeCell ref="C33:C37"/>
    <mergeCell ref="D37:E37"/>
    <mergeCell ref="D16:E16"/>
    <mergeCell ref="D17:E17"/>
    <mergeCell ref="D18:E18"/>
    <mergeCell ref="D20:E20"/>
    <mergeCell ref="D30:E30"/>
    <mergeCell ref="C24:C26"/>
    <mergeCell ref="D24:E24"/>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6">
    <tabColor rgb="FF00B050"/>
  </sheetPr>
  <dimension ref="B1:J22"/>
  <sheetViews>
    <sheetView showGridLines="0" view="pageBreakPreview" zoomScaleSheetLayoutView="100" workbookViewId="0">
      <selection activeCell="B2" sqref="B2"/>
    </sheetView>
  </sheetViews>
  <sheetFormatPr defaultRowHeight="12.75" x14ac:dyDescent="0.25"/>
  <cols>
    <col min="1" max="1" width="1.7109375" style="4" customWidth="1"/>
    <col min="2" max="3" width="11.7109375" style="4" customWidth="1"/>
    <col min="4" max="4" width="30.7109375" style="4" customWidth="1"/>
    <col min="5" max="7" width="25.7109375" style="4" customWidth="1"/>
    <col min="8" max="16384" width="9.140625" style="4"/>
  </cols>
  <sheetData>
    <row r="1" spans="2:10" ht="5.0999999999999996" customHeight="1" x14ac:dyDescent="0.25"/>
    <row r="2" spans="2:10" ht="14.1" customHeight="1" x14ac:dyDescent="0.25">
      <c r="B2" s="102" t="str">
        <f>DADOS!$B$3</f>
        <v>CLIENTE:</v>
      </c>
      <c r="C2" s="80" t="str">
        <f>Orçamento!C2</f>
        <v>PREFEITURA MUNICIPAL DE APARECIDA DO TABOADO / MS</v>
      </c>
      <c r="D2" s="36"/>
      <c r="E2" s="36"/>
      <c r="F2" s="36"/>
      <c r="G2" s="40"/>
    </row>
    <row r="3" spans="2:10" ht="14.1" customHeight="1" x14ac:dyDescent="0.25">
      <c r="B3" s="103" t="str">
        <f>DADOS!$B$4</f>
        <v>ENDEREÇO:</v>
      </c>
      <c r="C3" s="81" t="str">
        <f>Orçamento!C3</f>
        <v>RUA ELIAS TOLENTINO DE ALMEIDA, Nº 4.098 - JD. SÃO BENTO</v>
      </c>
      <c r="G3" s="41"/>
    </row>
    <row r="4" spans="2:10" ht="14.1" customHeight="1" x14ac:dyDescent="0.2">
      <c r="B4" s="82"/>
      <c r="C4" s="81"/>
      <c r="G4" s="41"/>
    </row>
    <row r="5" spans="2:10" ht="14.1" customHeight="1" x14ac:dyDescent="0.25">
      <c r="B5" s="103" t="str">
        <f>DADOS!$B$7</f>
        <v>OBRA:</v>
      </c>
      <c r="C5" s="81" t="str">
        <f>Orçamento!C5</f>
        <v>PAVIMENTAÇÃO ASFÁLTICA E DRENAGEM DE ÁGUAS PLUVIAIS</v>
      </c>
      <c r="G5" s="41"/>
    </row>
    <row r="6" spans="2:10" ht="14.1" customHeight="1" x14ac:dyDescent="0.25">
      <c r="B6" s="83" t="str">
        <f>DADOS!$B$8</f>
        <v>LOCAL:</v>
      </c>
      <c r="C6" s="84" t="str">
        <f>Orçamento!C6</f>
        <v>DIVERSAS RUAS NO BAIRRO PRIMAVERA, APARECIDA DO TABOADO / MS</v>
      </c>
      <c r="D6" s="42"/>
      <c r="E6" s="42"/>
      <c r="F6" s="42"/>
      <c r="G6" s="43"/>
    </row>
    <row r="7" spans="2:10" ht="5.0999999999999996" customHeight="1" x14ac:dyDescent="0.25"/>
    <row r="8" spans="2:10" ht="15" customHeight="1" x14ac:dyDescent="0.25">
      <c r="B8" s="288" t="s">
        <v>205</v>
      </c>
      <c r="C8" s="288"/>
      <c r="D8" s="288"/>
      <c r="E8" s="288"/>
      <c r="F8" s="288"/>
      <c r="G8" s="288"/>
      <c r="H8" s="29"/>
      <c r="I8" s="29"/>
      <c r="J8" s="29"/>
    </row>
    <row r="9" spans="2:10" ht="5.0999999999999996" customHeight="1" x14ac:dyDescent="0.25"/>
    <row r="10" spans="2:10" ht="15" customHeight="1" x14ac:dyDescent="0.25">
      <c r="B10" s="283" t="s">
        <v>201</v>
      </c>
      <c r="C10" s="283"/>
      <c r="D10" s="283"/>
      <c r="E10" s="283" t="s">
        <v>202</v>
      </c>
      <c r="F10" s="283"/>
      <c r="G10" s="283"/>
    </row>
    <row r="11" spans="2:10" ht="15" customHeight="1" x14ac:dyDescent="0.25">
      <c r="B11" s="283"/>
      <c r="C11" s="283"/>
      <c r="D11" s="283"/>
      <c r="E11" s="17" t="s">
        <v>203</v>
      </c>
      <c r="F11" s="17" t="s">
        <v>204</v>
      </c>
      <c r="G11" s="17" t="s">
        <v>563</v>
      </c>
    </row>
    <row r="12" spans="2:10" ht="5.0999999999999996" customHeight="1" x14ac:dyDescent="0.25"/>
    <row r="13" spans="2:10" ht="15" customHeight="1" x14ac:dyDescent="0.25">
      <c r="B13" s="330" t="s">
        <v>627</v>
      </c>
      <c r="C13" s="358" t="str">
        <f>'Pav-Terrapl'!G8</f>
        <v>AV. DOS ESTUDANTES - LE</v>
      </c>
      <c r="D13" s="358"/>
      <c r="E13" s="45">
        <v>902.06799999999998</v>
      </c>
      <c r="F13" s="27">
        <v>0</v>
      </c>
      <c r="G13" s="27">
        <f t="shared" ref="G13:G20" si="0">TRUNC((E13-(F13*1.3)),2)</f>
        <v>902.06</v>
      </c>
    </row>
    <row r="14" spans="2:10" ht="15" customHeight="1" x14ac:dyDescent="0.25">
      <c r="B14" s="330"/>
      <c r="C14" s="358" t="str">
        <f>'Pav-Terrapl'!H8</f>
        <v>AV. DOS ESTUDANTES - LD</v>
      </c>
      <c r="D14" s="358"/>
      <c r="E14" s="45">
        <v>808.91800000000001</v>
      </c>
      <c r="F14" s="27">
        <v>0</v>
      </c>
      <c r="G14" s="27">
        <f t="shared" si="0"/>
        <v>808.91</v>
      </c>
    </row>
    <row r="15" spans="2:10" ht="15" customHeight="1" x14ac:dyDescent="0.25">
      <c r="B15" s="330"/>
      <c r="C15" s="358" t="str">
        <f>'Pav-Terrapl'!I8</f>
        <v>AV. AJAX FURQUIM - LE</v>
      </c>
      <c r="D15" s="358"/>
      <c r="E15" s="45">
        <v>134.73599999999999</v>
      </c>
      <c r="F15" s="27">
        <v>0</v>
      </c>
      <c r="G15" s="27">
        <f t="shared" si="0"/>
        <v>134.72999999999999</v>
      </c>
    </row>
    <row r="16" spans="2:10" ht="15" customHeight="1" x14ac:dyDescent="0.25">
      <c r="B16" s="330"/>
      <c r="C16" s="358" t="str">
        <f>'Pav-Terrapl'!J8</f>
        <v>AV. AJAX FURQUIM - LD</v>
      </c>
      <c r="D16" s="358"/>
      <c r="E16" s="45">
        <v>153.393</v>
      </c>
      <c r="F16" s="27">
        <v>0</v>
      </c>
      <c r="G16" s="27">
        <f t="shared" si="0"/>
        <v>153.38999999999999</v>
      </c>
    </row>
    <row r="17" spans="2:7" ht="15" customHeight="1" x14ac:dyDescent="0.25">
      <c r="B17" s="330"/>
      <c r="C17" s="358" t="str">
        <f>'Pav-Terrapl'!K8</f>
        <v>RUA BELO HORIZONTE</v>
      </c>
      <c r="D17" s="358"/>
      <c r="E17" s="45">
        <v>122.51900000000001</v>
      </c>
      <c r="F17" s="27">
        <v>0</v>
      </c>
      <c r="G17" s="27">
        <f t="shared" si="0"/>
        <v>122.51</v>
      </c>
    </row>
    <row r="18" spans="2:7" ht="15" customHeight="1" x14ac:dyDescent="0.25">
      <c r="B18" s="330"/>
      <c r="C18" s="358" t="str">
        <f>'Pav-Terrapl'!L8</f>
        <v>RUA SÃO PAULO</v>
      </c>
      <c r="D18" s="358"/>
      <c r="E18" s="45">
        <v>134.24</v>
      </c>
      <c r="F18" s="27">
        <v>0</v>
      </c>
      <c r="G18" s="27">
        <f t="shared" si="0"/>
        <v>134.24</v>
      </c>
    </row>
    <row r="19" spans="2:7" ht="15" customHeight="1" x14ac:dyDescent="0.25">
      <c r="B19" s="330"/>
      <c r="C19" s="358" t="str">
        <f>'Pav-Terrapl'!M8</f>
        <v>RUA MINAS GERAIS</v>
      </c>
      <c r="D19" s="358"/>
      <c r="E19" s="45">
        <v>133.22300000000001</v>
      </c>
      <c r="F19" s="27">
        <v>0</v>
      </c>
      <c r="G19" s="27">
        <f t="shared" si="0"/>
        <v>133.22</v>
      </c>
    </row>
    <row r="20" spans="2:7" ht="15" customHeight="1" x14ac:dyDescent="0.25">
      <c r="B20" s="330"/>
      <c r="C20" s="358" t="str">
        <f>'Pav-Terrapl'!N8</f>
        <v>RUA CUIABÁ</v>
      </c>
      <c r="D20" s="358"/>
      <c r="E20" s="45">
        <v>124.163</v>
      </c>
      <c r="F20" s="27">
        <v>0</v>
      </c>
      <c r="G20" s="27">
        <f t="shared" si="0"/>
        <v>124.16</v>
      </c>
    </row>
    <row r="21" spans="2:7" ht="5.0999999999999996" customHeight="1" x14ac:dyDescent="0.25">
      <c r="B21" s="330"/>
      <c r="C21" s="226"/>
      <c r="D21" s="220"/>
    </row>
    <row r="22" spans="2:7" ht="20.100000000000001" customHeight="1" x14ac:dyDescent="0.25">
      <c r="B22" s="330"/>
      <c r="C22" s="336" t="s">
        <v>5</v>
      </c>
      <c r="D22" s="338"/>
      <c r="E22" s="225">
        <f>SUM(E12:E21)</f>
        <v>2513.2599999999998</v>
      </c>
      <c r="F22" s="19">
        <f>SUM(F12:F21)</f>
        <v>0</v>
      </c>
      <c r="G22" s="19">
        <f>SUM(G12:G21)</f>
        <v>2513.2199999999998</v>
      </c>
    </row>
  </sheetData>
  <mergeCells count="13">
    <mergeCell ref="C22:D22"/>
    <mergeCell ref="E10:G10"/>
    <mergeCell ref="B8:G8"/>
    <mergeCell ref="B13:B22"/>
    <mergeCell ref="B10:D11"/>
    <mergeCell ref="C13:D13"/>
    <mergeCell ref="C14:D14"/>
    <mergeCell ref="C15:D15"/>
    <mergeCell ref="C16:D16"/>
    <mergeCell ref="C17:D17"/>
    <mergeCell ref="C18:D18"/>
    <mergeCell ref="C19:D19"/>
    <mergeCell ref="C20:D20"/>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8">
    <tabColor rgb="FF00B050"/>
  </sheetPr>
  <dimension ref="B1:P27"/>
  <sheetViews>
    <sheetView showGridLines="0" view="pageBreakPreview" zoomScaleSheetLayoutView="100" workbookViewId="0">
      <pane ySplit="8" topLeftCell="A9" activePane="bottomLeft" state="frozen"/>
      <selection activeCell="K117" sqref="K117"/>
      <selection pane="bottomLeft" activeCell="B2" sqref="B2"/>
    </sheetView>
  </sheetViews>
  <sheetFormatPr defaultRowHeight="12.75" x14ac:dyDescent="0.25"/>
  <cols>
    <col min="1" max="1" width="1.7109375" style="4" customWidth="1"/>
    <col min="2" max="2" width="11.7109375" style="4" customWidth="1"/>
    <col min="3" max="3" width="12.7109375" style="4" customWidth="1"/>
    <col min="4" max="4" width="35.7109375" style="4" customWidth="1"/>
    <col min="5" max="5" width="7.7109375" style="4" customWidth="1"/>
    <col min="6" max="6" width="1.7109375" style="4" customWidth="1"/>
    <col min="7" max="14" width="10.7109375" style="4" customWidth="1"/>
    <col min="15" max="15" width="1.7109375" style="4" customWidth="1"/>
    <col min="16" max="16" width="10.7109375" style="4" customWidth="1"/>
    <col min="17" max="16384" width="9.140625" style="4"/>
  </cols>
  <sheetData>
    <row r="1" spans="2:16" ht="5.0999999999999996" customHeight="1" x14ac:dyDescent="0.25"/>
    <row r="2" spans="2:16" ht="14.1" customHeight="1" x14ac:dyDescent="0.25">
      <c r="B2" s="102" t="str">
        <f>DADOS!$B$3</f>
        <v>CLIENTE:</v>
      </c>
      <c r="C2" s="80" t="str">
        <f>DADOS!$C$3</f>
        <v>PREFEITURA MUNICIPAL DE APARECIDA DO TABOADO / MS</v>
      </c>
      <c r="D2" s="36"/>
      <c r="E2" s="36"/>
      <c r="F2" s="36"/>
      <c r="G2" s="36"/>
      <c r="H2" s="36"/>
      <c r="I2" s="36"/>
      <c r="J2" s="36"/>
      <c r="K2" s="36"/>
      <c r="L2" s="36"/>
      <c r="M2" s="36"/>
      <c r="N2" s="36"/>
      <c r="O2" s="36"/>
      <c r="P2" s="40"/>
    </row>
    <row r="3" spans="2:16" ht="14.1" customHeight="1" x14ac:dyDescent="0.25">
      <c r="B3" s="103" t="str">
        <f>DADOS!$B$4</f>
        <v>ENDEREÇO:</v>
      </c>
      <c r="C3" s="81" t="str">
        <f>DADOS!$C$4</f>
        <v>RUA ELIAS TOLENTINO DE ALMEIDA, Nº 4.098 - JD. SÃO BENTO</v>
      </c>
      <c r="P3" s="41"/>
    </row>
    <row r="4" spans="2:16" ht="14.1" customHeight="1" x14ac:dyDescent="0.2">
      <c r="B4" s="82"/>
      <c r="C4" s="81"/>
      <c r="P4" s="41"/>
    </row>
    <row r="5" spans="2:16" ht="14.1" customHeight="1" x14ac:dyDescent="0.25">
      <c r="B5" s="103" t="str">
        <f>DADOS!$B$7</f>
        <v>OBRA:</v>
      </c>
      <c r="C5" s="81" t="str">
        <f>DADOS!$C$7</f>
        <v>PAVIMENTAÇÃO ASFÁLTICA E DRENAGEM DE ÁGUAS PLUVIAIS</v>
      </c>
      <c r="P5" s="41"/>
    </row>
    <row r="6" spans="2:16" ht="14.1" customHeight="1" x14ac:dyDescent="0.25">
      <c r="B6" s="83" t="str">
        <f>DADOS!$B$8</f>
        <v>LOCAL:</v>
      </c>
      <c r="C6" s="84" t="str">
        <f>DADOS!$C$8</f>
        <v>DIVERSAS RUAS NO BAIRRO PRIMAVERA, APARECIDA DO TABOADO / MS</v>
      </c>
      <c r="D6" s="42"/>
      <c r="E6" s="42"/>
      <c r="F6" s="42"/>
      <c r="G6" s="42"/>
      <c r="H6" s="42"/>
      <c r="I6" s="42"/>
      <c r="J6" s="42"/>
      <c r="K6" s="42"/>
      <c r="L6" s="42"/>
      <c r="M6" s="42"/>
      <c r="N6" s="42"/>
      <c r="O6" s="42"/>
      <c r="P6" s="43"/>
    </row>
    <row r="7" spans="2:16" ht="5.0999999999999996" customHeight="1" x14ac:dyDescent="0.25"/>
    <row r="8" spans="2:16" ht="39.950000000000003" customHeight="1" x14ac:dyDescent="0.25">
      <c r="B8" s="353" t="s">
        <v>201</v>
      </c>
      <c r="C8" s="354"/>
      <c r="D8" s="354"/>
      <c r="E8" s="349"/>
      <c r="G8" s="17" t="s">
        <v>577</v>
      </c>
      <c r="H8" s="17" t="s">
        <v>578</v>
      </c>
      <c r="I8" s="17" t="s">
        <v>579</v>
      </c>
      <c r="J8" s="17" t="s">
        <v>580</v>
      </c>
      <c r="K8" s="17" t="s">
        <v>581</v>
      </c>
      <c r="L8" s="17" t="s">
        <v>582</v>
      </c>
      <c r="M8" s="17" t="s">
        <v>583</v>
      </c>
      <c r="N8" s="17" t="s">
        <v>584</v>
      </c>
      <c r="P8" s="17" t="s">
        <v>5</v>
      </c>
    </row>
    <row r="9" spans="2:16" ht="5.0999999999999996" customHeight="1" x14ac:dyDescent="0.25"/>
    <row r="10" spans="2:16" ht="14.1" customHeight="1" x14ac:dyDescent="0.25">
      <c r="B10" s="350" t="s">
        <v>209</v>
      </c>
      <c r="C10" s="349" t="s">
        <v>116</v>
      </c>
      <c r="D10" s="341"/>
      <c r="E10" s="341"/>
      <c r="G10" s="27">
        <v>346.11</v>
      </c>
      <c r="H10" s="27">
        <v>343.28</v>
      </c>
      <c r="I10" s="27">
        <v>33</v>
      </c>
      <c r="J10" s="27">
        <v>30.04</v>
      </c>
      <c r="K10" s="27">
        <v>16.14</v>
      </c>
      <c r="L10" s="27">
        <v>16.149999999999999</v>
      </c>
      <c r="M10" s="27">
        <v>16.12</v>
      </c>
      <c r="N10" s="27">
        <v>16.12</v>
      </c>
      <c r="P10" s="19">
        <f>SUM(F10:O10)</f>
        <v>816.95999999999992</v>
      </c>
    </row>
    <row r="11" spans="2:16" ht="14.1" customHeight="1" x14ac:dyDescent="0.25">
      <c r="B11" s="351"/>
      <c r="C11" s="349" t="s">
        <v>211</v>
      </c>
      <c r="D11" s="341"/>
      <c r="E11" s="341"/>
      <c r="G11" s="27" t="s">
        <v>212</v>
      </c>
      <c r="H11" s="27" t="s">
        <v>212</v>
      </c>
      <c r="I11" s="27" t="s">
        <v>212</v>
      </c>
      <c r="J11" s="27" t="s">
        <v>212</v>
      </c>
      <c r="K11" s="27" t="s">
        <v>212</v>
      </c>
      <c r="L11" s="27" t="s">
        <v>212</v>
      </c>
      <c r="M11" s="27" t="s">
        <v>212</v>
      </c>
      <c r="N11" s="27" t="s">
        <v>212</v>
      </c>
      <c r="P11" s="22"/>
    </row>
    <row r="12" spans="2:16" ht="14.1" customHeight="1" x14ac:dyDescent="0.25">
      <c r="B12" s="351"/>
      <c r="C12" s="349" t="s">
        <v>210</v>
      </c>
      <c r="D12" s="341"/>
      <c r="E12" s="341"/>
      <c r="G12" s="27">
        <v>9</v>
      </c>
      <c r="H12" s="27">
        <v>9</v>
      </c>
      <c r="I12" s="27">
        <v>8.4</v>
      </c>
      <c r="J12" s="27">
        <v>8.4</v>
      </c>
      <c r="K12" s="27">
        <v>8.4</v>
      </c>
      <c r="L12" s="27">
        <v>8.4</v>
      </c>
      <c r="M12" s="27">
        <v>8.4</v>
      </c>
      <c r="N12" s="27">
        <v>8.4</v>
      </c>
      <c r="P12" s="23"/>
    </row>
    <row r="13" spans="2:16" ht="14.1" customHeight="1" x14ac:dyDescent="0.25">
      <c r="B13" s="351"/>
      <c r="C13" s="349" t="s">
        <v>218</v>
      </c>
      <c r="D13" s="341"/>
      <c r="E13" s="341"/>
      <c r="G13" s="27">
        <v>0.42</v>
      </c>
      <c r="H13" s="27">
        <v>0.42</v>
      </c>
      <c r="I13" s="27">
        <v>0.42</v>
      </c>
      <c r="J13" s="27">
        <v>0.42</v>
      </c>
      <c r="K13" s="27">
        <v>0.42</v>
      </c>
      <c r="L13" s="27">
        <v>0.42</v>
      </c>
      <c r="M13" s="27">
        <v>0.42</v>
      </c>
      <c r="N13" s="27">
        <v>0.42</v>
      </c>
      <c r="P13" s="23"/>
    </row>
    <row r="14" spans="2:16" ht="14.1" customHeight="1" x14ac:dyDescent="0.25">
      <c r="B14" s="351"/>
      <c r="C14" s="349" t="s">
        <v>219</v>
      </c>
      <c r="D14" s="341"/>
      <c r="E14" s="341"/>
      <c r="G14" s="27">
        <v>0.12</v>
      </c>
      <c r="H14" s="27">
        <v>0.12</v>
      </c>
      <c r="I14" s="27">
        <v>0.12</v>
      </c>
      <c r="J14" s="27">
        <v>0.12</v>
      </c>
      <c r="K14" s="27">
        <v>0.12</v>
      </c>
      <c r="L14" s="27">
        <v>0.12</v>
      </c>
      <c r="M14" s="27">
        <v>0.12</v>
      </c>
      <c r="N14" s="27">
        <v>0.12</v>
      </c>
      <c r="P14" s="24"/>
    </row>
    <row r="15" spans="2:16" ht="14.1" customHeight="1" x14ac:dyDescent="0.25">
      <c r="B15" s="351"/>
      <c r="C15" s="349" t="s">
        <v>213</v>
      </c>
      <c r="D15" s="341" t="s">
        <v>575</v>
      </c>
      <c r="E15" s="341"/>
      <c r="G15" s="25">
        <v>13</v>
      </c>
      <c r="H15" s="25">
        <v>13</v>
      </c>
      <c r="I15" s="25">
        <v>4</v>
      </c>
      <c r="J15" s="25">
        <v>4</v>
      </c>
      <c r="K15" s="25">
        <v>4</v>
      </c>
      <c r="L15" s="25">
        <v>4</v>
      </c>
      <c r="M15" s="25">
        <v>4</v>
      </c>
      <c r="N15" s="25">
        <v>4</v>
      </c>
      <c r="P15" s="31">
        <f>SUM(F15:O15)</f>
        <v>50</v>
      </c>
    </row>
    <row r="16" spans="2:16" ht="14.1" customHeight="1" x14ac:dyDescent="0.25">
      <c r="B16" s="351"/>
      <c r="C16" s="349"/>
      <c r="D16" s="341" t="s">
        <v>576</v>
      </c>
      <c r="E16" s="341"/>
      <c r="G16" s="27">
        <v>1.93</v>
      </c>
      <c r="H16" s="27">
        <v>1.93</v>
      </c>
      <c r="I16" s="27">
        <v>1.93</v>
      </c>
      <c r="J16" s="27">
        <v>1.93</v>
      </c>
      <c r="K16" s="27">
        <v>1.93</v>
      </c>
      <c r="L16" s="27">
        <v>1.93</v>
      </c>
      <c r="M16" s="27">
        <v>1.93</v>
      </c>
      <c r="N16" s="27">
        <v>1.93</v>
      </c>
      <c r="P16" s="38"/>
    </row>
    <row r="17" spans="2:16" ht="14.1" customHeight="1" x14ac:dyDescent="0.25">
      <c r="B17" s="351"/>
      <c r="C17" s="349"/>
      <c r="D17" s="341" t="s">
        <v>216</v>
      </c>
      <c r="E17" s="341"/>
      <c r="G17" s="27">
        <v>135.09</v>
      </c>
      <c r="H17" s="27">
        <v>135.16999999999999</v>
      </c>
      <c r="I17" s="27">
        <v>0.33</v>
      </c>
      <c r="J17" s="27">
        <v>0.3</v>
      </c>
      <c r="K17" s="27">
        <v>-0.04</v>
      </c>
      <c r="L17" s="27">
        <v>0.01</v>
      </c>
      <c r="M17" s="27">
        <v>0.03</v>
      </c>
      <c r="N17" s="27">
        <v>-0.01</v>
      </c>
      <c r="P17" s="19">
        <f>SUM(F17:O17)</f>
        <v>270.87999999999994</v>
      </c>
    </row>
    <row r="18" spans="2:16" ht="14.1" customHeight="1" x14ac:dyDescent="0.25">
      <c r="B18" s="351"/>
      <c r="C18" s="349"/>
      <c r="D18" s="341" t="s">
        <v>217</v>
      </c>
      <c r="E18" s="341"/>
      <c r="G18" s="27">
        <f t="shared" ref="G18:N18" si="0">ROUND(((G15*G16)+G17),2)</f>
        <v>160.18</v>
      </c>
      <c r="H18" s="27">
        <f t="shared" si="0"/>
        <v>160.26</v>
      </c>
      <c r="I18" s="27">
        <f t="shared" si="0"/>
        <v>8.0500000000000007</v>
      </c>
      <c r="J18" s="27">
        <f t="shared" si="0"/>
        <v>8.02</v>
      </c>
      <c r="K18" s="27">
        <f t="shared" si="0"/>
        <v>7.68</v>
      </c>
      <c r="L18" s="27">
        <f t="shared" si="0"/>
        <v>7.73</v>
      </c>
      <c r="M18" s="27">
        <f t="shared" si="0"/>
        <v>7.75</v>
      </c>
      <c r="N18" s="27">
        <f t="shared" si="0"/>
        <v>7.71</v>
      </c>
      <c r="P18" s="19">
        <f>SUM(F18:O18)</f>
        <v>367.38</v>
      </c>
    </row>
    <row r="19" spans="2:16" ht="5.0999999999999996" customHeight="1" x14ac:dyDescent="0.25">
      <c r="B19" s="351"/>
    </row>
    <row r="20" spans="2:16" ht="14.1" customHeight="1" x14ac:dyDescent="0.25">
      <c r="B20" s="351"/>
      <c r="C20" s="341" t="s">
        <v>591</v>
      </c>
      <c r="D20" s="341" t="s">
        <v>206</v>
      </c>
      <c r="E20" s="341"/>
      <c r="G20" s="27">
        <f>'Cubação - TopoGRAPH'!G13</f>
        <v>902.06</v>
      </c>
      <c r="H20" s="27">
        <f>'Cubação - TopoGRAPH'!G14</f>
        <v>808.91</v>
      </c>
      <c r="I20" s="27">
        <f>'Cubação - TopoGRAPH'!G15</f>
        <v>134.72999999999999</v>
      </c>
      <c r="J20" s="27">
        <f>'Cubação - TopoGRAPH'!G16</f>
        <v>153.38999999999999</v>
      </c>
      <c r="K20" s="27">
        <f>'Cubação - TopoGRAPH'!G17</f>
        <v>122.51</v>
      </c>
      <c r="L20" s="27">
        <f>'Cubação - TopoGRAPH'!G18</f>
        <v>134.24</v>
      </c>
      <c r="M20" s="27">
        <f>'Cubação - TopoGRAPH'!G19</f>
        <v>133.22</v>
      </c>
      <c r="N20" s="27">
        <f>'Cubação - TopoGRAPH'!G20</f>
        <v>124.16</v>
      </c>
      <c r="P20" s="19">
        <f>SUM(F20:O20)</f>
        <v>2513.2199999999998</v>
      </c>
    </row>
    <row r="21" spans="2:16" ht="14.1" customHeight="1" x14ac:dyDescent="0.25">
      <c r="B21" s="351"/>
      <c r="C21" s="341"/>
      <c r="D21" s="341" t="s">
        <v>207</v>
      </c>
      <c r="E21" s="341"/>
      <c r="G21" s="27">
        <f>TRUNC((G20*1.3),2)</f>
        <v>1172.67</v>
      </c>
      <c r="H21" s="27">
        <f t="shared" ref="H21:N21" si="1">TRUNC((H20*1.3),2)</f>
        <v>1051.58</v>
      </c>
      <c r="I21" s="27">
        <f t="shared" si="1"/>
        <v>175.14</v>
      </c>
      <c r="J21" s="27">
        <f t="shared" si="1"/>
        <v>199.4</v>
      </c>
      <c r="K21" s="27">
        <f t="shared" si="1"/>
        <v>159.26</v>
      </c>
      <c r="L21" s="27">
        <f t="shared" si="1"/>
        <v>174.51</v>
      </c>
      <c r="M21" s="27">
        <f t="shared" si="1"/>
        <v>173.18</v>
      </c>
      <c r="N21" s="27">
        <f t="shared" si="1"/>
        <v>161.4</v>
      </c>
      <c r="P21" s="19">
        <f>SUM(F21:O21)</f>
        <v>3267.1400000000003</v>
      </c>
    </row>
    <row r="22" spans="2:16" ht="14.1" customHeight="1" x14ac:dyDescent="0.25">
      <c r="B22" s="351"/>
      <c r="C22" s="341"/>
      <c r="D22" s="14" t="s">
        <v>170</v>
      </c>
      <c r="E22" s="18">
        <f>'Resumo DMT''s'!$E$13</f>
        <v>6.4</v>
      </c>
      <c r="G22" s="27">
        <f>TRUNC((G21*$E$22),2)</f>
        <v>7505.08</v>
      </c>
      <c r="H22" s="27">
        <f t="shared" ref="H22:N22" si="2">TRUNC((H21*$E$22),2)</f>
        <v>6730.11</v>
      </c>
      <c r="I22" s="27">
        <f t="shared" si="2"/>
        <v>1120.8900000000001</v>
      </c>
      <c r="J22" s="27">
        <f t="shared" si="2"/>
        <v>1276.1600000000001</v>
      </c>
      <c r="K22" s="27">
        <f t="shared" si="2"/>
        <v>1019.26</v>
      </c>
      <c r="L22" s="27">
        <f t="shared" si="2"/>
        <v>1116.8599999999999</v>
      </c>
      <c r="M22" s="27">
        <f t="shared" si="2"/>
        <v>1108.3499999999999</v>
      </c>
      <c r="N22" s="27">
        <f t="shared" si="2"/>
        <v>1032.96</v>
      </c>
      <c r="P22" s="19">
        <f>SUM(F22:O22)</f>
        <v>20909.669999999995</v>
      </c>
    </row>
    <row r="23" spans="2:16" ht="14.1" customHeight="1" x14ac:dyDescent="0.25">
      <c r="B23" s="351"/>
      <c r="C23" s="341"/>
      <c r="D23" s="341" t="s">
        <v>208</v>
      </c>
      <c r="E23" s="341"/>
      <c r="G23" s="27">
        <f t="shared" ref="G23:N23" si="3">G21</f>
        <v>1172.67</v>
      </c>
      <c r="H23" s="27">
        <f t="shared" si="3"/>
        <v>1051.58</v>
      </c>
      <c r="I23" s="27">
        <f t="shared" si="3"/>
        <v>175.14</v>
      </c>
      <c r="J23" s="27">
        <f t="shared" si="3"/>
        <v>199.4</v>
      </c>
      <c r="K23" s="27">
        <f t="shared" si="3"/>
        <v>159.26</v>
      </c>
      <c r="L23" s="27">
        <f t="shared" si="3"/>
        <v>174.51</v>
      </c>
      <c r="M23" s="27">
        <f t="shared" si="3"/>
        <v>173.18</v>
      </c>
      <c r="N23" s="27">
        <f t="shared" si="3"/>
        <v>161.4</v>
      </c>
      <c r="P23" s="19">
        <f>SUM(F23:O23)</f>
        <v>3267.1400000000003</v>
      </c>
    </row>
    <row r="25" spans="2:16" x14ac:dyDescent="0.25">
      <c r="G25" s="107">
        <f>'Pav-Pavimento'!H30</f>
        <v>3275.17</v>
      </c>
      <c r="H25" s="107">
        <f>'Pav-Pavimento'!I30</f>
        <v>3249.78</v>
      </c>
      <c r="I25" s="107">
        <f>'Pav-Pavimento'!J30</f>
        <v>285.25</v>
      </c>
      <c r="J25" s="107">
        <f>'Pav-Pavimento'!K30</f>
        <v>260.35000000000002</v>
      </c>
      <c r="K25" s="107">
        <f>'Pav-Pavimento'!L30</f>
        <v>143.25</v>
      </c>
      <c r="L25" s="107">
        <f>'Pav-Pavimento'!M30</f>
        <v>143.38999999999999</v>
      </c>
      <c r="M25" s="107">
        <f>'Pav-Pavimento'!N30</f>
        <v>143.15</v>
      </c>
      <c r="N25" s="107">
        <f>'Pav-Pavimento'!O30</f>
        <v>143.11000000000001</v>
      </c>
      <c r="O25" s="11"/>
      <c r="P25" s="107">
        <f>'Pav-Pavimento'!Q30</f>
        <v>7643.4500000000007</v>
      </c>
    </row>
    <row r="26" spans="2:16" x14ac:dyDescent="0.25">
      <c r="G26" s="107"/>
      <c r="H26" s="107"/>
      <c r="I26" s="107"/>
      <c r="J26" s="107"/>
      <c r="K26" s="107"/>
      <c r="L26" s="107"/>
      <c r="M26" s="107"/>
      <c r="N26" s="107"/>
      <c r="O26" s="11"/>
      <c r="P26" s="11"/>
    </row>
    <row r="27" spans="2:16" x14ac:dyDescent="0.25">
      <c r="G27" s="107"/>
      <c r="H27" s="107"/>
      <c r="I27" s="107"/>
      <c r="J27" s="107"/>
      <c r="K27" s="107"/>
      <c r="L27" s="107"/>
      <c r="M27" s="107"/>
      <c r="N27" s="107"/>
      <c r="O27" s="11"/>
      <c r="P27" s="11"/>
    </row>
  </sheetData>
  <mergeCells count="16">
    <mergeCell ref="C12:E12"/>
    <mergeCell ref="C20:C23"/>
    <mergeCell ref="B8:E8"/>
    <mergeCell ref="B10:B23"/>
    <mergeCell ref="C11:E11"/>
    <mergeCell ref="C13:E13"/>
    <mergeCell ref="C15:C18"/>
    <mergeCell ref="D15:E15"/>
    <mergeCell ref="D16:E16"/>
    <mergeCell ref="D17:E17"/>
    <mergeCell ref="D18:E18"/>
    <mergeCell ref="C14:E14"/>
    <mergeCell ref="D20:E20"/>
    <mergeCell ref="D21:E21"/>
    <mergeCell ref="D23:E23"/>
    <mergeCell ref="C10:E10"/>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9">
    <tabColor rgb="FF00B050"/>
  </sheetPr>
  <dimension ref="B1:Q40"/>
  <sheetViews>
    <sheetView showGridLines="0" view="pageBreakPreview" topLeftCell="C1" zoomScaleSheetLayoutView="100" workbookViewId="0">
      <pane ySplit="8" topLeftCell="A9" activePane="bottomLeft" state="frozen"/>
      <selection activeCell="K117" sqref="K117"/>
      <selection pane="bottomLeft" activeCell="H10" sqref="H10:O10"/>
    </sheetView>
  </sheetViews>
  <sheetFormatPr defaultRowHeight="12.75" x14ac:dyDescent="0.25"/>
  <cols>
    <col min="1" max="1" width="1.7109375" style="4" customWidth="1"/>
    <col min="2" max="2" width="11.7109375" style="4" customWidth="1"/>
    <col min="3" max="3" width="15.7109375" style="4" customWidth="1"/>
    <col min="4" max="4" width="14.7109375" style="4" customWidth="1"/>
    <col min="5" max="5" width="20.7109375" style="4" customWidth="1"/>
    <col min="6" max="6" width="7.7109375" style="4" customWidth="1"/>
    <col min="7" max="7" width="1.7109375" style="4" customWidth="1"/>
    <col min="8" max="12" width="10.7109375" style="4" customWidth="1"/>
    <col min="13" max="15" width="9.7109375" style="4" customWidth="1"/>
    <col min="16" max="16" width="1.7109375" style="4" customWidth="1"/>
    <col min="17" max="17" width="10.7109375" style="4" customWidth="1"/>
    <col min="18" max="16384" width="9.140625" style="4"/>
  </cols>
  <sheetData>
    <row r="1" spans="2:17" ht="5.0999999999999996" customHeight="1" x14ac:dyDescent="0.25"/>
    <row r="2" spans="2:17" ht="14.1" customHeight="1" x14ac:dyDescent="0.25">
      <c r="B2" s="102" t="str">
        <f>DADOS!$B$3</f>
        <v>CLIENTE:</v>
      </c>
      <c r="C2" s="80" t="str">
        <f>DADOS!$C$3</f>
        <v>PREFEITURA MUNICIPAL DE APARECIDA DO TABOADO / MS</v>
      </c>
      <c r="D2" s="48"/>
      <c r="E2" s="36"/>
      <c r="F2" s="36"/>
      <c r="G2" s="36"/>
      <c r="H2" s="36"/>
      <c r="I2" s="36"/>
      <c r="J2" s="36"/>
      <c r="K2" s="36"/>
      <c r="L2" s="36"/>
      <c r="M2" s="36"/>
      <c r="N2" s="36"/>
      <c r="O2" s="36"/>
      <c r="P2" s="36"/>
      <c r="Q2" s="40"/>
    </row>
    <row r="3" spans="2:17" ht="14.1" customHeight="1" x14ac:dyDescent="0.25">
      <c r="B3" s="103" t="str">
        <f>DADOS!$B$4</f>
        <v>ENDEREÇO:</v>
      </c>
      <c r="C3" s="81" t="str">
        <f>DADOS!$C$4</f>
        <v>RUA ELIAS TOLENTINO DE ALMEIDA, Nº 4.098 - JD. SÃO BENTO</v>
      </c>
      <c r="D3" s="3"/>
      <c r="Q3" s="41"/>
    </row>
    <row r="4" spans="2:17" ht="14.1" customHeight="1" x14ac:dyDescent="0.2">
      <c r="B4" s="82"/>
      <c r="C4" s="81"/>
      <c r="D4" s="3"/>
      <c r="Q4" s="41"/>
    </row>
    <row r="5" spans="2:17" ht="14.1" customHeight="1" x14ac:dyDescent="0.25">
      <c r="B5" s="103" t="str">
        <f>DADOS!$B$7</f>
        <v>OBRA:</v>
      </c>
      <c r="C5" s="81" t="str">
        <f>DADOS!$C$7</f>
        <v>PAVIMENTAÇÃO ASFÁLTICA E DRENAGEM DE ÁGUAS PLUVIAIS</v>
      </c>
      <c r="D5" s="3"/>
      <c r="Q5" s="41"/>
    </row>
    <row r="6" spans="2:17" ht="14.1" customHeight="1" x14ac:dyDescent="0.25">
      <c r="B6" s="83" t="str">
        <f>DADOS!$B$8</f>
        <v>LOCAL:</v>
      </c>
      <c r="C6" s="84" t="str">
        <f>DADOS!$C$8</f>
        <v>DIVERSAS RUAS NO BAIRRO PRIMAVERA, APARECIDA DO TABOADO / MS</v>
      </c>
      <c r="D6" s="7"/>
      <c r="E6" s="42"/>
      <c r="F6" s="42"/>
      <c r="G6" s="42"/>
      <c r="H6" s="42"/>
      <c r="I6" s="42"/>
      <c r="J6" s="42"/>
      <c r="K6" s="42"/>
      <c r="L6" s="42"/>
      <c r="M6" s="42"/>
      <c r="N6" s="42"/>
      <c r="O6" s="42"/>
      <c r="P6" s="42"/>
      <c r="Q6" s="43"/>
    </row>
    <row r="7" spans="2:17" ht="5.0999999999999996" customHeight="1" x14ac:dyDescent="0.25"/>
    <row r="8" spans="2:17" ht="39.950000000000003" customHeight="1" x14ac:dyDescent="0.25">
      <c r="B8" s="353" t="s">
        <v>201</v>
      </c>
      <c r="C8" s="354"/>
      <c r="D8" s="354"/>
      <c r="E8" s="354"/>
      <c r="F8" s="349"/>
      <c r="H8" s="17" t="str">
        <f>'Pav-Terrapl'!G8</f>
        <v>AV. DOS ESTUDANTES - LE</v>
      </c>
      <c r="I8" s="17" t="str">
        <f>'Pav-Terrapl'!H8</f>
        <v>AV. DOS ESTUDANTES - LD</v>
      </c>
      <c r="J8" s="17" t="str">
        <f>'Pav-Terrapl'!I8</f>
        <v>AV. AJAX FURQUIM - LE</v>
      </c>
      <c r="K8" s="17" t="str">
        <f>'Pav-Terrapl'!J8</f>
        <v>AV. AJAX FURQUIM - LD</v>
      </c>
      <c r="L8" s="17" t="str">
        <f>'Pav-Terrapl'!K8</f>
        <v>RUA BELO HORIZONTE</v>
      </c>
      <c r="M8" s="17" t="str">
        <f>'Pav-Terrapl'!L8</f>
        <v>RUA SÃO PAULO</v>
      </c>
      <c r="N8" s="17" t="str">
        <f>'Pav-Terrapl'!M8</f>
        <v>RUA MINAS GERAIS</v>
      </c>
      <c r="O8" s="17" t="str">
        <f>'Pav-Terrapl'!N8</f>
        <v>RUA CUIABÁ</v>
      </c>
      <c r="Q8" s="17" t="s">
        <v>5</v>
      </c>
    </row>
    <row r="9" spans="2:17" ht="5.0999999999999996" customHeight="1" x14ac:dyDescent="0.25"/>
    <row r="10" spans="2:17" ht="14.1" customHeight="1" x14ac:dyDescent="0.25">
      <c r="B10" s="350" t="s">
        <v>220</v>
      </c>
      <c r="C10" s="349" t="s">
        <v>116</v>
      </c>
      <c r="D10" s="341"/>
      <c r="E10" s="341"/>
      <c r="F10" s="341"/>
      <c r="H10" s="27">
        <f>'Pav-Terrapl'!G10</f>
        <v>346.11</v>
      </c>
      <c r="I10" s="27">
        <f>'Pav-Terrapl'!H10</f>
        <v>343.28</v>
      </c>
      <c r="J10" s="27">
        <f>'Pav-Terrapl'!I10</f>
        <v>33</v>
      </c>
      <c r="K10" s="27">
        <f>'Pav-Terrapl'!J10</f>
        <v>30.04</v>
      </c>
      <c r="L10" s="27">
        <f>'Pav-Terrapl'!K10</f>
        <v>16.14</v>
      </c>
      <c r="M10" s="27">
        <f>'Pav-Terrapl'!L10</f>
        <v>16.149999999999999</v>
      </c>
      <c r="N10" s="27">
        <f>'Pav-Terrapl'!M10</f>
        <v>16.12</v>
      </c>
      <c r="O10" s="27">
        <f>'Pav-Terrapl'!N10</f>
        <v>16.12</v>
      </c>
      <c r="Q10" s="19">
        <f>SUM(G10:P10)</f>
        <v>816.95999999999992</v>
      </c>
    </row>
    <row r="11" spans="2:17" ht="14.1" customHeight="1" x14ac:dyDescent="0.25">
      <c r="B11" s="351"/>
      <c r="C11" s="349" t="s">
        <v>211</v>
      </c>
      <c r="D11" s="341"/>
      <c r="E11" s="341"/>
      <c r="F11" s="341"/>
      <c r="H11" s="27" t="str">
        <f>'Pav-Terrapl'!G11</f>
        <v>DUPLA</v>
      </c>
      <c r="I11" s="27" t="str">
        <f>'Pav-Terrapl'!H11</f>
        <v>DUPLA</v>
      </c>
      <c r="J11" s="27" t="str">
        <f>'Pav-Terrapl'!I11</f>
        <v>DUPLA</v>
      </c>
      <c r="K11" s="27" t="str">
        <f>'Pav-Terrapl'!J11</f>
        <v>DUPLA</v>
      </c>
      <c r="L11" s="27" t="str">
        <f>'Pav-Terrapl'!K11</f>
        <v>DUPLA</v>
      </c>
      <c r="M11" s="27" t="str">
        <f>'Pav-Terrapl'!L11</f>
        <v>DUPLA</v>
      </c>
      <c r="N11" s="27" t="str">
        <f>'Pav-Terrapl'!M11</f>
        <v>DUPLA</v>
      </c>
      <c r="O11" s="27" t="str">
        <f>'Pav-Terrapl'!N11</f>
        <v>DUPLA</v>
      </c>
      <c r="Q11" s="22"/>
    </row>
    <row r="12" spans="2:17" ht="14.1" customHeight="1" x14ac:dyDescent="0.25">
      <c r="B12" s="351"/>
      <c r="C12" s="349" t="s">
        <v>210</v>
      </c>
      <c r="D12" s="341"/>
      <c r="E12" s="341"/>
      <c r="F12" s="341"/>
      <c r="H12" s="27">
        <f>'Pav-Terrapl'!G12</f>
        <v>9</v>
      </c>
      <c r="I12" s="27">
        <f>'Pav-Terrapl'!H12</f>
        <v>9</v>
      </c>
      <c r="J12" s="27">
        <f>'Pav-Terrapl'!I12</f>
        <v>8.4</v>
      </c>
      <c r="K12" s="27">
        <f>'Pav-Terrapl'!J12</f>
        <v>8.4</v>
      </c>
      <c r="L12" s="27">
        <f>'Pav-Terrapl'!K12</f>
        <v>8.4</v>
      </c>
      <c r="M12" s="27">
        <f>'Pav-Terrapl'!L12</f>
        <v>8.4</v>
      </c>
      <c r="N12" s="27">
        <f>'Pav-Terrapl'!M12</f>
        <v>8.4</v>
      </c>
      <c r="O12" s="27">
        <f>'Pav-Terrapl'!N12</f>
        <v>8.4</v>
      </c>
      <c r="Q12" s="23"/>
    </row>
    <row r="13" spans="2:17" ht="14.1" customHeight="1" x14ac:dyDescent="0.25">
      <c r="B13" s="351"/>
      <c r="C13" s="349" t="s">
        <v>218</v>
      </c>
      <c r="D13" s="341"/>
      <c r="E13" s="341"/>
      <c r="F13" s="341"/>
      <c r="H13" s="27">
        <f>'Pav-Terrapl'!G13</f>
        <v>0.42</v>
      </c>
      <c r="I13" s="27">
        <f>'Pav-Terrapl'!H13</f>
        <v>0.42</v>
      </c>
      <c r="J13" s="27">
        <f>'Pav-Terrapl'!I13</f>
        <v>0.42</v>
      </c>
      <c r="K13" s="27">
        <f>'Pav-Terrapl'!J13</f>
        <v>0.42</v>
      </c>
      <c r="L13" s="27">
        <f>'Pav-Terrapl'!K13</f>
        <v>0.42</v>
      </c>
      <c r="M13" s="27">
        <f>'Pav-Terrapl'!L13</f>
        <v>0.42</v>
      </c>
      <c r="N13" s="27">
        <f>'Pav-Terrapl'!M13</f>
        <v>0.42</v>
      </c>
      <c r="O13" s="27">
        <f>'Pav-Terrapl'!N13</f>
        <v>0.42</v>
      </c>
      <c r="Q13" s="23"/>
    </row>
    <row r="14" spans="2:17" ht="14.1" customHeight="1" x14ac:dyDescent="0.25">
      <c r="B14" s="351"/>
      <c r="C14" s="349" t="s">
        <v>219</v>
      </c>
      <c r="D14" s="341"/>
      <c r="E14" s="341"/>
      <c r="F14" s="341"/>
      <c r="H14" s="27">
        <f>'Pav-Terrapl'!G14</f>
        <v>0.12</v>
      </c>
      <c r="I14" s="27">
        <f>'Pav-Terrapl'!H14</f>
        <v>0.12</v>
      </c>
      <c r="J14" s="27">
        <f>'Pav-Terrapl'!I14</f>
        <v>0.12</v>
      </c>
      <c r="K14" s="27">
        <f>'Pav-Terrapl'!J14</f>
        <v>0.12</v>
      </c>
      <c r="L14" s="27">
        <f>'Pav-Terrapl'!K14</f>
        <v>0.12</v>
      </c>
      <c r="M14" s="27">
        <f>'Pav-Terrapl'!L14</f>
        <v>0.12</v>
      </c>
      <c r="N14" s="27">
        <f>'Pav-Terrapl'!M14</f>
        <v>0.12</v>
      </c>
      <c r="O14" s="27">
        <f>'Pav-Terrapl'!N14</f>
        <v>0.12</v>
      </c>
      <c r="Q14" s="24"/>
    </row>
    <row r="15" spans="2:17" ht="14.1" customHeight="1" x14ac:dyDescent="0.25">
      <c r="B15" s="351"/>
      <c r="C15" s="349" t="s">
        <v>213</v>
      </c>
      <c r="D15" s="341" t="s">
        <v>214</v>
      </c>
      <c r="E15" s="341"/>
      <c r="F15" s="341"/>
      <c r="H15" s="25">
        <f>'Pav-Terrapl'!G15</f>
        <v>13</v>
      </c>
      <c r="I15" s="25">
        <f>'Pav-Terrapl'!H15</f>
        <v>13</v>
      </c>
      <c r="J15" s="25">
        <f>'Pav-Terrapl'!I15</f>
        <v>4</v>
      </c>
      <c r="K15" s="25">
        <f>'Pav-Terrapl'!J15</f>
        <v>4</v>
      </c>
      <c r="L15" s="25">
        <f>'Pav-Terrapl'!K15</f>
        <v>4</v>
      </c>
      <c r="M15" s="25">
        <f>'Pav-Terrapl'!L15</f>
        <v>4</v>
      </c>
      <c r="N15" s="25">
        <f>'Pav-Terrapl'!M15</f>
        <v>4</v>
      </c>
      <c r="O15" s="25">
        <f>'Pav-Terrapl'!N15</f>
        <v>4</v>
      </c>
      <c r="Q15" s="31">
        <f>SUM(G15:P15)</f>
        <v>50</v>
      </c>
    </row>
    <row r="16" spans="2:17" ht="14.1" customHeight="1" x14ac:dyDescent="0.25">
      <c r="B16" s="351"/>
      <c r="C16" s="349"/>
      <c r="D16" s="341" t="s">
        <v>215</v>
      </c>
      <c r="E16" s="341"/>
      <c r="F16" s="341"/>
      <c r="H16" s="27">
        <f>'Pav-Terrapl'!G16</f>
        <v>1.93</v>
      </c>
      <c r="I16" s="27">
        <f>'Pav-Terrapl'!H16</f>
        <v>1.93</v>
      </c>
      <c r="J16" s="27">
        <f>'Pav-Terrapl'!I16</f>
        <v>1.93</v>
      </c>
      <c r="K16" s="27">
        <f>'Pav-Terrapl'!J16</f>
        <v>1.93</v>
      </c>
      <c r="L16" s="27">
        <f>'Pav-Terrapl'!K16</f>
        <v>1.93</v>
      </c>
      <c r="M16" s="27">
        <f>'Pav-Terrapl'!L16</f>
        <v>1.93</v>
      </c>
      <c r="N16" s="27">
        <f>'Pav-Terrapl'!M16</f>
        <v>1.93</v>
      </c>
      <c r="O16" s="27">
        <f>'Pav-Terrapl'!N16</f>
        <v>1.93</v>
      </c>
      <c r="Q16" s="38"/>
    </row>
    <row r="17" spans="2:17" ht="14.1" customHeight="1" x14ac:dyDescent="0.25">
      <c r="B17" s="351"/>
      <c r="C17" s="349"/>
      <c r="D17" s="341" t="s">
        <v>216</v>
      </c>
      <c r="E17" s="341"/>
      <c r="F17" s="341"/>
      <c r="H17" s="27">
        <f>'Pav-Terrapl'!G17</f>
        <v>135.09</v>
      </c>
      <c r="I17" s="27">
        <f>'Pav-Terrapl'!H17</f>
        <v>135.16999999999999</v>
      </c>
      <c r="J17" s="27">
        <f>'Pav-Terrapl'!I17</f>
        <v>0.33</v>
      </c>
      <c r="K17" s="27">
        <f>'Pav-Terrapl'!J17</f>
        <v>0.3</v>
      </c>
      <c r="L17" s="27">
        <f>'Pav-Terrapl'!K17</f>
        <v>-0.04</v>
      </c>
      <c r="M17" s="27">
        <f>'Pav-Terrapl'!L17</f>
        <v>0.01</v>
      </c>
      <c r="N17" s="27">
        <f>'Pav-Terrapl'!M17</f>
        <v>0.03</v>
      </c>
      <c r="O17" s="27">
        <f>'Pav-Terrapl'!N17</f>
        <v>-0.01</v>
      </c>
      <c r="Q17" s="19">
        <f>SUM(G17:P17)</f>
        <v>270.87999999999994</v>
      </c>
    </row>
    <row r="18" spans="2:17" ht="14.1" customHeight="1" x14ac:dyDescent="0.25">
      <c r="B18" s="351"/>
      <c r="C18" s="349"/>
      <c r="D18" s="341" t="s">
        <v>217</v>
      </c>
      <c r="E18" s="341"/>
      <c r="F18" s="341"/>
      <c r="H18" s="27">
        <f>'Pav-Terrapl'!G18</f>
        <v>160.18</v>
      </c>
      <c r="I18" s="27">
        <f>'Pav-Terrapl'!H18</f>
        <v>160.26</v>
      </c>
      <c r="J18" s="27">
        <f>'Pav-Terrapl'!I18</f>
        <v>8.0500000000000007</v>
      </c>
      <c r="K18" s="27">
        <f>'Pav-Terrapl'!J18</f>
        <v>8.02</v>
      </c>
      <c r="L18" s="27">
        <f>'Pav-Terrapl'!K18</f>
        <v>7.68</v>
      </c>
      <c r="M18" s="27">
        <f>'Pav-Terrapl'!L18</f>
        <v>7.73</v>
      </c>
      <c r="N18" s="27">
        <f>'Pav-Terrapl'!M18</f>
        <v>7.75</v>
      </c>
      <c r="O18" s="27">
        <f>'Pav-Terrapl'!N18</f>
        <v>7.71</v>
      </c>
      <c r="Q18" s="19">
        <f>SUM(G18:P18)</f>
        <v>367.38</v>
      </c>
    </row>
    <row r="19" spans="2:17" ht="5.0999999999999996" customHeight="1" x14ac:dyDescent="0.25">
      <c r="B19" s="351"/>
    </row>
    <row r="20" spans="2:17" ht="14.1" customHeight="1" x14ac:dyDescent="0.25">
      <c r="B20" s="351"/>
      <c r="C20" s="349" t="s">
        <v>35</v>
      </c>
      <c r="D20" s="341" t="s">
        <v>222</v>
      </c>
      <c r="E20" s="341"/>
      <c r="F20" s="341"/>
      <c r="H20" s="27">
        <f t="shared" ref="H20:O20" si="0">TRUNC((H12+2*(H13+0.1)),2)</f>
        <v>10.039999999999999</v>
      </c>
      <c r="I20" s="27">
        <f t="shared" si="0"/>
        <v>10.039999999999999</v>
      </c>
      <c r="J20" s="27">
        <f t="shared" si="0"/>
        <v>9.44</v>
      </c>
      <c r="K20" s="27">
        <f t="shared" si="0"/>
        <v>9.44</v>
      </c>
      <c r="L20" s="27">
        <f t="shared" si="0"/>
        <v>9.44</v>
      </c>
      <c r="M20" s="27">
        <f t="shared" si="0"/>
        <v>9.44</v>
      </c>
      <c r="N20" s="27">
        <f t="shared" si="0"/>
        <v>9.44</v>
      </c>
      <c r="O20" s="27">
        <f t="shared" si="0"/>
        <v>9.44</v>
      </c>
      <c r="Q20" s="38"/>
    </row>
    <row r="21" spans="2:17" ht="14.1" customHeight="1" x14ac:dyDescent="0.25">
      <c r="B21" s="351"/>
      <c r="C21" s="349"/>
      <c r="D21" s="341" t="s">
        <v>221</v>
      </c>
      <c r="E21" s="341"/>
      <c r="F21" s="341"/>
      <c r="H21" s="27">
        <f t="shared" ref="H21:O21" si="1">TRUNC(((H10*H20)+H18),2)</f>
        <v>3635.12</v>
      </c>
      <c r="I21" s="27">
        <f t="shared" si="1"/>
        <v>3606.79</v>
      </c>
      <c r="J21" s="27">
        <f t="shared" si="1"/>
        <v>319.57</v>
      </c>
      <c r="K21" s="27">
        <f t="shared" si="1"/>
        <v>291.58999999999997</v>
      </c>
      <c r="L21" s="27">
        <f t="shared" si="1"/>
        <v>160.04</v>
      </c>
      <c r="M21" s="27">
        <f t="shared" si="1"/>
        <v>160.18</v>
      </c>
      <c r="N21" s="27">
        <f t="shared" si="1"/>
        <v>159.91999999999999</v>
      </c>
      <c r="O21" s="27">
        <f t="shared" si="1"/>
        <v>159.88</v>
      </c>
      <c r="Q21" s="19">
        <f>SUM(G21:P21)</f>
        <v>8493.0899999999983</v>
      </c>
    </row>
    <row r="22" spans="2:17" ht="5.0999999999999996" customHeight="1" x14ac:dyDescent="0.25">
      <c r="B22" s="351"/>
    </row>
    <row r="23" spans="2:17" ht="14.1" customHeight="1" x14ac:dyDescent="0.25">
      <c r="B23" s="351"/>
      <c r="C23" s="341" t="s">
        <v>231</v>
      </c>
      <c r="D23" s="341" t="s">
        <v>227</v>
      </c>
      <c r="E23" s="341" t="s">
        <v>222</v>
      </c>
      <c r="F23" s="341"/>
      <c r="H23" s="27">
        <f t="shared" ref="H23:O23" si="2">TRUNC((H12+2*(H13+0.05)),2)</f>
        <v>9.94</v>
      </c>
      <c r="I23" s="27">
        <f t="shared" si="2"/>
        <v>9.94</v>
      </c>
      <c r="J23" s="27">
        <f t="shared" si="2"/>
        <v>9.34</v>
      </c>
      <c r="K23" s="27">
        <f t="shared" si="2"/>
        <v>9.34</v>
      </c>
      <c r="L23" s="27">
        <f t="shared" si="2"/>
        <v>9.34</v>
      </c>
      <c r="M23" s="27">
        <f t="shared" si="2"/>
        <v>9.34</v>
      </c>
      <c r="N23" s="27">
        <f t="shared" si="2"/>
        <v>9.34</v>
      </c>
      <c r="O23" s="27">
        <f t="shared" si="2"/>
        <v>9.34</v>
      </c>
      <c r="Q23" s="22"/>
    </row>
    <row r="24" spans="2:17" ht="14.1" customHeight="1" x14ac:dyDescent="0.25">
      <c r="B24" s="351"/>
      <c r="C24" s="341"/>
      <c r="D24" s="341"/>
      <c r="E24" s="341" t="s">
        <v>225</v>
      </c>
      <c r="F24" s="341"/>
      <c r="H24" s="27">
        <v>0.15</v>
      </c>
      <c r="I24" s="27">
        <v>0.15</v>
      </c>
      <c r="J24" s="27">
        <v>0.15</v>
      </c>
      <c r="K24" s="27">
        <v>0.15</v>
      </c>
      <c r="L24" s="27">
        <v>0.15</v>
      </c>
      <c r="M24" s="27">
        <v>0.15</v>
      </c>
      <c r="N24" s="27">
        <v>0.15</v>
      </c>
      <c r="O24" s="27">
        <v>0.15</v>
      </c>
      <c r="Q24" s="24"/>
    </row>
    <row r="25" spans="2:17" ht="14.1" customHeight="1" x14ac:dyDescent="0.25">
      <c r="B25" s="351"/>
      <c r="C25" s="341"/>
      <c r="D25" s="341"/>
      <c r="E25" s="341" t="s">
        <v>226</v>
      </c>
      <c r="F25" s="341"/>
      <c r="H25" s="27">
        <f>TRUNC((((H10*H23)+H18)*H24),2)</f>
        <v>540.07000000000005</v>
      </c>
      <c r="I25" s="27">
        <f t="shared" ref="I25:O25" si="3">TRUNC((((I10*I23)+I18)*I24),2)</f>
        <v>535.86</v>
      </c>
      <c r="J25" s="27">
        <f t="shared" si="3"/>
        <v>47.44</v>
      </c>
      <c r="K25" s="27">
        <f t="shared" si="3"/>
        <v>43.28</v>
      </c>
      <c r="L25" s="27">
        <f t="shared" si="3"/>
        <v>23.76</v>
      </c>
      <c r="M25" s="27">
        <f t="shared" si="3"/>
        <v>23.78</v>
      </c>
      <c r="N25" s="27">
        <f t="shared" si="3"/>
        <v>23.74</v>
      </c>
      <c r="O25" s="27">
        <f t="shared" si="3"/>
        <v>23.74</v>
      </c>
      <c r="Q25" s="19">
        <f t="shared" ref="Q25:Q28" si="4">SUM(G25:P25)</f>
        <v>1261.67</v>
      </c>
    </row>
    <row r="26" spans="2:17" ht="14.1" customHeight="1" x14ac:dyDescent="0.25">
      <c r="B26" s="351"/>
      <c r="C26" s="341"/>
      <c r="D26" s="341" t="s">
        <v>228</v>
      </c>
      <c r="E26" s="341"/>
      <c r="F26" s="341"/>
      <c r="H26" s="27">
        <f>H25</f>
        <v>540.07000000000005</v>
      </c>
      <c r="I26" s="27">
        <f t="shared" ref="I26:O27" si="5">I25</f>
        <v>535.86</v>
      </c>
      <c r="J26" s="27">
        <f t="shared" si="5"/>
        <v>47.44</v>
      </c>
      <c r="K26" s="27">
        <f t="shared" si="5"/>
        <v>43.28</v>
      </c>
      <c r="L26" s="27">
        <f t="shared" si="5"/>
        <v>23.76</v>
      </c>
      <c r="M26" s="27">
        <f t="shared" si="5"/>
        <v>23.78</v>
      </c>
      <c r="N26" s="27">
        <f t="shared" si="5"/>
        <v>23.74</v>
      </c>
      <c r="O26" s="27">
        <f t="shared" si="5"/>
        <v>23.74</v>
      </c>
      <c r="Q26" s="19">
        <f t="shared" si="4"/>
        <v>1261.67</v>
      </c>
    </row>
    <row r="27" spans="2:17" ht="27.95" customHeight="1" x14ac:dyDescent="0.25">
      <c r="B27" s="351"/>
      <c r="C27" s="341"/>
      <c r="D27" s="14" t="s">
        <v>229</v>
      </c>
      <c r="E27" s="341" t="s">
        <v>226</v>
      </c>
      <c r="F27" s="341"/>
      <c r="H27" s="27">
        <f>H26</f>
        <v>540.07000000000005</v>
      </c>
      <c r="I27" s="27">
        <f t="shared" si="5"/>
        <v>535.86</v>
      </c>
      <c r="J27" s="27">
        <f t="shared" si="5"/>
        <v>47.44</v>
      </c>
      <c r="K27" s="27">
        <f t="shared" si="5"/>
        <v>43.28</v>
      </c>
      <c r="L27" s="27">
        <f t="shared" si="5"/>
        <v>23.76</v>
      </c>
      <c r="M27" s="27">
        <f t="shared" si="5"/>
        <v>23.78</v>
      </c>
      <c r="N27" s="27">
        <f t="shared" si="5"/>
        <v>23.74</v>
      </c>
      <c r="O27" s="27">
        <f t="shared" si="5"/>
        <v>23.74</v>
      </c>
      <c r="Q27" s="19">
        <f t="shared" si="4"/>
        <v>1261.67</v>
      </c>
    </row>
    <row r="28" spans="2:17" ht="14.1" customHeight="1" x14ac:dyDescent="0.25">
      <c r="B28" s="351"/>
      <c r="C28" s="341"/>
      <c r="D28" s="14" t="s">
        <v>79</v>
      </c>
      <c r="E28" s="14" t="s">
        <v>230</v>
      </c>
      <c r="F28" s="18">
        <f>IF('Resumo DMT''s'!$E$16&gt;30,30,'Resumo DMT''s'!$E$16)</f>
        <v>11.5</v>
      </c>
      <c r="H28" s="27">
        <f>TRUNC(((H27*$F$28)*1.3),2)</f>
        <v>8074.04</v>
      </c>
      <c r="I28" s="27">
        <f t="shared" ref="I28:O28" si="6">TRUNC(((I27*$F$28)*1.3),2)</f>
        <v>8011.1</v>
      </c>
      <c r="J28" s="27">
        <f t="shared" si="6"/>
        <v>709.22</v>
      </c>
      <c r="K28" s="27">
        <f t="shared" si="6"/>
        <v>647.03</v>
      </c>
      <c r="L28" s="27">
        <f t="shared" si="6"/>
        <v>355.21</v>
      </c>
      <c r="M28" s="27">
        <f t="shared" si="6"/>
        <v>355.51</v>
      </c>
      <c r="N28" s="27">
        <f t="shared" si="6"/>
        <v>354.91</v>
      </c>
      <c r="O28" s="27">
        <f t="shared" si="6"/>
        <v>354.91</v>
      </c>
      <c r="Q28" s="19">
        <f t="shared" si="4"/>
        <v>18861.929999999997</v>
      </c>
    </row>
    <row r="29" spans="2:17" ht="5.0999999999999996" customHeight="1" x14ac:dyDescent="0.25">
      <c r="B29" s="351"/>
    </row>
    <row r="30" spans="2:17" ht="14.1" customHeight="1" x14ac:dyDescent="0.25">
      <c r="B30" s="351"/>
      <c r="C30" s="341" t="s">
        <v>109</v>
      </c>
      <c r="D30" s="341" t="s">
        <v>232</v>
      </c>
      <c r="E30" s="341"/>
      <c r="F30" s="341"/>
      <c r="H30" s="27">
        <f t="shared" ref="H30:O30" si="7">TRUNC(((H10*H12)+H18),2)</f>
        <v>3275.17</v>
      </c>
      <c r="I30" s="27">
        <f t="shared" si="7"/>
        <v>3249.78</v>
      </c>
      <c r="J30" s="27">
        <f t="shared" si="7"/>
        <v>285.25</v>
      </c>
      <c r="K30" s="27">
        <f t="shared" si="7"/>
        <v>260.35000000000002</v>
      </c>
      <c r="L30" s="27">
        <f t="shared" si="7"/>
        <v>143.25</v>
      </c>
      <c r="M30" s="27">
        <f t="shared" si="7"/>
        <v>143.38999999999999</v>
      </c>
      <c r="N30" s="27">
        <f t="shared" si="7"/>
        <v>143.15</v>
      </c>
      <c r="O30" s="27">
        <f t="shared" si="7"/>
        <v>143.11000000000001</v>
      </c>
      <c r="Q30" s="19">
        <f>SUM(G30:P30)</f>
        <v>7643.4500000000007</v>
      </c>
    </row>
    <row r="31" spans="2:17" ht="14.1" hidden="1" customHeight="1" x14ac:dyDescent="0.25">
      <c r="B31" s="351"/>
      <c r="C31" s="341"/>
      <c r="D31" s="356" t="s">
        <v>548</v>
      </c>
      <c r="E31" s="356"/>
      <c r="F31" s="356"/>
      <c r="H31" s="126">
        <f>1.3/1000</f>
        <v>1.2999999999999999E-3</v>
      </c>
      <c r="I31" s="126">
        <f t="shared" ref="I31:O31" si="8">1.3/1000</f>
        <v>1.2999999999999999E-3</v>
      </c>
      <c r="J31" s="126">
        <f t="shared" si="8"/>
        <v>1.2999999999999999E-3</v>
      </c>
      <c r="K31" s="126">
        <f t="shared" si="8"/>
        <v>1.2999999999999999E-3</v>
      </c>
      <c r="L31" s="126">
        <f t="shared" si="8"/>
        <v>1.2999999999999999E-3</v>
      </c>
      <c r="M31" s="126">
        <f t="shared" si="8"/>
        <v>1.2999999999999999E-3</v>
      </c>
      <c r="N31" s="126">
        <f t="shared" si="8"/>
        <v>1.2999999999999999E-3</v>
      </c>
      <c r="O31" s="126">
        <f t="shared" si="8"/>
        <v>1.2999999999999999E-3</v>
      </c>
      <c r="Q31" s="126"/>
    </row>
    <row r="32" spans="2:17" ht="14.1" customHeight="1" x14ac:dyDescent="0.25">
      <c r="B32" s="351"/>
      <c r="C32" s="341"/>
      <c r="D32" s="341" t="s">
        <v>524</v>
      </c>
      <c r="E32" s="341"/>
      <c r="F32" s="341"/>
      <c r="H32" s="27">
        <f t="shared" ref="H32:O32" si="9">TRUNC((H30*H31),2)</f>
        <v>4.25</v>
      </c>
      <c r="I32" s="27">
        <f t="shared" si="9"/>
        <v>4.22</v>
      </c>
      <c r="J32" s="27">
        <f t="shared" si="9"/>
        <v>0.37</v>
      </c>
      <c r="K32" s="27">
        <f t="shared" si="9"/>
        <v>0.33</v>
      </c>
      <c r="L32" s="27">
        <f t="shared" si="9"/>
        <v>0.18</v>
      </c>
      <c r="M32" s="27">
        <f t="shared" si="9"/>
        <v>0.18</v>
      </c>
      <c r="N32" s="27">
        <f t="shared" si="9"/>
        <v>0.18</v>
      </c>
      <c r="O32" s="27">
        <f t="shared" si="9"/>
        <v>0.18</v>
      </c>
      <c r="Q32" s="19">
        <f>SUM(G32:P32)</f>
        <v>9.889999999999997</v>
      </c>
    </row>
    <row r="33" spans="2:17" ht="14.1" customHeight="1" x14ac:dyDescent="0.25">
      <c r="B33" s="351"/>
      <c r="C33" s="341"/>
      <c r="D33" s="341" t="s">
        <v>523</v>
      </c>
      <c r="E33" s="341"/>
      <c r="F33" s="18">
        <f>IF('Resumo DMT''s'!$E$17&gt;30,30,'Resumo DMT''s'!$E$17)</f>
        <v>30</v>
      </c>
      <c r="H33" s="27">
        <f>TRUNC((H32*$F$33),2)</f>
        <v>127.5</v>
      </c>
      <c r="I33" s="27">
        <f>TRUNC((I32*$F$33),2)</f>
        <v>126.6</v>
      </c>
      <c r="J33" s="27">
        <f t="shared" ref="J33:O33" si="10">TRUNC((J32*$F$33),2)</f>
        <v>11.1</v>
      </c>
      <c r="K33" s="27">
        <f t="shared" si="10"/>
        <v>9.9</v>
      </c>
      <c r="L33" s="27">
        <f t="shared" si="10"/>
        <v>5.4</v>
      </c>
      <c r="M33" s="27">
        <f t="shared" si="10"/>
        <v>5.4</v>
      </c>
      <c r="N33" s="27">
        <f t="shared" si="10"/>
        <v>5.4</v>
      </c>
      <c r="O33" s="27">
        <f t="shared" si="10"/>
        <v>5.4</v>
      </c>
      <c r="Q33" s="19">
        <f>SUM(G33:P33)</f>
        <v>296.69999999999987</v>
      </c>
    </row>
    <row r="34" spans="2:17" ht="14.1" customHeight="1" x14ac:dyDescent="0.25">
      <c r="B34" s="351"/>
      <c r="C34" s="341"/>
      <c r="D34" s="341" t="s">
        <v>523</v>
      </c>
      <c r="E34" s="341"/>
      <c r="F34" s="18">
        <f>IF('Resumo DMT''s'!$E$17&gt;30,'Resumo DMT''s'!$E$17-30,0)</f>
        <v>457</v>
      </c>
      <c r="H34" s="27">
        <f>TRUNC((H32*$F$34),2)</f>
        <v>1942.25</v>
      </c>
      <c r="I34" s="27">
        <f>TRUNC((I32*$F$34),2)</f>
        <v>1928.54</v>
      </c>
      <c r="J34" s="27">
        <f t="shared" ref="J34:O34" si="11">TRUNC((J32*$F$34),2)</f>
        <v>169.09</v>
      </c>
      <c r="K34" s="27">
        <f t="shared" si="11"/>
        <v>150.81</v>
      </c>
      <c r="L34" s="27">
        <f t="shared" si="11"/>
        <v>82.26</v>
      </c>
      <c r="M34" s="27">
        <f t="shared" si="11"/>
        <v>82.26</v>
      </c>
      <c r="N34" s="27">
        <f t="shared" si="11"/>
        <v>82.26</v>
      </c>
      <c r="O34" s="27">
        <f t="shared" si="11"/>
        <v>82.26</v>
      </c>
      <c r="Q34" s="19">
        <f>SUM(G34:P34)</f>
        <v>4519.7300000000014</v>
      </c>
    </row>
    <row r="35" spans="2:17" ht="5.0999999999999996" customHeight="1" x14ac:dyDescent="0.25">
      <c r="B35" s="351"/>
    </row>
    <row r="36" spans="2:17" ht="14.1" customHeight="1" x14ac:dyDescent="0.25">
      <c r="B36" s="351"/>
      <c r="C36" s="341" t="s">
        <v>110</v>
      </c>
      <c r="D36" s="341" t="s">
        <v>233</v>
      </c>
      <c r="E36" s="341"/>
      <c r="F36" s="341"/>
      <c r="H36" s="27">
        <v>0.03</v>
      </c>
      <c r="I36" s="27">
        <v>0.03</v>
      </c>
      <c r="J36" s="27">
        <v>0.03</v>
      </c>
      <c r="K36" s="27">
        <v>0.03</v>
      </c>
      <c r="L36" s="27">
        <v>0.03</v>
      </c>
      <c r="M36" s="27">
        <v>0.03</v>
      </c>
      <c r="N36" s="27">
        <v>0.03</v>
      </c>
      <c r="O36" s="27">
        <v>0.03</v>
      </c>
      <c r="Q36" s="22"/>
    </row>
    <row r="37" spans="2:17" ht="14.1" customHeight="1" x14ac:dyDescent="0.25">
      <c r="B37" s="351"/>
      <c r="C37" s="341"/>
      <c r="D37" s="341" t="s">
        <v>611</v>
      </c>
      <c r="E37" s="341"/>
      <c r="F37" s="341"/>
      <c r="H37" s="27">
        <f>TRUNC((H30*H36),2)</f>
        <v>98.25</v>
      </c>
      <c r="I37" s="27">
        <f t="shared" ref="I37:O37" si="12">TRUNC((I30*I36),2)</f>
        <v>97.49</v>
      </c>
      <c r="J37" s="27">
        <f t="shared" si="12"/>
        <v>8.5500000000000007</v>
      </c>
      <c r="K37" s="27">
        <f t="shared" si="12"/>
        <v>7.81</v>
      </c>
      <c r="L37" s="27">
        <f t="shared" si="12"/>
        <v>4.29</v>
      </c>
      <c r="M37" s="27">
        <f t="shared" si="12"/>
        <v>4.3</v>
      </c>
      <c r="N37" s="27">
        <f t="shared" si="12"/>
        <v>4.29</v>
      </c>
      <c r="O37" s="27">
        <f t="shared" si="12"/>
        <v>4.29</v>
      </c>
      <c r="Q37" s="19">
        <f>SUM(G37:P37)</f>
        <v>229.27</v>
      </c>
    </row>
    <row r="38" spans="2:17" ht="13.5" customHeight="1" x14ac:dyDescent="0.25">
      <c r="B38" s="351"/>
      <c r="C38" s="341"/>
      <c r="D38" s="341" t="s">
        <v>612</v>
      </c>
      <c r="E38" s="341"/>
      <c r="F38" s="341"/>
      <c r="H38" s="27">
        <f>H37</f>
        <v>98.25</v>
      </c>
      <c r="I38" s="27">
        <f t="shared" ref="I38:O38" si="13">I37</f>
        <v>97.49</v>
      </c>
      <c r="J38" s="27">
        <f t="shared" si="13"/>
        <v>8.5500000000000007</v>
      </c>
      <c r="K38" s="27">
        <f t="shared" si="13"/>
        <v>7.81</v>
      </c>
      <c r="L38" s="27">
        <f t="shared" si="13"/>
        <v>4.29</v>
      </c>
      <c r="M38" s="27">
        <f t="shared" si="13"/>
        <v>4.3</v>
      </c>
      <c r="N38" s="27">
        <f t="shared" si="13"/>
        <v>4.29</v>
      </c>
      <c r="O38" s="27">
        <f t="shared" si="13"/>
        <v>4.29</v>
      </c>
      <c r="Q38" s="19">
        <f>SUM(G38:P38)</f>
        <v>229.27</v>
      </c>
    </row>
    <row r="39" spans="2:17" ht="13.5" customHeight="1" x14ac:dyDescent="0.25">
      <c r="B39" s="351"/>
      <c r="C39" s="341"/>
      <c r="D39" s="341" t="s">
        <v>613</v>
      </c>
      <c r="E39" s="341"/>
      <c r="F39" s="18">
        <f>IF('Resumo DMT''s'!$E$19&gt;30,30,'Resumo DMT''s'!$E$19)</f>
        <v>30</v>
      </c>
      <c r="H39" s="27">
        <f>TRUNC((H38*$F$39),2)</f>
        <v>2947.5</v>
      </c>
      <c r="I39" s="27">
        <f t="shared" ref="I39:O39" si="14">TRUNC((I38*$F$39),2)</f>
        <v>2924.7</v>
      </c>
      <c r="J39" s="27">
        <f t="shared" si="14"/>
        <v>256.5</v>
      </c>
      <c r="K39" s="27">
        <f t="shared" si="14"/>
        <v>234.3</v>
      </c>
      <c r="L39" s="27">
        <f t="shared" si="14"/>
        <v>128.69999999999999</v>
      </c>
      <c r="M39" s="27">
        <f t="shared" si="14"/>
        <v>129</v>
      </c>
      <c r="N39" s="27">
        <f t="shared" si="14"/>
        <v>128.69999999999999</v>
      </c>
      <c r="O39" s="27">
        <f t="shared" si="14"/>
        <v>128.69999999999999</v>
      </c>
      <c r="Q39" s="19">
        <f>SUM(G39:P39)</f>
        <v>6878.0999999999995</v>
      </c>
    </row>
    <row r="40" spans="2:17" ht="13.5" customHeight="1" x14ac:dyDescent="0.25">
      <c r="B40" s="352"/>
      <c r="C40" s="341"/>
      <c r="D40" s="341" t="s">
        <v>613</v>
      </c>
      <c r="E40" s="341"/>
      <c r="F40" s="18">
        <f>IF('Resumo DMT''s'!$E$19&gt;30,'Resumo DMT''s'!$E$19-30,0)</f>
        <v>19.5</v>
      </c>
      <c r="H40" s="27">
        <f>TRUNC((H38*$F$40),2)</f>
        <v>1915.87</v>
      </c>
      <c r="I40" s="27">
        <f t="shared" ref="I40:O40" si="15">TRUNC((I38*$F$40),2)</f>
        <v>1901.05</v>
      </c>
      <c r="J40" s="27">
        <f t="shared" si="15"/>
        <v>166.72</v>
      </c>
      <c r="K40" s="27">
        <f t="shared" si="15"/>
        <v>152.29</v>
      </c>
      <c r="L40" s="27">
        <f t="shared" si="15"/>
        <v>83.65</v>
      </c>
      <c r="M40" s="27">
        <f t="shared" si="15"/>
        <v>83.85</v>
      </c>
      <c r="N40" s="27">
        <f t="shared" si="15"/>
        <v>83.65</v>
      </c>
      <c r="O40" s="27">
        <f t="shared" si="15"/>
        <v>83.65</v>
      </c>
      <c r="Q40" s="19">
        <f>SUM(G40:P40)</f>
        <v>4470.7299999999996</v>
      </c>
    </row>
  </sheetData>
  <mergeCells count="34">
    <mergeCell ref="C36:C40"/>
    <mergeCell ref="D36:F36"/>
    <mergeCell ref="D37:F37"/>
    <mergeCell ref="D38:F38"/>
    <mergeCell ref="D40:E40"/>
    <mergeCell ref="D39:E39"/>
    <mergeCell ref="C14:F14"/>
    <mergeCell ref="C10:F10"/>
    <mergeCell ref="C11:F11"/>
    <mergeCell ref="C12:F12"/>
    <mergeCell ref="C13:F13"/>
    <mergeCell ref="C20:C21"/>
    <mergeCell ref="D20:F20"/>
    <mergeCell ref="C15:C18"/>
    <mergeCell ref="D15:F15"/>
    <mergeCell ref="D16:F16"/>
    <mergeCell ref="D17:F17"/>
    <mergeCell ref="D18:F18"/>
    <mergeCell ref="B10:B40"/>
    <mergeCell ref="B8:F8"/>
    <mergeCell ref="C30:C34"/>
    <mergeCell ref="D30:F30"/>
    <mergeCell ref="D31:F31"/>
    <mergeCell ref="D32:F32"/>
    <mergeCell ref="D34:E34"/>
    <mergeCell ref="D33:E33"/>
    <mergeCell ref="E25:F25"/>
    <mergeCell ref="D26:F26"/>
    <mergeCell ref="E27:F27"/>
    <mergeCell ref="D21:F21"/>
    <mergeCell ref="E23:F23"/>
    <mergeCell ref="E24:F24"/>
    <mergeCell ref="C23:C28"/>
    <mergeCell ref="D23:D25"/>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20">
    <tabColor rgb="FF00B050"/>
  </sheetPr>
  <dimension ref="B1:R17"/>
  <sheetViews>
    <sheetView showGridLines="0" view="pageBreakPreview" zoomScaleSheetLayoutView="100" workbookViewId="0">
      <selection activeCell="R12" sqref="R12"/>
    </sheetView>
  </sheetViews>
  <sheetFormatPr defaultRowHeight="12.75" x14ac:dyDescent="0.25"/>
  <cols>
    <col min="1" max="1" width="1.7109375" style="4" customWidth="1"/>
    <col min="2" max="2" width="11.7109375" style="4" customWidth="1"/>
    <col min="3" max="3" width="12.7109375" style="4" customWidth="1"/>
    <col min="4" max="4" width="30.7109375" style="4" customWidth="1"/>
    <col min="5" max="5" width="7.7109375" style="4" customWidth="1"/>
    <col min="6" max="6" width="1.7109375" style="4" customWidth="1"/>
    <col min="7" max="14" width="10.7109375" style="4" customWidth="1"/>
    <col min="15" max="15" width="1.7109375" style="4" customWidth="1"/>
    <col min="16" max="16" width="10.7109375" style="4" customWidth="1"/>
    <col min="17" max="16384" width="9.140625" style="4"/>
  </cols>
  <sheetData>
    <row r="1" spans="2:18" ht="5.0999999999999996" customHeight="1" x14ac:dyDescent="0.25"/>
    <row r="2" spans="2:18" ht="14.1" customHeight="1" x14ac:dyDescent="0.25">
      <c r="B2" s="102" t="str">
        <f>DADOS!$B$3</f>
        <v>CLIENTE:</v>
      </c>
      <c r="C2" s="80" t="str">
        <f>DADOS!$C$3</f>
        <v>PREFEITURA MUNICIPAL DE APARECIDA DO TABOADO / MS</v>
      </c>
      <c r="D2" s="36"/>
      <c r="E2" s="36"/>
      <c r="F2" s="36"/>
      <c r="G2" s="36"/>
      <c r="H2" s="36"/>
      <c r="I2" s="36"/>
      <c r="J2" s="36"/>
      <c r="K2" s="36"/>
      <c r="L2" s="36"/>
      <c r="M2" s="36"/>
      <c r="N2" s="36"/>
      <c r="O2" s="36"/>
      <c r="P2" s="40"/>
    </row>
    <row r="3" spans="2:18" ht="14.1" customHeight="1" x14ac:dyDescent="0.25">
      <c r="B3" s="103" t="str">
        <f>DADOS!$B$4</f>
        <v>ENDEREÇO:</v>
      </c>
      <c r="C3" s="81" t="str">
        <f>DADOS!$C$4</f>
        <v>RUA ELIAS TOLENTINO DE ALMEIDA, Nº 4.098 - JD. SÃO BENTO</v>
      </c>
      <c r="P3" s="41"/>
    </row>
    <row r="4" spans="2:18" ht="14.1" customHeight="1" x14ac:dyDescent="0.2">
      <c r="B4" s="82"/>
      <c r="C4" s="81"/>
      <c r="P4" s="41"/>
    </row>
    <row r="5" spans="2:18" ht="14.1" customHeight="1" x14ac:dyDescent="0.25">
      <c r="B5" s="103" t="str">
        <f>DADOS!$B$7</f>
        <v>OBRA:</v>
      </c>
      <c r="C5" s="81" t="str">
        <f>DADOS!$C$7</f>
        <v>PAVIMENTAÇÃO ASFÁLTICA E DRENAGEM DE ÁGUAS PLUVIAIS</v>
      </c>
      <c r="P5" s="41"/>
    </row>
    <row r="6" spans="2:18" ht="14.1" customHeight="1" x14ac:dyDescent="0.25">
      <c r="B6" s="83" t="str">
        <f>DADOS!$B$8</f>
        <v>LOCAL:</v>
      </c>
      <c r="C6" s="84" t="str">
        <f>DADOS!$C$8</f>
        <v>DIVERSAS RUAS NO BAIRRO PRIMAVERA, APARECIDA DO TABOADO / MS</v>
      </c>
      <c r="D6" s="42"/>
      <c r="E6" s="42"/>
      <c r="F6" s="42"/>
      <c r="G6" s="42"/>
      <c r="H6" s="42"/>
      <c r="I6" s="42"/>
      <c r="J6" s="42"/>
      <c r="K6" s="42"/>
      <c r="L6" s="42"/>
      <c r="M6" s="42"/>
      <c r="N6" s="42"/>
      <c r="O6" s="42"/>
      <c r="P6" s="43"/>
    </row>
    <row r="7" spans="2:18" ht="5.0999999999999996" customHeight="1" x14ac:dyDescent="0.25"/>
    <row r="8" spans="2:18" ht="39.950000000000003" customHeight="1" x14ac:dyDescent="0.25">
      <c r="B8" s="353" t="s">
        <v>201</v>
      </c>
      <c r="C8" s="354"/>
      <c r="D8" s="354"/>
      <c r="E8" s="349"/>
      <c r="G8" s="17" t="str">
        <f>'Pav-Terrapl'!G8</f>
        <v>AV. DOS ESTUDANTES - LE</v>
      </c>
      <c r="H8" s="17" t="str">
        <f>'Pav-Terrapl'!H8</f>
        <v>AV. DOS ESTUDANTES - LD</v>
      </c>
      <c r="I8" s="17" t="str">
        <f>'Pav-Terrapl'!I8</f>
        <v>AV. AJAX FURQUIM - LE</v>
      </c>
      <c r="J8" s="17" t="str">
        <f>'Pav-Terrapl'!J8</f>
        <v>AV. AJAX FURQUIM - LD</v>
      </c>
      <c r="K8" s="17" t="str">
        <f>'Pav-Terrapl'!K8</f>
        <v>RUA BELO HORIZONTE</v>
      </c>
      <c r="L8" s="17" t="str">
        <f>'Pav-Terrapl'!L8</f>
        <v>RUA SÃO PAULO</v>
      </c>
      <c r="M8" s="17" t="str">
        <f>'Pav-Terrapl'!M8</f>
        <v>RUA MINAS GERAIS</v>
      </c>
      <c r="N8" s="17" t="str">
        <f>'Pav-Terrapl'!N8</f>
        <v>RUA CUIABÁ</v>
      </c>
      <c r="P8" s="17" t="s">
        <v>5</v>
      </c>
    </row>
    <row r="9" spans="2:18" ht="5.0999999999999996" customHeight="1" x14ac:dyDescent="0.25"/>
    <row r="10" spans="2:18" ht="14.1" customHeight="1" x14ac:dyDescent="0.25">
      <c r="B10" s="359" t="s">
        <v>237</v>
      </c>
      <c r="C10" s="362" t="s">
        <v>48</v>
      </c>
      <c r="D10" s="341" t="s">
        <v>238</v>
      </c>
      <c r="E10" s="341"/>
      <c r="G10" s="27">
        <v>508.64</v>
      </c>
      <c r="H10" s="27">
        <v>503.01</v>
      </c>
      <c r="I10" s="27">
        <v>42.74</v>
      </c>
      <c r="J10" s="27">
        <v>42.81</v>
      </c>
      <c r="K10" s="27">
        <v>39.14</v>
      </c>
      <c r="L10" s="27">
        <v>39.15</v>
      </c>
      <c r="M10" s="27">
        <v>39.090000000000003</v>
      </c>
      <c r="N10" s="27">
        <v>39.08</v>
      </c>
      <c r="P10" s="19">
        <f>SUM(F10:O10)</f>
        <v>1253.6599999999999</v>
      </c>
      <c r="R10" s="4">
        <f>P10*0.0615*0.579</f>
        <v>44.640952109999994</v>
      </c>
    </row>
    <row r="11" spans="2:18" ht="14.1" customHeight="1" x14ac:dyDescent="0.25">
      <c r="B11" s="360"/>
      <c r="C11" s="363"/>
      <c r="D11" s="356" t="s">
        <v>435</v>
      </c>
      <c r="E11" s="356"/>
      <c r="G11" s="228">
        <v>6.1499999999999999E-2</v>
      </c>
      <c r="H11" s="228">
        <v>6.1499999999999999E-2</v>
      </c>
      <c r="I11" s="228">
        <v>6.1499999999999999E-2</v>
      </c>
      <c r="J11" s="228">
        <v>6.1499999999999999E-2</v>
      </c>
      <c r="K11" s="228">
        <v>6.1499999999999999E-2</v>
      </c>
      <c r="L11" s="228">
        <v>6.1499999999999999E-2</v>
      </c>
      <c r="M11" s="228">
        <v>6.1499999999999999E-2</v>
      </c>
      <c r="N11" s="228">
        <v>6.1499999999999999E-2</v>
      </c>
      <c r="P11" s="38"/>
    </row>
    <row r="12" spans="2:18" ht="14.1" customHeight="1" x14ac:dyDescent="0.25">
      <c r="B12" s="360"/>
      <c r="C12" s="363"/>
      <c r="D12" s="341" t="s">
        <v>239</v>
      </c>
      <c r="E12" s="341"/>
      <c r="G12" s="27">
        <v>9</v>
      </c>
      <c r="H12" s="27">
        <v>9</v>
      </c>
      <c r="I12" s="27">
        <v>16.8</v>
      </c>
      <c r="J12" s="27">
        <v>16.8</v>
      </c>
      <c r="K12" s="27">
        <v>8.4</v>
      </c>
      <c r="L12" s="27">
        <v>8.4</v>
      </c>
      <c r="M12" s="27">
        <v>8.4</v>
      </c>
      <c r="N12" s="27">
        <v>8.4</v>
      </c>
      <c r="P12" s="19">
        <f>SUM(F12:O12)</f>
        <v>85.2</v>
      </c>
      <c r="R12" s="4">
        <f>P12*0.033*0.579</f>
        <v>1.6279164000000002</v>
      </c>
    </row>
    <row r="13" spans="2:18" ht="14.1" customHeight="1" x14ac:dyDescent="0.25">
      <c r="B13" s="360"/>
      <c r="C13" s="363"/>
      <c r="D13" s="356" t="s">
        <v>436</v>
      </c>
      <c r="E13" s="356"/>
      <c r="G13" s="125">
        <v>3.3000000000000002E-2</v>
      </c>
      <c r="H13" s="125">
        <v>3.3000000000000002E-2</v>
      </c>
      <c r="I13" s="125">
        <v>3.3000000000000002E-2</v>
      </c>
      <c r="J13" s="125">
        <v>3.3000000000000002E-2</v>
      </c>
      <c r="K13" s="125">
        <v>3.3000000000000002E-2</v>
      </c>
      <c r="L13" s="125">
        <v>3.3000000000000002E-2</v>
      </c>
      <c r="M13" s="125">
        <v>3.3000000000000002E-2</v>
      </c>
      <c r="N13" s="125">
        <v>3.3000000000000002E-2</v>
      </c>
      <c r="P13" s="38"/>
    </row>
    <row r="14" spans="2:18" ht="14.1" customHeight="1" x14ac:dyDescent="0.25">
      <c r="B14" s="360"/>
      <c r="C14" s="363"/>
      <c r="D14" s="356" t="s">
        <v>427</v>
      </c>
      <c r="E14" s="356"/>
      <c r="G14" s="126">
        <v>0.57920000000000005</v>
      </c>
      <c r="H14" s="126">
        <v>0.57920000000000005</v>
      </c>
      <c r="I14" s="126">
        <v>0.57920000000000005</v>
      </c>
      <c r="J14" s="126">
        <v>0.57920000000000005</v>
      </c>
      <c r="K14" s="126">
        <v>0.57920000000000005</v>
      </c>
      <c r="L14" s="126">
        <v>0.57920000000000005</v>
      </c>
      <c r="M14" s="126">
        <v>0.57920000000000005</v>
      </c>
      <c r="N14" s="126">
        <v>0.57920000000000005</v>
      </c>
      <c r="P14" s="38"/>
    </row>
    <row r="15" spans="2:18" ht="14.1" customHeight="1" x14ac:dyDescent="0.25">
      <c r="B15" s="360"/>
      <c r="C15" s="363"/>
      <c r="D15" s="341" t="s">
        <v>240</v>
      </c>
      <c r="E15" s="341"/>
      <c r="G15" s="27">
        <f>TRUNC(((G10*G14*G11)+(G12*G14*G13)),2)</f>
        <v>18.29</v>
      </c>
      <c r="H15" s="27">
        <f t="shared" ref="H15:N15" si="0">TRUNC(((H10*H14*H11)+(H12*H14*H13)),2)</f>
        <v>18.079999999999998</v>
      </c>
      <c r="I15" s="27">
        <f t="shared" si="0"/>
        <v>1.84</v>
      </c>
      <c r="J15" s="27">
        <f t="shared" si="0"/>
        <v>1.84</v>
      </c>
      <c r="K15" s="27">
        <f t="shared" si="0"/>
        <v>1.55</v>
      </c>
      <c r="L15" s="27">
        <f t="shared" si="0"/>
        <v>1.55</v>
      </c>
      <c r="M15" s="27">
        <f t="shared" si="0"/>
        <v>1.55</v>
      </c>
      <c r="N15" s="27">
        <f t="shared" si="0"/>
        <v>1.55</v>
      </c>
      <c r="P15" s="19">
        <f>SUM(F15:O15)</f>
        <v>46.249999999999993</v>
      </c>
      <c r="R15" s="4">
        <f>R10+R12</f>
        <v>46.26886850999999</v>
      </c>
    </row>
    <row r="16" spans="2:18" ht="14.1" customHeight="1" x14ac:dyDescent="0.25">
      <c r="B16" s="360"/>
      <c r="C16" s="363"/>
      <c r="D16" s="14" t="s">
        <v>186</v>
      </c>
      <c r="E16" s="18">
        <f>IF('Resumo DMT''s'!$E$14&gt;30,30,'Resumo DMT''s'!$E$14)</f>
        <v>30</v>
      </c>
      <c r="G16" s="27">
        <f t="shared" ref="G16:N16" si="1">TRUNC((G15*$E$16),2)</f>
        <v>548.70000000000005</v>
      </c>
      <c r="H16" s="27">
        <f t="shared" si="1"/>
        <v>542.4</v>
      </c>
      <c r="I16" s="27">
        <f t="shared" si="1"/>
        <v>55.2</v>
      </c>
      <c r="J16" s="27">
        <f t="shared" si="1"/>
        <v>55.2</v>
      </c>
      <c r="K16" s="27">
        <f t="shared" si="1"/>
        <v>46.5</v>
      </c>
      <c r="L16" s="27">
        <f t="shared" si="1"/>
        <v>46.5</v>
      </c>
      <c r="M16" s="27">
        <f t="shared" si="1"/>
        <v>46.5</v>
      </c>
      <c r="N16" s="27">
        <f t="shared" si="1"/>
        <v>46.5</v>
      </c>
      <c r="P16" s="19">
        <f>SUM(F16:O16)</f>
        <v>1387.5</v>
      </c>
      <c r="R16" s="4">
        <f>R15*30</f>
        <v>1388.0660552999998</v>
      </c>
    </row>
    <row r="17" spans="2:16" ht="14.1" customHeight="1" x14ac:dyDescent="0.25">
      <c r="B17" s="361"/>
      <c r="C17" s="340"/>
      <c r="D17" s="14" t="s">
        <v>186</v>
      </c>
      <c r="E17" s="18">
        <f>IF('Resumo DMT''s'!$E$14&gt;30,'Resumo DMT''s'!$E$14-30,0)</f>
        <v>19</v>
      </c>
      <c r="G17" s="27">
        <f t="shared" ref="G17:N17" si="2">TRUNC((G15*$E$17),2)</f>
        <v>347.51</v>
      </c>
      <c r="H17" s="27">
        <f t="shared" si="2"/>
        <v>343.52</v>
      </c>
      <c r="I17" s="27">
        <f t="shared" si="2"/>
        <v>34.96</v>
      </c>
      <c r="J17" s="27">
        <f t="shared" si="2"/>
        <v>34.96</v>
      </c>
      <c r="K17" s="27">
        <f t="shared" si="2"/>
        <v>29.45</v>
      </c>
      <c r="L17" s="27">
        <f t="shared" si="2"/>
        <v>29.45</v>
      </c>
      <c r="M17" s="27">
        <f t="shared" si="2"/>
        <v>29.45</v>
      </c>
      <c r="N17" s="27">
        <f t="shared" si="2"/>
        <v>29.45</v>
      </c>
      <c r="P17" s="19">
        <f>SUM(F17:O17)</f>
        <v>878.75000000000023</v>
      </c>
    </row>
  </sheetData>
  <mergeCells count="9">
    <mergeCell ref="B8:E8"/>
    <mergeCell ref="D13:E13"/>
    <mergeCell ref="D14:E14"/>
    <mergeCell ref="D10:E10"/>
    <mergeCell ref="D12:E12"/>
    <mergeCell ref="B10:B17"/>
    <mergeCell ref="D11:E11"/>
    <mergeCell ref="C10:C17"/>
    <mergeCell ref="D15:E15"/>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23">
    <tabColor rgb="FF00B050"/>
  </sheetPr>
  <dimension ref="B1:S38"/>
  <sheetViews>
    <sheetView showGridLines="0" view="pageBreakPreview" zoomScaleSheetLayoutView="100" workbookViewId="0">
      <pane ySplit="8" topLeftCell="A9" activePane="bottomLeft" state="frozen"/>
      <selection activeCell="K117" sqref="K117"/>
      <selection pane="bottomLeft" activeCell="T21" sqref="T21"/>
    </sheetView>
  </sheetViews>
  <sheetFormatPr defaultRowHeight="12.75" x14ac:dyDescent="0.25"/>
  <cols>
    <col min="1" max="1" width="1.7109375" style="4" customWidth="1"/>
    <col min="2" max="2" width="11.7109375" style="4" customWidth="1"/>
    <col min="3" max="3" width="13.7109375" style="4" customWidth="1"/>
    <col min="4" max="4" width="35.7109375" style="4" customWidth="1"/>
    <col min="5" max="5" width="7.7109375" style="4" customWidth="1"/>
    <col min="6" max="6" width="1.7109375" style="4" customWidth="1"/>
    <col min="7" max="8" width="10.7109375" style="232" customWidth="1"/>
    <col min="9" max="13" width="10.7109375" style="4" customWidth="1"/>
    <col min="14" max="14" width="9.7109375" style="4" customWidth="1"/>
    <col min="15" max="15" width="1.7109375" style="4" customWidth="1"/>
    <col min="16" max="16" width="10.7109375" style="4" customWidth="1"/>
    <col min="17" max="16384" width="9.140625" style="4"/>
  </cols>
  <sheetData>
    <row r="1" spans="2:19" ht="5.0999999999999996" customHeight="1" x14ac:dyDescent="0.25"/>
    <row r="2" spans="2:19" ht="14.1" customHeight="1" x14ac:dyDescent="0.25">
      <c r="B2" s="102" t="str">
        <f>DADOS!$B$3</f>
        <v>CLIENTE:</v>
      </c>
      <c r="C2" s="80" t="str">
        <f>DADOS!$C$3</f>
        <v>PREFEITURA MUNICIPAL DE APARECIDA DO TABOADO / MS</v>
      </c>
      <c r="D2" s="36"/>
      <c r="E2" s="36"/>
      <c r="F2" s="36"/>
      <c r="G2" s="239"/>
      <c r="H2" s="239"/>
      <c r="I2" s="36"/>
      <c r="J2" s="36"/>
      <c r="K2" s="36"/>
      <c r="L2" s="36"/>
      <c r="M2" s="36"/>
      <c r="N2" s="36"/>
      <c r="O2" s="36"/>
      <c r="P2" s="40"/>
    </row>
    <row r="3" spans="2:19" ht="14.1" customHeight="1" x14ac:dyDescent="0.25">
      <c r="B3" s="103" t="str">
        <f>DADOS!$B$4</f>
        <v>ENDEREÇO:</v>
      </c>
      <c r="C3" s="81" t="str">
        <f>DADOS!$C$4</f>
        <v>RUA ELIAS TOLENTINO DE ALMEIDA, Nº 4.098 - JD. SÃO BENTO</v>
      </c>
      <c r="P3" s="41"/>
    </row>
    <row r="4" spans="2:19" ht="14.1" customHeight="1" x14ac:dyDescent="0.2">
      <c r="B4" s="82"/>
      <c r="C4" s="81"/>
      <c r="P4" s="41"/>
    </row>
    <row r="5" spans="2:19" ht="14.1" customHeight="1" x14ac:dyDescent="0.25">
      <c r="B5" s="103" t="str">
        <f>DADOS!$B$7</f>
        <v>OBRA:</v>
      </c>
      <c r="C5" s="81" t="str">
        <f>DADOS!$C$7</f>
        <v>PAVIMENTAÇÃO ASFÁLTICA E DRENAGEM DE ÁGUAS PLUVIAIS</v>
      </c>
      <c r="P5" s="41"/>
    </row>
    <row r="6" spans="2:19" ht="14.1" customHeight="1" x14ac:dyDescent="0.25">
      <c r="B6" s="83" t="str">
        <f>DADOS!$B$8</f>
        <v>LOCAL:</v>
      </c>
      <c r="C6" s="84" t="str">
        <f>DADOS!$C$8</f>
        <v>DIVERSAS RUAS NO BAIRRO PRIMAVERA, APARECIDA DO TABOADO / MS</v>
      </c>
      <c r="D6" s="42"/>
      <c r="E6" s="42"/>
      <c r="F6" s="42"/>
      <c r="G6" s="240"/>
      <c r="H6" s="240"/>
      <c r="I6" s="42"/>
      <c r="J6" s="42"/>
      <c r="K6" s="42"/>
      <c r="L6" s="42"/>
      <c r="M6" s="42"/>
      <c r="N6" s="42"/>
      <c r="O6" s="42"/>
      <c r="P6" s="43"/>
    </row>
    <row r="7" spans="2:19" ht="5.0999999999999996" customHeight="1" x14ac:dyDescent="0.25"/>
    <row r="8" spans="2:19" ht="39.950000000000003" customHeight="1" x14ac:dyDescent="0.25">
      <c r="B8" s="353" t="s">
        <v>201</v>
      </c>
      <c r="C8" s="354"/>
      <c r="D8" s="354"/>
      <c r="E8" s="349"/>
      <c r="G8" s="235" t="str">
        <f>'Pav-Terrapl'!G8</f>
        <v>AV. DOS ESTUDANTES - LE</v>
      </c>
      <c r="H8" s="235" t="str">
        <f>'Pav-Terrapl'!H8</f>
        <v>AV. DOS ESTUDANTES - LD</v>
      </c>
      <c r="I8" s="17" t="str">
        <f>'Pav-Terrapl'!I8</f>
        <v>AV. AJAX FURQUIM - LE</v>
      </c>
      <c r="J8" s="17" t="str">
        <f>'Pav-Terrapl'!J8</f>
        <v>AV. AJAX FURQUIM - LD</v>
      </c>
      <c r="K8" s="17" t="str">
        <f>'Pav-Terrapl'!K8</f>
        <v>RUA BELO HORIZONTE</v>
      </c>
      <c r="L8" s="17" t="str">
        <f>'Pav-Terrapl'!L8</f>
        <v>RUA SÃO PAULO</v>
      </c>
      <c r="M8" s="17" t="str">
        <f>'Pav-Terrapl'!M8</f>
        <v>RUA MINAS GERAIS</v>
      </c>
      <c r="N8" s="17" t="str">
        <f>'Pav-Terrapl'!N8</f>
        <v>RUA CUIABÁ</v>
      </c>
      <c r="P8" s="17" t="s">
        <v>5</v>
      </c>
    </row>
    <row r="9" spans="2:19" ht="5.0999999999999996" customHeight="1" x14ac:dyDescent="0.25">
      <c r="R9"/>
      <c r="S9"/>
    </row>
    <row r="10" spans="2:19" ht="14.1" customHeight="1" x14ac:dyDescent="0.25">
      <c r="B10" s="350" t="s">
        <v>259</v>
      </c>
      <c r="C10" s="341" t="s">
        <v>260</v>
      </c>
      <c r="D10" s="341"/>
      <c r="E10" s="341"/>
      <c r="G10" s="229">
        <f t="shared" ref="G10:N10" si="0">G14+G25</f>
        <v>472.14</v>
      </c>
      <c r="H10" s="229">
        <f t="shared" si="0"/>
        <v>457.65000000000003</v>
      </c>
      <c r="I10" s="229">
        <f t="shared" si="0"/>
        <v>110.64999999999999</v>
      </c>
      <c r="J10" s="27">
        <f t="shared" si="0"/>
        <v>89.13</v>
      </c>
      <c r="K10" s="27">
        <f t="shared" si="0"/>
        <v>47.68</v>
      </c>
      <c r="L10" s="27">
        <f t="shared" si="0"/>
        <v>47.7</v>
      </c>
      <c r="M10" s="27">
        <f t="shared" si="0"/>
        <v>47.41</v>
      </c>
      <c r="N10" s="27">
        <f t="shared" si="0"/>
        <v>47.56</v>
      </c>
      <c r="P10" s="19">
        <f>SUM(F10:O10)</f>
        <v>1319.9200000000003</v>
      </c>
      <c r="R10"/>
      <c r="S10"/>
    </row>
    <row r="11" spans="2:19" ht="5.0999999999999996" customHeight="1" x14ac:dyDescent="0.25">
      <c r="B11" s="351"/>
      <c r="I11" s="232"/>
      <c r="R11"/>
      <c r="S11"/>
    </row>
    <row r="12" spans="2:19" ht="14.1" customHeight="1" x14ac:dyDescent="0.25">
      <c r="B12" s="351"/>
      <c r="C12" s="341" t="s">
        <v>261</v>
      </c>
      <c r="D12" s="341" t="s">
        <v>333</v>
      </c>
      <c r="E12" s="341"/>
      <c r="G12" s="229">
        <f>3.16+5.09+6.28+2.1+9.64+2.59+44.89+2.35+2.3+45.28+2.3+2.44+47.36+2.07+3.42+1.72+31.29+(0.66*8)</f>
        <v>219.55999999999995</v>
      </c>
      <c r="H12" s="229">
        <f>3.16+1.24+6.22+6.01+9.94+2.3+44.89+2.65+2+45.28+2.65+2.2+47.36+2.28+31.72</f>
        <v>209.90000000000003</v>
      </c>
      <c r="I12" s="229">
        <f>3.12+1.95+2.63+2.63+3.12+4.76+2.81+16.58+16.58+8.39</f>
        <v>62.569999999999993</v>
      </c>
      <c r="J12" s="229">
        <f>3.12+2.62+2.62+1.98+1.96+3.12+16.4+16.4</f>
        <v>48.22</v>
      </c>
      <c r="K12" s="229">
        <f>0.14+2.86+2.89+2.89+2.86+4.4+4.55</f>
        <v>20.59</v>
      </c>
      <c r="L12" s="229">
        <f>0.15+2.86+2.89+2.89+2.86+4.4+4.55</f>
        <v>20.6</v>
      </c>
      <c r="M12" s="229">
        <f>0.12+2.73+2.89+2.89+2.86+4.4+4.52</f>
        <v>20.41</v>
      </c>
      <c r="N12" s="229">
        <f>0.12+2.85+2.89+2.89+2.86+4.4+4.5</f>
        <v>20.509999999999998</v>
      </c>
      <c r="P12" s="19">
        <f>SUM(F12:O12)</f>
        <v>622.36</v>
      </c>
      <c r="Q12" s="124"/>
    </row>
    <row r="13" spans="2:19" ht="14.1" customHeight="1" x14ac:dyDescent="0.25">
      <c r="B13" s="351"/>
      <c r="C13" s="341"/>
      <c r="D13" s="341" t="s">
        <v>262</v>
      </c>
      <c r="E13" s="341"/>
      <c r="G13" s="229">
        <v>1.5</v>
      </c>
      <c r="H13" s="229">
        <v>1.5</v>
      </c>
      <c r="I13" s="229">
        <v>1.5</v>
      </c>
      <c r="J13" s="229">
        <v>1.5</v>
      </c>
      <c r="K13" s="229">
        <v>1.5</v>
      </c>
      <c r="L13" s="229">
        <v>1.5</v>
      </c>
      <c r="M13" s="229">
        <v>1.5</v>
      </c>
      <c r="N13" s="229">
        <v>1.5</v>
      </c>
      <c r="P13" s="24"/>
    </row>
    <row r="14" spans="2:19" ht="14.1" customHeight="1" x14ac:dyDescent="0.25">
      <c r="B14" s="351"/>
      <c r="C14" s="341"/>
      <c r="D14" s="341" t="s">
        <v>263</v>
      </c>
      <c r="E14" s="341"/>
      <c r="G14" s="229">
        <f t="shared" ref="G14:N14" si="1">TRUNC((G12*G13),2)</f>
        <v>329.34</v>
      </c>
      <c r="H14" s="229">
        <f t="shared" si="1"/>
        <v>314.85000000000002</v>
      </c>
      <c r="I14" s="229">
        <f t="shared" si="1"/>
        <v>93.85</v>
      </c>
      <c r="J14" s="229">
        <f t="shared" si="1"/>
        <v>72.33</v>
      </c>
      <c r="K14" s="229">
        <f t="shared" si="1"/>
        <v>30.88</v>
      </c>
      <c r="L14" s="229">
        <f t="shared" si="1"/>
        <v>30.9</v>
      </c>
      <c r="M14" s="229">
        <f t="shared" si="1"/>
        <v>30.61</v>
      </c>
      <c r="N14" s="229">
        <f t="shared" si="1"/>
        <v>30.76</v>
      </c>
      <c r="P14" s="19">
        <f>SUM(F14:O14)</f>
        <v>933.5200000000001</v>
      </c>
    </row>
    <row r="15" spans="2:19" ht="14.1" customHeight="1" x14ac:dyDescent="0.25">
      <c r="B15" s="351"/>
      <c r="C15" s="341"/>
      <c r="D15" s="341" t="s">
        <v>233</v>
      </c>
      <c r="E15" s="341"/>
      <c r="G15" s="229">
        <v>7.0000000000000007E-2</v>
      </c>
      <c r="H15" s="229">
        <v>7.0000000000000007E-2</v>
      </c>
      <c r="I15" s="229">
        <v>7.0000000000000007E-2</v>
      </c>
      <c r="J15" s="229">
        <v>7.0000000000000007E-2</v>
      </c>
      <c r="K15" s="229">
        <v>7.0000000000000007E-2</v>
      </c>
      <c r="L15" s="229">
        <v>7.0000000000000007E-2</v>
      </c>
      <c r="M15" s="229">
        <v>7.0000000000000007E-2</v>
      </c>
      <c r="N15" s="229">
        <v>7.0000000000000007E-2</v>
      </c>
      <c r="P15" s="22"/>
    </row>
    <row r="16" spans="2:19" ht="14.1" customHeight="1" x14ac:dyDescent="0.25">
      <c r="B16" s="351"/>
      <c r="C16" s="341"/>
      <c r="D16" s="341" t="s">
        <v>348</v>
      </c>
      <c r="E16" s="341"/>
      <c r="G16" s="229">
        <f t="shared" ref="G16:N16" si="2">TRUNC((G14*G15),2)</f>
        <v>23.05</v>
      </c>
      <c r="H16" s="229">
        <f t="shared" si="2"/>
        <v>22.03</v>
      </c>
      <c r="I16" s="229">
        <f t="shared" si="2"/>
        <v>6.56</v>
      </c>
      <c r="J16" s="229">
        <f t="shared" si="2"/>
        <v>5.0599999999999996</v>
      </c>
      <c r="K16" s="229">
        <f t="shared" si="2"/>
        <v>2.16</v>
      </c>
      <c r="L16" s="229">
        <f t="shared" si="2"/>
        <v>2.16</v>
      </c>
      <c r="M16" s="229">
        <f t="shared" si="2"/>
        <v>2.14</v>
      </c>
      <c r="N16" s="229">
        <f t="shared" si="2"/>
        <v>2.15</v>
      </c>
      <c r="P16" s="19">
        <f>SUM(F16:O16)</f>
        <v>65.31</v>
      </c>
    </row>
    <row r="17" spans="2:16" ht="14.1" hidden="1" customHeight="1" x14ac:dyDescent="0.25">
      <c r="B17" s="351"/>
      <c r="C17" s="341"/>
      <c r="D17" s="356" t="s">
        <v>437</v>
      </c>
      <c r="E17" s="356"/>
      <c r="G17" s="230">
        <v>1.2130000000000001</v>
      </c>
      <c r="H17" s="230">
        <v>1.2130000000000001</v>
      </c>
      <c r="I17" s="230">
        <v>1.2130000000000001</v>
      </c>
      <c r="J17" s="230">
        <v>1.2130000000000001</v>
      </c>
      <c r="K17" s="230">
        <v>1.2130000000000001</v>
      </c>
      <c r="L17" s="230">
        <v>1.2130000000000001</v>
      </c>
      <c r="M17" s="230">
        <v>1.2130000000000001</v>
      </c>
      <c r="N17" s="230">
        <v>1.2130000000000001</v>
      </c>
      <c r="P17" s="22"/>
    </row>
    <row r="18" spans="2:16" ht="14.1" hidden="1" customHeight="1" x14ac:dyDescent="0.25">
      <c r="B18" s="351"/>
      <c r="C18" s="341"/>
      <c r="D18" s="356" t="s">
        <v>628</v>
      </c>
      <c r="E18" s="356"/>
      <c r="G18" s="231">
        <v>0.58720000000000006</v>
      </c>
      <c r="H18" s="231">
        <v>0.58720000000000006</v>
      </c>
      <c r="I18" s="231">
        <v>0.58720000000000006</v>
      </c>
      <c r="J18" s="231">
        <v>0.58720000000000006</v>
      </c>
      <c r="K18" s="231">
        <v>0.58720000000000006</v>
      </c>
      <c r="L18" s="231">
        <v>0.58720000000000006</v>
      </c>
      <c r="M18" s="231">
        <v>0.58720000000000006</v>
      </c>
      <c r="N18" s="231">
        <v>0.58720000000000006</v>
      </c>
      <c r="P18" s="24"/>
    </row>
    <row r="19" spans="2:16" ht="14.1" customHeight="1" x14ac:dyDescent="0.25">
      <c r="B19" s="351"/>
      <c r="C19" s="341"/>
      <c r="D19" s="341" t="s">
        <v>265</v>
      </c>
      <c r="E19" s="341"/>
      <c r="G19" s="229">
        <f t="shared" ref="G19:N19" si="3">TRUNC(((G14*G15)*G17*G18),2)</f>
        <v>16.420000000000002</v>
      </c>
      <c r="H19" s="229">
        <f t="shared" si="3"/>
        <v>15.69</v>
      </c>
      <c r="I19" s="229">
        <f t="shared" si="3"/>
        <v>4.67</v>
      </c>
      <c r="J19" s="229">
        <f t="shared" si="3"/>
        <v>3.6</v>
      </c>
      <c r="K19" s="229">
        <f t="shared" si="3"/>
        <v>1.53</v>
      </c>
      <c r="L19" s="229">
        <f t="shared" si="3"/>
        <v>1.54</v>
      </c>
      <c r="M19" s="229">
        <f t="shared" si="3"/>
        <v>1.52</v>
      </c>
      <c r="N19" s="229">
        <f t="shared" si="3"/>
        <v>1.53</v>
      </c>
      <c r="P19" s="19">
        <f>SUM(F19:O19)</f>
        <v>46.500000000000007</v>
      </c>
    </row>
    <row r="20" spans="2:16" ht="14.1" customHeight="1" x14ac:dyDescent="0.25">
      <c r="B20" s="351"/>
      <c r="C20" s="341"/>
      <c r="D20" s="14" t="s">
        <v>264</v>
      </c>
      <c r="E20" s="18">
        <f>IF('Resumo DMT''s'!$E$14&gt;30,30,'Resumo DMT''s'!$E$14)</f>
        <v>30</v>
      </c>
      <c r="G20" s="229">
        <f t="shared" ref="G20:N20" si="4">TRUNC((G19*$E$20),2)</f>
        <v>492.6</v>
      </c>
      <c r="H20" s="229">
        <f t="shared" si="4"/>
        <v>470.7</v>
      </c>
      <c r="I20" s="229">
        <f t="shared" si="4"/>
        <v>140.1</v>
      </c>
      <c r="J20" s="229">
        <f t="shared" si="4"/>
        <v>108</v>
      </c>
      <c r="K20" s="229">
        <f t="shared" si="4"/>
        <v>45.9</v>
      </c>
      <c r="L20" s="229">
        <f t="shared" si="4"/>
        <v>46.2</v>
      </c>
      <c r="M20" s="229">
        <f t="shared" si="4"/>
        <v>45.6</v>
      </c>
      <c r="N20" s="229">
        <f t="shared" si="4"/>
        <v>45.9</v>
      </c>
      <c r="P20" s="19">
        <f>SUM(F20:O20)</f>
        <v>1395</v>
      </c>
    </row>
    <row r="21" spans="2:16" ht="14.1" customHeight="1" x14ac:dyDescent="0.25">
      <c r="B21" s="351"/>
      <c r="C21" s="341"/>
      <c r="D21" s="14" t="s">
        <v>264</v>
      </c>
      <c r="E21" s="18">
        <f>IF('Resumo DMT''s'!$E$14&gt;30,'Resumo DMT''s'!$E$14-30,0)</f>
        <v>19</v>
      </c>
      <c r="G21" s="229">
        <f t="shared" ref="G21:N21" si="5">TRUNC((G19*$E$21),2)</f>
        <v>311.98</v>
      </c>
      <c r="H21" s="229">
        <f t="shared" si="5"/>
        <v>298.11</v>
      </c>
      <c r="I21" s="229">
        <f t="shared" si="5"/>
        <v>88.73</v>
      </c>
      <c r="J21" s="229">
        <f t="shared" si="5"/>
        <v>68.400000000000006</v>
      </c>
      <c r="K21" s="229">
        <f t="shared" si="5"/>
        <v>29.07</v>
      </c>
      <c r="L21" s="229">
        <f t="shared" si="5"/>
        <v>29.26</v>
      </c>
      <c r="M21" s="229">
        <f t="shared" si="5"/>
        <v>28.88</v>
      </c>
      <c r="N21" s="229">
        <f t="shared" si="5"/>
        <v>29.07</v>
      </c>
      <c r="P21" s="19">
        <f>SUM(F21:O21)</f>
        <v>883.50000000000011</v>
      </c>
    </row>
    <row r="22" spans="2:16" ht="5.0999999999999996" customHeight="1" x14ac:dyDescent="0.25">
      <c r="B22" s="351"/>
      <c r="I22" s="232"/>
      <c r="J22" s="232"/>
      <c r="K22" s="232"/>
      <c r="L22" s="232"/>
      <c r="M22" s="232"/>
      <c r="N22" s="232"/>
    </row>
    <row r="23" spans="2:16" ht="14.1" customHeight="1" x14ac:dyDescent="0.25">
      <c r="B23" s="351"/>
      <c r="C23" s="362" t="s">
        <v>266</v>
      </c>
      <c r="D23" s="353" t="s">
        <v>565</v>
      </c>
      <c r="E23" s="349"/>
      <c r="G23" s="238">
        <v>17</v>
      </c>
      <c r="H23" s="238">
        <v>17</v>
      </c>
      <c r="I23" s="25">
        <v>2</v>
      </c>
      <c r="J23" s="25">
        <v>2</v>
      </c>
      <c r="K23" s="25">
        <v>2</v>
      </c>
      <c r="L23" s="25">
        <v>2</v>
      </c>
      <c r="M23" s="25">
        <v>2</v>
      </c>
      <c r="N23" s="25">
        <v>2</v>
      </c>
      <c r="P23" s="31">
        <f>SUM(F23:O23)</f>
        <v>46</v>
      </c>
    </row>
    <row r="24" spans="2:16" ht="14.1" customHeight="1" x14ac:dyDescent="0.25">
      <c r="B24" s="351"/>
      <c r="C24" s="363"/>
      <c r="D24" s="353" t="s">
        <v>566</v>
      </c>
      <c r="E24" s="349"/>
      <c r="G24" s="229">
        <f t="shared" ref="G24:N24" si="6">TRUNC(((0.25+1.8+1.5+1.8+0.25)*1.5),2)</f>
        <v>8.4</v>
      </c>
      <c r="H24" s="229">
        <f t="shared" si="6"/>
        <v>8.4</v>
      </c>
      <c r="I24" s="27">
        <f t="shared" si="6"/>
        <v>8.4</v>
      </c>
      <c r="J24" s="27">
        <f t="shared" si="6"/>
        <v>8.4</v>
      </c>
      <c r="K24" s="27">
        <f t="shared" si="6"/>
        <v>8.4</v>
      </c>
      <c r="L24" s="27">
        <f t="shared" si="6"/>
        <v>8.4</v>
      </c>
      <c r="M24" s="27">
        <f t="shared" si="6"/>
        <v>8.4</v>
      </c>
      <c r="N24" s="27">
        <f t="shared" si="6"/>
        <v>8.4</v>
      </c>
      <c r="P24" s="22"/>
    </row>
    <row r="25" spans="2:16" ht="14.1" customHeight="1" x14ac:dyDescent="0.25">
      <c r="B25" s="351"/>
      <c r="C25" s="363"/>
      <c r="D25" s="341" t="s">
        <v>267</v>
      </c>
      <c r="E25" s="341"/>
      <c r="G25" s="229">
        <f>TRUNC(((G23*G24)),2)</f>
        <v>142.80000000000001</v>
      </c>
      <c r="H25" s="229">
        <f t="shared" ref="H25:N25" si="7">TRUNC(((H23*H24)),2)</f>
        <v>142.80000000000001</v>
      </c>
      <c r="I25" s="229">
        <f t="shared" si="7"/>
        <v>16.8</v>
      </c>
      <c r="J25" s="229">
        <f t="shared" si="7"/>
        <v>16.8</v>
      </c>
      <c r="K25" s="229">
        <f t="shared" si="7"/>
        <v>16.8</v>
      </c>
      <c r="L25" s="229">
        <f t="shared" si="7"/>
        <v>16.8</v>
      </c>
      <c r="M25" s="229">
        <f t="shared" si="7"/>
        <v>16.8</v>
      </c>
      <c r="N25" s="229">
        <f t="shared" si="7"/>
        <v>16.8</v>
      </c>
      <c r="P25" s="19">
        <f>SUM(F25:O25)</f>
        <v>386.40000000000009</v>
      </c>
    </row>
    <row r="26" spans="2:16" ht="14.1" customHeight="1" x14ac:dyDescent="0.25">
      <c r="B26" s="351"/>
      <c r="C26" s="363"/>
      <c r="D26" s="341" t="s">
        <v>233</v>
      </c>
      <c r="E26" s="341"/>
      <c r="G26" s="229">
        <v>7.0000000000000007E-2</v>
      </c>
      <c r="H26" s="229">
        <v>7.0000000000000007E-2</v>
      </c>
      <c r="I26" s="27">
        <v>7.0000000000000007E-2</v>
      </c>
      <c r="J26" s="27">
        <v>7.0000000000000007E-2</v>
      </c>
      <c r="K26" s="27">
        <v>7.0000000000000007E-2</v>
      </c>
      <c r="L26" s="27">
        <v>7.0000000000000007E-2</v>
      </c>
      <c r="M26" s="27">
        <v>7.0000000000000007E-2</v>
      </c>
      <c r="N26" s="27">
        <v>7.0000000000000007E-2</v>
      </c>
      <c r="P26" s="22"/>
    </row>
    <row r="27" spans="2:16" ht="14.1" hidden="1" customHeight="1" x14ac:dyDescent="0.25">
      <c r="B27" s="351"/>
      <c r="C27" s="363"/>
      <c r="D27" s="356" t="s">
        <v>438</v>
      </c>
      <c r="E27" s="356"/>
      <c r="G27" s="230">
        <v>1.2130000000000001</v>
      </c>
      <c r="H27" s="230">
        <v>1.2130000000000001</v>
      </c>
      <c r="I27" s="125">
        <v>1.2130000000000001</v>
      </c>
      <c r="J27" s="125">
        <v>1.2130000000000001</v>
      </c>
      <c r="K27" s="125">
        <v>1.2130000000000001</v>
      </c>
      <c r="L27" s="125">
        <v>1.2130000000000001</v>
      </c>
      <c r="M27" s="125">
        <v>1.2130000000000001</v>
      </c>
      <c r="N27" s="125">
        <v>1.2130000000000001</v>
      </c>
      <c r="P27" s="23"/>
    </row>
    <row r="28" spans="2:16" ht="14.1" hidden="1" customHeight="1" x14ac:dyDescent="0.25">
      <c r="B28" s="351"/>
      <c r="C28" s="363"/>
      <c r="D28" s="356" t="s">
        <v>628</v>
      </c>
      <c r="E28" s="356"/>
      <c r="G28" s="231">
        <v>0.58720000000000006</v>
      </c>
      <c r="H28" s="231">
        <v>0.58720000000000006</v>
      </c>
      <c r="I28" s="231">
        <v>0.58720000000000006</v>
      </c>
      <c r="J28" s="231">
        <v>0.58720000000000006</v>
      </c>
      <c r="K28" s="231">
        <v>0.58720000000000006</v>
      </c>
      <c r="L28" s="231">
        <v>0.58720000000000006</v>
      </c>
      <c r="M28" s="231">
        <v>0.58720000000000006</v>
      </c>
      <c r="N28" s="231">
        <v>0.58720000000000006</v>
      </c>
      <c r="P28" s="24"/>
    </row>
    <row r="29" spans="2:16" ht="14.1" customHeight="1" x14ac:dyDescent="0.25">
      <c r="B29" s="351"/>
      <c r="C29" s="363"/>
      <c r="D29" s="341" t="s">
        <v>268</v>
      </c>
      <c r="E29" s="341"/>
      <c r="G29" s="229">
        <f t="shared" ref="G29:N29" si="8">TRUNC(((G25*G26)*G27*G28),2)</f>
        <v>7.11</v>
      </c>
      <c r="H29" s="229">
        <f t="shared" si="8"/>
        <v>7.11</v>
      </c>
      <c r="I29" s="27">
        <f t="shared" si="8"/>
        <v>0.83</v>
      </c>
      <c r="J29" s="27">
        <f t="shared" si="8"/>
        <v>0.83</v>
      </c>
      <c r="K29" s="27">
        <f t="shared" si="8"/>
        <v>0.83</v>
      </c>
      <c r="L29" s="27">
        <f t="shared" si="8"/>
        <v>0.83</v>
      </c>
      <c r="M29" s="27">
        <f t="shared" si="8"/>
        <v>0.83</v>
      </c>
      <c r="N29" s="27">
        <f t="shared" si="8"/>
        <v>0.83</v>
      </c>
      <c r="P29" s="19">
        <f>SUM(F29:O29)</f>
        <v>19.199999999999996</v>
      </c>
    </row>
    <row r="30" spans="2:16" ht="14.1" customHeight="1" x14ac:dyDescent="0.25">
      <c r="B30" s="351"/>
      <c r="C30" s="363"/>
      <c r="D30" s="14" t="s">
        <v>264</v>
      </c>
      <c r="E30" s="18">
        <f>IF('Resumo DMT''s'!$E$14&gt;30,30,'Resumo DMT''s'!$E$14)</f>
        <v>30</v>
      </c>
      <c r="G30" s="229">
        <f t="shared" ref="G30:N30" si="9">TRUNC((G29*$E$30),2)</f>
        <v>213.3</v>
      </c>
      <c r="H30" s="229">
        <f t="shared" si="9"/>
        <v>213.3</v>
      </c>
      <c r="I30" s="27">
        <f t="shared" si="9"/>
        <v>24.9</v>
      </c>
      <c r="J30" s="27">
        <f t="shared" si="9"/>
        <v>24.9</v>
      </c>
      <c r="K30" s="27">
        <f t="shared" si="9"/>
        <v>24.9</v>
      </c>
      <c r="L30" s="27">
        <f t="shared" si="9"/>
        <v>24.9</v>
      </c>
      <c r="M30" s="27">
        <f t="shared" si="9"/>
        <v>24.9</v>
      </c>
      <c r="N30" s="27">
        <f t="shared" si="9"/>
        <v>24.9</v>
      </c>
      <c r="P30" s="19">
        <f>SUM(F30:O30)</f>
        <v>575.99999999999989</v>
      </c>
    </row>
    <row r="31" spans="2:16" ht="14.1" customHeight="1" x14ac:dyDescent="0.25">
      <c r="B31" s="351"/>
      <c r="C31" s="340"/>
      <c r="D31" s="14" t="s">
        <v>264</v>
      </c>
      <c r="E31" s="18">
        <f>IF('Resumo DMT''s'!$E$14&gt;30,'Resumo DMT''s'!$E$14-30,0)</f>
        <v>19</v>
      </c>
      <c r="G31" s="229">
        <f t="shared" ref="G31:N31" si="10">TRUNC((G29*$E$31),2)</f>
        <v>135.09</v>
      </c>
      <c r="H31" s="229">
        <f t="shared" si="10"/>
        <v>135.09</v>
      </c>
      <c r="I31" s="27">
        <f t="shared" si="10"/>
        <v>15.77</v>
      </c>
      <c r="J31" s="27">
        <f t="shared" si="10"/>
        <v>15.77</v>
      </c>
      <c r="K31" s="27">
        <f t="shared" si="10"/>
        <v>15.77</v>
      </c>
      <c r="L31" s="27">
        <f t="shared" si="10"/>
        <v>15.77</v>
      </c>
      <c r="M31" s="27">
        <f t="shared" si="10"/>
        <v>15.77</v>
      </c>
      <c r="N31" s="27">
        <f t="shared" si="10"/>
        <v>15.77</v>
      </c>
      <c r="P31" s="19">
        <f>SUM(F31:O31)</f>
        <v>364.7999999999999</v>
      </c>
    </row>
    <row r="32" spans="2:16" ht="5.0999999999999996" customHeight="1" x14ac:dyDescent="0.25">
      <c r="B32" s="351"/>
    </row>
    <row r="33" spans="2:16" ht="14.1" customHeight="1" x14ac:dyDescent="0.25">
      <c r="B33" s="351"/>
      <c r="C33" s="341" t="s">
        <v>269</v>
      </c>
      <c r="D33" s="341" t="s">
        <v>535</v>
      </c>
      <c r="E33" s="341"/>
      <c r="G33" s="229">
        <f>1.5+1.5+1.5</f>
        <v>4.5</v>
      </c>
      <c r="H33" s="229">
        <f t="shared" ref="H33:N33" si="11">1.5+1.5+1.5</f>
        <v>4.5</v>
      </c>
      <c r="I33" s="229">
        <f t="shared" si="11"/>
        <v>4.5</v>
      </c>
      <c r="J33" s="229">
        <f t="shared" si="11"/>
        <v>4.5</v>
      </c>
      <c r="K33" s="229">
        <f t="shared" si="11"/>
        <v>4.5</v>
      </c>
      <c r="L33" s="229">
        <f t="shared" si="11"/>
        <v>4.5</v>
      </c>
      <c r="M33" s="229">
        <f t="shared" si="11"/>
        <v>4.5</v>
      </c>
      <c r="N33" s="229">
        <f t="shared" si="11"/>
        <v>4.5</v>
      </c>
      <c r="P33" s="22"/>
    </row>
    <row r="34" spans="2:16" ht="14.1" customHeight="1" x14ac:dyDescent="0.25">
      <c r="B34" s="351"/>
      <c r="C34" s="341"/>
      <c r="D34" s="341" t="s">
        <v>516</v>
      </c>
      <c r="E34" s="341"/>
      <c r="G34" s="229">
        <v>0.25</v>
      </c>
      <c r="H34" s="229">
        <v>0.25</v>
      </c>
      <c r="I34" s="27">
        <v>0.25</v>
      </c>
      <c r="J34" s="27">
        <v>0.25</v>
      </c>
      <c r="K34" s="27">
        <v>0.25</v>
      </c>
      <c r="L34" s="27">
        <v>0.25</v>
      </c>
      <c r="M34" s="27">
        <v>0.25</v>
      </c>
      <c r="N34" s="27">
        <v>0.25</v>
      </c>
      <c r="P34" s="24"/>
    </row>
    <row r="35" spans="2:16" ht="14.1" customHeight="1" x14ac:dyDescent="0.25">
      <c r="B35" s="351"/>
      <c r="C35" s="341"/>
      <c r="D35" s="341" t="s">
        <v>540</v>
      </c>
      <c r="E35" s="341"/>
      <c r="G35" s="229">
        <f>TRUNC((G23*(G33*G34)),2)</f>
        <v>19.12</v>
      </c>
      <c r="H35" s="229">
        <f t="shared" ref="H35:N35" si="12">TRUNC((H23*(H33*H34)),2)</f>
        <v>19.12</v>
      </c>
      <c r="I35" s="229">
        <f t="shared" si="12"/>
        <v>2.25</v>
      </c>
      <c r="J35" s="229">
        <f t="shared" si="12"/>
        <v>2.25</v>
      </c>
      <c r="K35" s="229">
        <f t="shared" si="12"/>
        <v>2.25</v>
      </c>
      <c r="L35" s="229">
        <f t="shared" si="12"/>
        <v>2.25</v>
      </c>
      <c r="M35" s="229">
        <f t="shared" si="12"/>
        <v>2.25</v>
      </c>
      <c r="N35" s="229">
        <f t="shared" si="12"/>
        <v>2.25</v>
      </c>
      <c r="P35" s="19">
        <f>SUM(F35:O35)</f>
        <v>51.74</v>
      </c>
    </row>
    <row r="36" spans="2:16" ht="14.1" customHeight="1" x14ac:dyDescent="0.25">
      <c r="B36" s="351"/>
      <c r="C36" s="341"/>
      <c r="D36" s="341" t="s">
        <v>270</v>
      </c>
      <c r="E36" s="341"/>
      <c r="G36" s="229">
        <f t="shared" ref="G36:N36" si="13">TRUNC(((G35*0.025)*1.5),2)</f>
        <v>0.71</v>
      </c>
      <c r="H36" s="229">
        <f t="shared" si="13"/>
        <v>0.71</v>
      </c>
      <c r="I36" s="27">
        <f t="shared" si="13"/>
        <v>0.08</v>
      </c>
      <c r="J36" s="27">
        <f t="shared" si="13"/>
        <v>0.08</v>
      </c>
      <c r="K36" s="27">
        <f t="shared" si="13"/>
        <v>0.08</v>
      </c>
      <c r="L36" s="27">
        <f t="shared" si="13"/>
        <v>0.08</v>
      </c>
      <c r="M36" s="27">
        <f t="shared" si="13"/>
        <v>0.08</v>
      </c>
      <c r="N36" s="27">
        <f t="shared" si="13"/>
        <v>0.08</v>
      </c>
      <c r="P36" s="19">
        <f>SUM(F36:O36)</f>
        <v>1.9000000000000004</v>
      </c>
    </row>
    <row r="37" spans="2:16" ht="14.1" customHeight="1" x14ac:dyDescent="0.25">
      <c r="B37" s="351"/>
      <c r="C37" s="341"/>
      <c r="D37" s="14" t="s">
        <v>381</v>
      </c>
      <c r="E37" s="18">
        <f>IF('Resumo DMT''s'!$E$20&gt;30,30,'Resumo DMT''s'!$E$20)</f>
        <v>30</v>
      </c>
      <c r="G37" s="229">
        <f t="shared" ref="G37:N37" si="14">TRUNC((G36*$E$37),2)</f>
        <v>21.3</v>
      </c>
      <c r="H37" s="229">
        <f t="shared" si="14"/>
        <v>21.3</v>
      </c>
      <c r="I37" s="27">
        <f t="shared" si="14"/>
        <v>2.4</v>
      </c>
      <c r="J37" s="27">
        <f t="shared" si="14"/>
        <v>2.4</v>
      </c>
      <c r="K37" s="27">
        <f t="shared" si="14"/>
        <v>2.4</v>
      </c>
      <c r="L37" s="27">
        <f t="shared" si="14"/>
        <v>2.4</v>
      </c>
      <c r="M37" s="27">
        <f t="shared" si="14"/>
        <v>2.4</v>
      </c>
      <c r="N37" s="27">
        <f t="shared" si="14"/>
        <v>2.4</v>
      </c>
      <c r="P37" s="19">
        <f>SUM(F37:O37)</f>
        <v>56.999999999999993</v>
      </c>
    </row>
    <row r="38" spans="2:16" ht="14.1" customHeight="1" x14ac:dyDescent="0.25">
      <c r="B38" s="352"/>
      <c r="C38" s="341"/>
      <c r="D38" s="14" t="s">
        <v>382</v>
      </c>
      <c r="E38" s="18">
        <f>IF('Resumo DMT''s'!$E$20&gt;30,'Resumo DMT''s'!$E$20-30,0)</f>
        <v>99</v>
      </c>
      <c r="G38" s="229">
        <f t="shared" ref="G38:N38" si="15">TRUNC((G36*$E$38),2)</f>
        <v>70.290000000000006</v>
      </c>
      <c r="H38" s="229">
        <f t="shared" si="15"/>
        <v>70.290000000000006</v>
      </c>
      <c r="I38" s="27">
        <f t="shared" si="15"/>
        <v>7.92</v>
      </c>
      <c r="J38" s="27">
        <f t="shared" si="15"/>
        <v>7.92</v>
      </c>
      <c r="K38" s="27">
        <f t="shared" si="15"/>
        <v>7.92</v>
      </c>
      <c r="L38" s="27">
        <f t="shared" si="15"/>
        <v>7.92</v>
      </c>
      <c r="M38" s="27">
        <f t="shared" si="15"/>
        <v>7.92</v>
      </c>
      <c r="N38" s="27">
        <f t="shared" si="15"/>
        <v>7.92</v>
      </c>
      <c r="P38" s="19">
        <f>SUM(F38:O38)</f>
        <v>188.09999999999994</v>
      </c>
    </row>
  </sheetData>
  <mergeCells count="25">
    <mergeCell ref="C23:C31"/>
    <mergeCell ref="D12:E12"/>
    <mergeCell ref="D17:E17"/>
    <mergeCell ref="D14:E14"/>
    <mergeCell ref="B8:E8"/>
    <mergeCell ref="C10:E10"/>
    <mergeCell ref="C12:C21"/>
    <mergeCell ref="D13:E13"/>
    <mergeCell ref="D19:E19"/>
    <mergeCell ref="B10:B38"/>
    <mergeCell ref="C33:C38"/>
    <mergeCell ref="D33:E33"/>
    <mergeCell ref="D36:E36"/>
    <mergeCell ref="D34:E34"/>
    <mergeCell ref="D35:E35"/>
    <mergeCell ref="D18:E18"/>
    <mergeCell ref="D15:E15"/>
    <mergeCell ref="D26:E26"/>
    <mergeCell ref="D28:E28"/>
    <mergeCell ref="D29:E29"/>
    <mergeCell ref="D25:E25"/>
    <mergeCell ref="D27:E27"/>
    <mergeCell ref="D16:E16"/>
    <mergeCell ref="D23:E23"/>
    <mergeCell ref="D24:E24"/>
  </mergeCells>
  <printOptions horizontalCentered="1"/>
  <pageMargins left="0.59055118110236227" right="0.39370078740157483" top="0.39370078740157483" bottom="0.98425196850393704" header="0.31496062992125984" footer="0.31496062992125984"/>
  <pageSetup paperSize="9" scale="8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24">
    <tabColor rgb="FF00B050"/>
  </sheetPr>
  <dimension ref="B1:T32"/>
  <sheetViews>
    <sheetView showGridLines="0" view="pageBreakPreview" zoomScaleSheetLayoutView="100" workbookViewId="0">
      <pane ySplit="8" topLeftCell="A9" activePane="bottomLeft" state="frozen"/>
      <selection activeCell="K117" sqref="K117"/>
      <selection pane="bottomLeft" activeCell="B2" sqref="B2"/>
    </sheetView>
  </sheetViews>
  <sheetFormatPr defaultRowHeight="12.75" x14ac:dyDescent="0.25"/>
  <cols>
    <col min="1" max="1" width="1.7109375" style="4" customWidth="1"/>
    <col min="2" max="2" width="11.7109375" style="4" customWidth="1"/>
    <col min="3" max="3" width="12.7109375" style="4" customWidth="1"/>
    <col min="4" max="4" width="10.7109375" style="4" customWidth="1"/>
    <col min="5" max="5" width="14.7109375" style="4" customWidth="1"/>
    <col min="6" max="6" width="20.7109375" style="4" customWidth="1"/>
    <col min="7" max="7" width="1.7109375" style="4" customWidth="1"/>
    <col min="8" max="12" width="10.7109375" style="209" customWidth="1"/>
    <col min="13" max="15" width="9.7109375" style="209" customWidth="1"/>
    <col min="16" max="16" width="1.7109375" style="4" customWidth="1"/>
    <col min="17" max="17" width="10.7109375" style="4" customWidth="1"/>
    <col min="18" max="16384" width="9.140625" style="4"/>
  </cols>
  <sheetData>
    <row r="1" spans="2:19" ht="5.0999999999999996" customHeight="1" x14ac:dyDescent="0.25"/>
    <row r="2" spans="2:19" ht="14.1" customHeight="1" x14ac:dyDescent="0.25">
      <c r="B2" s="102" t="str">
        <f>DADOS!$B$3</f>
        <v>CLIENTE:</v>
      </c>
      <c r="C2" s="80" t="str">
        <f>DADOS!$C$3</f>
        <v>PREFEITURA MUNICIPAL DE APARECIDA DO TABOADO / MS</v>
      </c>
      <c r="D2" s="36"/>
      <c r="E2" s="36"/>
      <c r="F2" s="36"/>
      <c r="G2" s="36"/>
      <c r="H2" s="233"/>
      <c r="I2" s="233"/>
      <c r="J2" s="233"/>
      <c r="K2" s="233"/>
      <c r="L2" s="233"/>
      <c r="M2" s="233"/>
      <c r="N2" s="233"/>
      <c r="O2" s="233"/>
      <c r="P2" s="36"/>
      <c r="Q2" s="40"/>
    </row>
    <row r="3" spans="2:19" ht="14.1" customHeight="1" x14ac:dyDescent="0.25">
      <c r="B3" s="103" t="str">
        <f>DADOS!$B$4</f>
        <v>ENDEREÇO:</v>
      </c>
      <c r="C3" s="81" t="str">
        <f>DADOS!$C$4</f>
        <v>RUA ELIAS TOLENTINO DE ALMEIDA, Nº 4.098 - JD. SÃO BENTO</v>
      </c>
      <c r="Q3" s="41"/>
    </row>
    <row r="4" spans="2:19" ht="14.1" customHeight="1" x14ac:dyDescent="0.2">
      <c r="B4" s="82"/>
      <c r="C4" s="81"/>
      <c r="Q4" s="41"/>
    </row>
    <row r="5" spans="2:19" ht="14.1" customHeight="1" x14ac:dyDescent="0.25">
      <c r="B5" s="103" t="str">
        <f>DADOS!$B$7</f>
        <v>OBRA:</v>
      </c>
      <c r="C5" s="81" t="str">
        <f>DADOS!$C$7</f>
        <v>PAVIMENTAÇÃO ASFÁLTICA E DRENAGEM DE ÁGUAS PLUVIAIS</v>
      </c>
      <c r="Q5" s="41"/>
    </row>
    <row r="6" spans="2:19" ht="14.1" customHeight="1" x14ac:dyDescent="0.25">
      <c r="B6" s="83" t="str">
        <f>DADOS!$B$8</f>
        <v>LOCAL:</v>
      </c>
      <c r="C6" s="84" t="str">
        <f>DADOS!$C$8</f>
        <v>DIVERSAS RUAS NO BAIRRO PRIMAVERA, APARECIDA DO TABOADO / MS</v>
      </c>
      <c r="D6" s="42"/>
      <c r="E6" s="42"/>
      <c r="F6" s="42"/>
      <c r="G6" s="42"/>
      <c r="H6" s="234"/>
      <c r="I6" s="234"/>
      <c r="J6" s="234"/>
      <c r="K6" s="234"/>
      <c r="L6" s="234"/>
      <c r="M6" s="234"/>
      <c r="N6" s="234"/>
      <c r="O6" s="234"/>
      <c r="P6" s="42"/>
      <c r="Q6" s="43"/>
    </row>
    <row r="7" spans="2:19" ht="5.0999999999999996" customHeight="1" x14ac:dyDescent="0.25"/>
    <row r="8" spans="2:19" ht="39.950000000000003" customHeight="1" x14ac:dyDescent="0.25">
      <c r="B8" s="353" t="s">
        <v>201</v>
      </c>
      <c r="C8" s="354"/>
      <c r="D8" s="354"/>
      <c r="E8" s="354"/>
      <c r="F8" s="349"/>
      <c r="H8" s="235" t="str">
        <f>'Pav-Terrapl'!G8</f>
        <v>AV. DOS ESTUDANTES - LE</v>
      </c>
      <c r="I8" s="235" t="str">
        <f>'Pav-Terrapl'!H8</f>
        <v>AV. DOS ESTUDANTES - LD</v>
      </c>
      <c r="J8" s="235" t="str">
        <f>'Pav-Terrapl'!I8</f>
        <v>AV. AJAX FURQUIM - LE</v>
      </c>
      <c r="K8" s="235" t="str">
        <f>'Pav-Terrapl'!J8</f>
        <v>AV. AJAX FURQUIM - LD</v>
      </c>
      <c r="L8" s="235" t="str">
        <f>'Pav-Terrapl'!K8</f>
        <v>RUA BELO HORIZONTE</v>
      </c>
      <c r="M8" s="235" t="str">
        <f>'Pav-Terrapl'!L8</f>
        <v>RUA SÃO PAULO</v>
      </c>
      <c r="N8" s="235" t="str">
        <f>'Pav-Terrapl'!M8</f>
        <v>RUA MINAS GERAIS</v>
      </c>
      <c r="O8" s="235" t="str">
        <f>'Pav-Terrapl'!N8</f>
        <v>RUA CUIABÁ</v>
      </c>
      <c r="Q8" s="17" t="s">
        <v>5</v>
      </c>
    </row>
    <row r="9" spans="2:19" ht="5.0999999999999996" customHeight="1" x14ac:dyDescent="0.25"/>
    <row r="10" spans="2:19" ht="14.1" customHeight="1" x14ac:dyDescent="0.25">
      <c r="B10" s="350" t="s">
        <v>241</v>
      </c>
      <c r="C10" s="349" t="s">
        <v>242</v>
      </c>
      <c r="D10" s="14" t="s">
        <v>247</v>
      </c>
      <c r="E10" s="14" t="s">
        <v>245</v>
      </c>
      <c r="F10" s="14" t="s">
        <v>116</v>
      </c>
      <c r="H10" s="229">
        <v>0</v>
      </c>
      <c r="I10" s="229">
        <v>0</v>
      </c>
      <c r="J10" s="229">
        <v>0</v>
      </c>
      <c r="K10" s="229">
        <v>0</v>
      </c>
      <c r="L10" s="229">
        <v>28.3</v>
      </c>
      <c r="M10" s="229">
        <v>28.3</v>
      </c>
      <c r="N10" s="229">
        <v>28.24</v>
      </c>
      <c r="O10" s="229">
        <v>28.23</v>
      </c>
      <c r="Q10" s="19">
        <f>SUM(G10:P10)</f>
        <v>113.07000000000001</v>
      </c>
    </row>
    <row r="11" spans="2:19" ht="14.1" customHeight="1" x14ac:dyDescent="0.25">
      <c r="B11" s="351"/>
      <c r="C11" s="349"/>
      <c r="D11" s="341" t="s">
        <v>248</v>
      </c>
      <c r="E11" s="14" t="s">
        <v>245</v>
      </c>
      <c r="F11" s="14" t="s">
        <v>116</v>
      </c>
      <c r="H11" s="229">
        <v>0</v>
      </c>
      <c r="I11" s="229">
        <v>0</v>
      </c>
      <c r="J11" s="229">
        <v>15</v>
      </c>
      <c r="K11" s="229">
        <v>3.01</v>
      </c>
      <c r="L11" s="229">
        <v>0</v>
      </c>
      <c r="M11" s="229">
        <v>0</v>
      </c>
      <c r="N11" s="229">
        <v>0</v>
      </c>
      <c r="O11" s="229">
        <v>0</v>
      </c>
      <c r="Q11" s="19">
        <f>SUM(G11:P11)</f>
        <v>18.009999999999998</v>
      </c>
      <c r="S11" s="124"/>
    </row>
    <row r="12" spans="2:19" ht="14.1" customHeight="1" x14ac:dyDescent="0.25">
      <c r="B12" s="351"/>
      <c r="C12" s="349"/>
      <c r="D12" s="341"/>
      <c r="E12" s="341" t="s">
        <v>246</v>
      </c>
      <c r="F12" s="14" t="s">
        <v>116</v>
      </c>
      <c r="H12" s="229">
        <v>254.92</v>
      </c>
      <c r="I12" s="229">
        <v>251.21</v>
      </c>
      <c r="J12" s="229">
        <v>10.99</v>
      </c>
      <c r="K12" s="229">
        <v>22</v>
      </c>
      <c r="L12" s="229">
        <v>0</v>
      </c>
      <c r="M12" s="229">
        <v>0</v>
      </c>
      <c r="N12" s="229">
        <v>0</v>
      </c>
      <c r="O12" s="229">
        <v>0</v>
      </c>
      <c r="Q12" s="19">
        <f>SUM(G12:P12)</f>
        <v>539.12</v>
      </c>
    </row>
    <row r="13" spans="2:19" ht="14.1" customHeight="1" x14ac:dyDescent="0.25">
      <c r="B13" s="351"/>
      <c r="C13" s="349"/>
      <c r="D13" s="341"/>
      <c r="E13" s="341"/>
      <c r="F13" s="14" t="s">
        <v>244</v>
      </c>
      <c r="H13" s="236">
        <v>0.5</v>
      </c>
      <c r="I13" s="236">
        <v>0.5</v>
      </c>
      <c r="J13" s="236">
        <v>0.5</v>
      </c>
      <c r="K13" s="236">
        <v>0.5</v>
      </c>
      <c r="L13" s="236">
        <v>0.5</v>
      </c>
      <c r="M13" s="236">
        <v>0.5</v>
      </c>
      <c r="N13" s="236">
        <v>0.5</v>
      </c>
      <c r="O13" s="236">
        <v>0.5</v>
      </c>
      <c r="Q13" s="24"/>
      <c r="R13" s="124"/>
      <c r="S13" s="221"/>
    </row>
    <row r="14" spans="2:19" ht="14.1" customHeight="1" x14ac:dyDescent="0.25">
      <c r="B14" s="351"/>
      <c r="C14" s="349"/>
      <c r="D14" s="341"/>
      <c r="E14" s="341"/>
      <c r="F14" s="14" t="s">
        <v>451</v>
      </c>
      <c r="H14" s="229">
        <f t="shared" ref="H14:L14" si="0">TRUNC((H12*H13),2)</f>
        <v>127.46</v>
      </c>
      <c r="I14" s="229">
        <f t="shared" si="0"/>
        <v>125.6</v>
      </c>
      <c r="J14" s="229">
        <f t="shared" si="0"/>
        <v>5.49</v>
      </c>
      <c r="K14" s="229">
        <f t="shared" si="0"/>
        <v>11</v>
      </c>
      <c r="L14" s="229">
        <f t="shared" si="0"/>
        <v>0</v>
      </c>
      <c r="M14" s="229">
        <f t="shared" ref="M14:N14" si="1">TRUNC((M12*M13),2)</f>
        <v>0</v>
      </c>
      <c r="N14" s="229">
        <f t="shared" si="1"/>
        <v>0</v>
      </c>
      <c r="O14" s="229">
        <f t="shared" ref="O14" si="2">TRUNC((O12*O13),2)</f>
        <v>0</v>
      </c>
      <c r="Q14" s="19">
        <f>SUM(G14:P14)</f>
        <v>269.55</v>
      </c>
    </row>
    <row r="15" spans="2:19" ht="5.0999999999999996" customHeight="1" x14ac:dyDescent="0.25">
      <c r="B15" s="351"/>
      <c r="N15" s="232"/>
      <c r="O15" s="232"/>
    </row>
    <row r="16" spans="2:19" ht="14.1" customHeight="1" x14ac:dyDescent="0.25">
      <c r="B16" s="351"/>
      <c r="C16" s="349" t="s">
        <v>249</v>
      </c>
      <c r="D16" s="341" t="s">
        <v>254</v>
      </c>
      <c r="E16" s="341"/>
      <c r="F16" s="14" t="s">
        <v>250</v>
      </c>
      <c r="H16" s="238">
        <v>0</v>
      </c>
      <c r="I16" s="238">
        <v>0</v>
      </c>
      <c r="J16" s="238">
        <v>2</v>
      </c>
      <c r="K16" s="238">
        <v>2</v>
      </c>
      <c r="L16" s="238">
        <v>2</v>
      </c>
      <c r="M16" s="238">
        <v>2</v>
      </c>
      <c r="N16" s="238">
        <v>2</v>
      </c>
      <c r="O16" s="238">
        <v>2</v>
      </c>
      <c r="Q16" s="31">
        <f>SUM(G16:P16)</f>
        <v>12</v>
      </c>
    </row>
    <row r="17" spans="2:20" ht="14.1" customHeight="1" x14ac:dyDescent="0.25">
      <c r="B17" s="351"/>
      <c r="C17" s="349"/>
      <c r="D17" s="341"/>
      <c r="E17" s="341"/>
      <c r="F17" s="14" t="s">
        <v>251</v>
      </c>
      <c r="H17" s="229">
        <v>2.92</v>
      </c>
      <c r="I17" s="229">
        <v>2.92</v>
      </c>
      <c r="J17" s="229">
        <v>2.92</v>
      </c>
      <c r="K17" s="229">
        <v>2.92</v>
      </c>
      <c r="L17" s="229">
        <v>2.92</v>
      </c>
      <c r="M17" s="229">
        <v>2.92</v>
      </c>
      <c r="N17" s="229">
        <v>2.92</v>
      </c>
      <c r="O17" s="229">
        <v>2.92</v>
      </c>
      <c r="Q17" s="38"/>
    </row>
    <row r="18" spans="2:20" ht="14.1" customHeight="1" x14ac:dyDescent="0.25">
      <c r="B18" s="351"/>
      <c r="C18" s="349"/>
      <c r="D18" s="341"/>
      <c r="E18" s="341"/>
      <c r="F18" s="14" t="s">
        <v>243</v>
      </c>
      <c r="H18" s="229">
        <f t="shared" ref="H18:L18" si="3">TRUNC((H16*H17),2)</f>
        <v>0</v>
      </c>
      <c r="I18" s="229">
        <f t="shared" si="3"/>
        <v>0</v>
      </c>
      <c r="J18" s="229">
        <f t="shared" si="3"/>
        <v>5.84</v>
      </c>
      <c r="K18" s="229">
        <f t="shared" si="3"/>
        <v>5.84</v>
      </c>
      <c r="L18" s="229">
        <f t="shared" si="3"/>
        <v>5.84</v>
      </c>
      <c r="M18" s="229">
        <f t="shared" ref="M18:N18" si="4">TRUNC((M16*M17),2)</f>
        <v>5.84</v>
      </c>
      <c r="N18" s="229">
        <f t="shared" si="4"/>
        <v>5.84</v>
      </c>
      <c r="O18" s="229">
        <f t="shared" ref="O18" si="5">TRUNC((O16*O17),2)</f>
        <v>5.84</v>
      </c>
      <c r="Q18" s="19">
        <f>SUM(G18:P18)</f>
        <v>35.04</v>
      </c>
    </row>
    <row r="19" spans="2:20" ht="14.1" customHeight="1" x14ac:dyDescent="0.25">
      <c r="B19" s="351"/>
      <c r="C19" s="349"/>
      <c r="D19" s="341" t="s">
        <v>252</v>
      </c>
      <c r="E19" s="341"/>
      <c r="F19" s="14" t="s">
        <v>116</v>
      </c>
      <c r="H19" s="229">
        <v>0</v>
      </c>
      <c r="I19" s="229">
        <v>0</v>
      </c>
      <c r="J19" s="229">
        <v>10.039999999999999</v>
      </c>
      <c r="K19" s="229">
        <v>10.06</v>
      </c>
      <c r="L19" s="229">
        <v>10.62</v>
      </c>
      <c r="M19" s="229">
        <v>10.26</v>
      </c>
      <c r="N19" s="229">
        <v>10.26</v>
      </c>
      <c r="O19" s="229">
        <v>10.42</v>
      </c>
      <c r="Q19" s="19">
        <f>SUM(G19:P19)</f>
        <v>61.66</v>
      </c>
    </row>
    <row r="20" spans="2:20" ht="14.1" customHeight="1" x14ac:dyDescent="0.25">
      <c r="B20" s="351"/>
      <c r="C20" s="349"/>
      <c r="D20" s="341"/>
      <c r="E20" s="341"/>
      <c r="F20" s="14" t="s">
        <v>233</v>
      </c>
      <c r="H20" s="229">
        <v>0.4</v>
      </c>
      <c r="I20" s="229">
        <v>0.4</v>
      </c>
      <c r="J20" s="229">
        <v>0.4</v>
      </c>
      <c r="K20" s="229">
        <v>0.4</v>
      </c>
      <c r="L20" s="229">
        <v>0.4</v>
      </c>
      <c r="M20" s="229">
        <v>0.4</v>
      </c>
      <c r="N20" s="229">
        <v>0.4</v>
      </c>
      <c r="O20" s="229">
        <v>0.4</v>
      </c>
      <c r="Q20" s="38"/>
    </row>
    <row r="21" spans="2:20" ht="14.1" customHeight="1" x14ac:dyDescent="0.25">
      <c r="B21" s="351"/>
      <c r="C21" s="349"/>
      <c r="D21" s="341"/>
      <c r="E21" s="341"/>
      <c r="F21" s="14" t="s">
        <v>243</v>
      </c>
      <c r="H21" s="229">
        <f t="shared" ref="H21:L21" si="6">TRUNC((H19*H20),2)</f>
        <v>0</v>
      </c>
      <c r="I21" s="229">
        <f t="shared" si="6"/>
        <v>0</v>
      </c>
      <c r="J21" s="229">
        <f t="shared" si="6"/>
        <v>4.01</v>
      </c>
      <c r="K21" s="229">
        <f t="shared" si="6"/>
        <v>4.0199999999999996</v>
      </c>
      <c r="L21" s="229">
        <f t="shared" si="6"/>
        <v>4.24</v>
      </c>
      <c r="M21" s="229">
        <f t="shared" ref="M21:N21" si="7">TRUNC((M19*M20),2)</f>
        <v>4.0999999999999996</v>
      </c>
      <c r="N21" s="229">
        <f t="shared" si="7"/>
        <v>4.0999999999999996</v>
      </c>
      <c r="O21" s="229">
        <f t="shared" ref="O21" si="8">TRUNC((O19*O20),2)</f>
        <v>4.16</v>
      </c>
      <c r="Q21" s="19">
        <f>SUM(G21:P21)</f>
        <v>24.63</v>
      </c>
      <c r="T21" s="124"/>
    </row>
    <row r="22" spans="2:20" ht="14.1" customHeight="1" x14ac:dyDescent="0.25">
      <c r="B22" s="351"/>
      <c r="C22" s="349"/>
      <c r="D22" s="341" t="s">
        <v>253</v>
      </c>
      <c r="E22" s="341"/>
      <c r="F22" s="14" t="s">
        <v>250</v>
      </c>
      <c r="H22" s="238">
        <v>8</v>
      </c>
      <c r="I22" s="238">
        <v>8</v>
      </c>
      <c r="J22" s="238">
        <v>0</v>
      </c>
      <c r="K22" s="238"/>
      <c r="L22" s="238">
        <v>0</v>
      </c>
      <c r="M22" s="238">
        <v>0</v>
      </c>
      <c r="N22" s="238">
        <v>0</v>
      </c>
      <c r="O22" s="238">
        <v>0</v>
      </c>
      <c r="Q22" s="31">
        <f>SUM(G22:P22)</f>
        <v>16</v>
      </c>
    </row>
    <row r="23" spans="2:20" ht="14.1" customHeight="1" x14ac:dyDescent="0.25">
      <c r="B23" s="351"/>
      <c r="C23" s="349"/>
      <c r="D23" s="341"/>
      <c r="E23" s="341"/>
      <c r="F23" s="14" t="s">
        <v>251</v>
      </c>
      <c r="H23" s="229">
        <v>1.0900000000000001</v>
      </c>
      <c r="I23" s="229">
        <v>1.0900000000000001</v>
      </c>
      <c r="J23" s="229">
        <v>1.0900000000000001</v>
      </c>
      <c r="K23" s="229">
        <v>1.0900000000000001</v>
      </c>
      <c r="L23" s="229">
        <v>1.0900000000000001</v>
      </c>
      <c r="M23" s="229">
        <v>1.0900000000000001</v>
      </c>
      <c r="N23" s="229">
        <v>1.0900000000000001</v>
      </c>
      <c r="O23" s="229">
        <v>1.0900000000000001</v>
      </c>
      <c r="Q23" s="38"/>
    </row>
    <row r="24" spans="2:20" ht="14.1" customHeight="1" x14ac:dyDescent="0.25">
      <c r="B24" s="351"/>
      <c r="C24" s="349"/>
      <c r="D24" s="341"/>
      <c r="E24" s="341"/>
      <c r="F24" s="14" t="s">
        <v>243</v>
      </c>
      <c r="H24" s="229">
        <f t="shared" ref="H24:L24" si="9">TRUNC((H22*H23),2)</f>
        <v>8.7200000000000006</v>
      </c>
      <c r="I24" s="229">
        <f t="shared" si="9"/>
        <v>8.7200000000000006</v>
      </c>
      <c r="J24" s="229">
        <f t="shared" si="9"/>
        <v>0</v>
      </c>
      <c r="K24" s="229">
        <f t="shared" si="9"/>
        <v>0</v>
      </c>
      <c r="L24" s="229">
        <f t="shared" si="9"/>
        <v>0</v>
      </c>
      <c r="M24" s="229">
        <f t="shared" ref="M24:N24" si="10">TRUNC((M22*M23),2)</f>
        <v>0</v>
      </c>
      <c r="N24" s="229">
        <f t="shared" si="10"/>
        <v>0</v>
      </c>
      <c r="O24" s="229">
        <f t="shared" ref="O24" si="11">TRUNC((O22*O23),2)</f>
        <v>0</v>
      </c>
      <c r="Q24" s="19">
        <f>SUM(G24:P24)</f>
        <v>17.440000000000001</v>
      </c>
    </row>
    <row r="25" spans="2:20" ht="5.0999999999999996" customHeight="1" x14ac:dyDescent="0.25">
      <c r="B25" s="351"/>
    </row>
    <row r="26" spans="2:20" ht="14.1" customHeight="1" x14ac:dyDescent="0.25">
      <c r="B26" s="351"/>
      <c r="C26" s="349" t="s">
        <v>255</v>
      </c>
      <c r="D26" s="341" t="s">
        <v>254</v>
      </c>
      <c r="E26" s="341"/>
      <c r="F26" s="14" t="s">
        <v>250</v>
      </c>
      <c r="H26" s="238">
        <v>0</v>
      </c>
      <c r="I26" s="238">
        <v>0</v>
      </c>
      <c r="J26" s="238">
        <v>2</v>
      </c>
      <c r="K26" s="238">
        <v>2</v>
      </c>
      <c r="L26" s="238">
        <v>2</v>
      </c>
      <c r="M26" s="238">
        <v>2</v>
      </c>
      <c r="N26" s="238">
        <v>2</v>
      </c>
      <c r="O26" s="238">
        <v>2</v>
      </c>
      <c r="Q26" s="31">
        <f>SUM(G26:P26)</f>
        <v>12</v>
      </c>
    </row>
    <row r="27" spans="2:20" ht="14.1" customHeight="1" x14ac:dyDescent="0.25">
      <c r="B27" s="351"/>
      <c r="C27" s="349"/>
      <c r="D27" s="341"/>
      <c r="E27" s="341"/>
      <c r="F27" s="14" t="s">
        <v>251</v>
      </c>
      <c r="H27" s="229">
        <v>0.36</v>
      </c>
      <c r="I27" s="229">
        <v>0.36</v>
      </c>
      <c r="J27" s="229">
        <v>0.36</v>
      </c>
      <c r="K27" s="229">
        <v>0.36</v>
      </c>
      <c r="L27" s="229">
        <v>0.36</v>
      </c>
      <c r="M27" s="229">
        <v>0.36</v>
      </c>
      <c r="N27" s="229">
        <v>0.36</v>
      </c>
      <c r="O27" s="229">
        <v>0.36</v>
      </c>
      <c r="Q27" s="38"/>
    </row>
    <row r="28" spans="2:20" ht="14.1" customHeight="1" x14ac:dyDescent="0.25">
      <c r="B28" s="351"/>
      <c r="C28" s="349"/>
      <c r="D28" s="341" t="s">
        <v>256</v>
      </c>
      <c r="E28" s="341"/>
      <c r="F28" s="14" t="s">
        <v>250</v>
      </c>
      <c r="H28" s="238">
        <v>1</v>
      </c>
      <c r="I28" s="238">
        <v>1</v>
      </c>
      <c r="J28" s="238">
        <v>0</v>
      </c>
      <c r="K28" s="238">
        <v>0</v>
      </c>
      <c r="L28" s="238">
        <v>0</v>
      </c>
      <c r="M28" s="238">
        <v>0</v>
      </c>
      <c r="N28" s="238">
        <v>0</v>
      </c>
      <c r="O28" s="238">
        <v>0</v>
      </c>
      <c r="Q28" s="31">
        <f>SUM(G28:P28)</f>
        <v>2</v>
      </c>
    </row>
    <row r="29" spans="2:20" ht="14.1" customHeight="1" x14ac:dyDescent="0.25">
      <c r="B29" s="351"/>
      <c r="C29" s="349"/>
      <c r="D29" s="341"/>
      <c r="E29" s="341"/>
      <c r="F29" s="14" t="s">
        <v>251</v>
      </c>
      <c r="H29" s="229">
        <v>0.36</v>
      </c>
      <c r="I29" s="229">
        <v>0.36</v>
      </c>
      <c r="J29" s="229">
        <v>0.36</v>
      </c>
      <c r="K29" s="229">
        <v>0.36</v>
      </c>
      <c r="L29" s="229">
        <v>0.36</v>
      </c>
      <c r="M29" s="229">
        <v>0.36</v>
      </c>
      <c r="N29" s="229">
        <v>0.36</v>
      </c>
      <c r="O29" s="229">
        <v>0.36</v>
      </c>
      <c r="Q29" s="38"/>
    </row>
    <row r="30" spans="2:20" ht="14.1" customHeight="1" x14ac:dyDescent="0.25">
      <c r="B30" s="351"/>
      <c r="C30" s="349" t="s">
        <v>257</v>
      </c>
      <c r="D30" s="341"/>
      <c r="E30" s="341"/>
      <c r="F30" s="14" t="s">
        <v>250</v>
      </c>
      <c r="H30" s="238">
        <v>0</v>
      </c>
      <c r="I30" s="238">
        <v>0</v>
      </c>
      <c r="J30" s="238">
        <v>2</v>
      </c>
      <c r="K30" s="238">
        <v>2</v>
      </c>
      <c r="L30" s="238">
        <v>4</v>
      </c>
      <c r="M30" s="238">
        <v>4</v>
      </c>
      <c r="N30" s="238">
        <v>4</v>
      </c>
      <c r="O30" s="238">
        <v>4</v>
      </c>
      <c r="Q30" s="31">
        <f>SUM(G30:P30)</f>
        <v>20</v>
      </c>
    </row>
    <row r="31" spans="2:20" ht="14.1" customHeight="1" x14ac:dyDescent="0.25">
      <c r="B31" s="351"/>
      <c r="C31" s="349"/>
      <c r="D31" s="341"/>
      <c r="E31" s="341"/>
      <c r="F31" s="14" t="s">
        <v>251</v>
      </c>
      <c r="H31" s="237">
        <f t="shared" ref="H31:O31" si="12">0.45*0.25</f>
        <v>0.1125</v>
      </c>
      <c r="I31" s="237">
        <f t="shared" si="12"/>
        <v>0.1125</v>
      </c>
      <c r="J31" s="237">
        <f t="shared" si="12"/>
        <v>0.1125</v>
      </c>
      <c r="K31" s="237">
        <f t="shared" si="12"/>
        <v>0.1125</v>
      </c>
      <c r="L31" s="237">
        <f t="shared" si="12"/>
        <v>0.1125</v>
      </c>
      <c r="M31" s="237">
        <f t="shared" si="12"/>
        <v>0.1125</v>
      </c>
      <c r="N31" s="237">
        <f t="shared" si="12"/>
        <v>0.1125</v>
      </c>
      <c r="O31" s="237">
        <f t="shared" si="12"/>
        <v>0.1125</v>
      </c>
      <c r="Q31" s="38"/>
    </row>
    <row r="32" spans="2:20" ht="14.1" customHeight="1" x14ac:dyDescent="0.25">
      <c r="B32" s="351"/>
      <c r="C32" s="349" t="s">
        <v>258</v>
      </c>
      <c r="D32" s="341"/>
      <c r="E32" s="341"/>
      <c r="F32" s="341"/>
      <c r="H32" s="238">
        <f t="shared" ref="H32:L32" si="13">TRUNC((H30/2),2)</f>
        <v>0</v>
      </c>
      <c r="I32" s="238">
        <f t="shared" si="13"/>
        <v>0</v>
      </c>
      <c r="J32" s="238">
        <f t="shared" si="13"/>
        <v>1</v>
      </c>
      <c r="K32" s="238">
        <f t="shared" si="13"/>
        <v>1</v>
      </c>
      <c r="L32" s="238">
        <f t="shared" si="13"/>
        <v>2</v>
      </c>
      <c r="M32" s="238">
        <f t="shared" ref="M32:N32" si="14">TRUNC((M30/2),2)</f>
        <v>2</v>
      </c>
      <c r="N32" s="238">
        <f t="shared" si="14"/>
        <v>2</v>
      </c>
      <c r="O32" s="238">
        <f t="shared" ref="O32" si="15">TRUNC((O30/2),2)</f>
        <v>2</v>
      </c>
      <c r="Q32" s="31">
        <f>SUM(G32:P32)</f>
        <v>10</v>
      </c>
    </row>
  </sheetData>
  <mergeCells count="14">
    <mergeCell ref="B8:F8"/>
    <mergeCell ref="C30:E31"/>
    <mergeCell ref="C32:F32"/>
    <mergeCell ref="C26:C29"/>
    <mergeCell ref="D26:E27"/>
    <mergeCell ref="D28:E29"/>
    <mergeCell ref="C10:C14"/>
    <mergeCell ref="E12:E14"/>
    <mergeCell ref="D11:D14"/>
    <mergeCell ref="C16:C24"/>
    <mergeCell ref="D16:E18"/>
    <mergeCell ref="D19:E21"/>
    <mergeCell ref="D22:E24"/>
    <mergeCell ref="B10:B32"/>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1:O52"/>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56.1" customHeight="1" x14ac:dyDescent="0.25">
      <c r="B11" s="85" t="s">
        <v>594</v>
      </c>
      <c r="C11" s="370" t="s">
        <v>85</v>
      </c>
      <c r="D11" s="371"/>
      <c r="E11" s="371"/>
      <c r="F11" s="372"/>
      <c r="G11" s="78" t="s">
        <v>15</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42" customHeight="1" x14ac:dyDescent="0.25">
      <c r="B15" s="109">
        <v>5928</v>
      </c>
      <c r="C15" s="105" t="s">
        <v>86</v>
      </c>
      <c r="D15" s="95">
        <v>270.89999999999998</v>
      </c>
      <c r="E15" s="95">
        <v>0</v>
      </c>
      <c r="F15" s="95">
        <v>1</v>
      </c>
      <c r="G15" s="95">
        <v>0.1</v>
      </c>
      <c r="H15" s="95">
        <v>0</v>
      </c>
      <c r="I15" s="95">
        <f>TRUNC((D15*F15*G15),2)+TRUNC((E15*F15*H15),2)</f>
        <v>27.09</v>
      </c>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27.09</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11" customFormat="1" ht="14.1" customHeight="1" x14ac:dyDescent="0.25">
      <c r="B21" s="109"/>
      <c r="C21" s="105"/>
      <c r="D21" s="94"/>
      <c r="E21" s="380"/>
      <c r="F21" s="380"/>
      <c r="G21" s="380"/>
      <c r="H21" s="380"/>
      <c r="I21" s="95"/>
    </row>
    <row r="22" spans="2:9" s="4" customFormat="1" ht="14.1" customHeight="1" x14ac:dyDescent="0.25">
      <c r="B22" s="72"/>
      <c r="C22" s="73"/>
      <c r="D22" s="99"/>
      <c r="E22" s="381"/>
      <c r="F22" s="381"/>
      <c r="G22" s="381"/>
      <c r="H22" s="381"/>
      <c r="I22" s="74"/>
    </row>
    <row r="23" spans="2:9" s="4" customFormat="1" ht="15" customHeight="1" x14ac:dyDescent="0.25">
      <c r="B23" s="373" t="s">
        <v>74</v>
      </c>
      <c r="C23" s="374"/>
      <c r="D23" s="374"/>
      <c r="E23" s="374"/>
      <c r="F23" s="374"/>
      <c r="G23" s="374"/>
      <c r="H23" s="375"/>
      <c r="I23" s="19">
        <f>SUM(I21:I22)</f>
        <v>0</v>
      </c>
    </row>
    <row r="24" spans="2:9" s="4" customFormat="1" ht="5.0999999999999996" customHeight="1" x14ac:dyDescent="0.25">
      <c r="B24" s="12"/>
      <c r="C24" s="11"/>
      <c r="D24" s="11"/>
      <c r="E24" s="11"/>
      <c r="F24" s="11"/>
      <c r="G24" s="11"/>
      <c r="H24" s="11"/>
      <c r="I24" s="11"/>
    </row>
    <row r="25" spans="2:9" s="4" customFormat="1" ht="15" customHeight="1" x14ac:dyDescent="0.25">
      <c r="B25" s="373" t="s">
        <v>75</v>
      </c>
      <c r="C25" s="374"/>
      <c r="D25" s="374"/>
      <c r="E25" s="374"/>
      <c r="F25" s="374"/>
      <c r="G25" s="374"/>
      <c r="H25" s="375"/>
      <c r="I25" s="19">
        <f>I17+I23</f>
        <v>27.09</v>
      </c>
    </row>
    <row r="26" spans="2:9" ht="5.0999999999999996" customHeight="1" x14ac:dyDescent="0.25">
      <c r="B26" s="110"/>
      <c r="C26" s="110"/>
      <c r="D26" s="110"/>
      <c r="E26" s="110"/>
      <c r="F26" s="110"/>
      <c r="G26" s="110"/>
      <c r="H26" s="110"/>
      <c r="I26" s="110"/>
    </row>
    <row r="27" spans="2:9" s="4" customFormat="1" ht="15" customHeight="1" x14ac:dyDescent="0.25">
      <c r="B27" s="373" t="s">
        <v>76</v>
      </c>
      <c r="C27" s="374"/>
      <c r="D27" s="374"/>
      <c r="E27" s="374"/>
      <c r="F27" s="374"/>
      <c r="G27" s="374"/>
      <c r="H27" s="375"/>
      <c r="I27" s="19">
        <f>ROUND((I25/H11),2)</f>
        <v>27.09</v>
      </c>
    </row>
    <row r="28" spans="2:9" ht="5.0999999999999996" customHeight="1" x14ac:dyDescent="0.25">
      <c r="B28" s="110"/>
      <c r="C28" s="110"/>
      <c r="D28" s="110"/>
      <c r="E28" s="110"/>
      <c r="F28" s="110"/>
      <c r="G28" s="110"/>
      <c r="H28" s="110"/>
      <c r="I28" s="110"/>
    </row>
    <row r="29" spans="2:9" ht="14.1" customHeight="1" x14ac:dyDescent="0.25">
      <c r="B29" s="362" t="s">
        <v>8</v>
      </c>
      <c r="C29" s="383" t="s">
        <v>84</v>
      </c>
      <c r="D29" s="362" t="s">
        <v>58</v>
      </c>
      <c r="E29" s="376" t="s">
        <v>80</v>
      </c>
      <c r="F29" s="377"/>
      <c r="G29" s="376" t="s">
        <v>68</v>
      </c>
      <c r="H29" s="377"/>
      <c r="I29" s="362" t="s">
        <v>81</v>
      </c>
    </row>
    <row r="30" spans="2:9" ht="14.1" customHeight="1" x14ac:dyDescent="0.25">
      <c r="B30" s="340"/>
      <c r="C30" s="384"/>
      <c r="D30" s="340"/>
      <c r="E30" s="378"/>
      <c r="F30" s="379"/>
      <c r="G30" s="378"/>
      <c r="H30" s="379"/>
      <c r="I30" s="340"/>
    </row>
    <row r="31" spans="2:9" s="4" customFormat="1" ht="14.1" customHeight="1" x14ac:dyDescent="0.25">
      <c r="B31" s="109">
        <v>93358</v>
      </c>
      <c r="C31" s="105" t="s">
        <v>43</v>
      </c>
      <c r="D31" s="94" t="s">
        <v>16</v>
      </c>
      <c r="E31" s="380">
        <v>82.91</v>
      </c>
      <c r="F31" s="380"/>
      <c r="G31" s="380">
        <v>1.3</v>
      </c>
      <c r="H31" s="380"/>
      <c r="I31" s="64">
        <f>TRUNC((E31*G31),2)</f>
        <v>107.78</v>
      </c>
    </row>
    <row r="32" spans="2:9" s="4" customFormat="1" ht="14.1" customHeight="1" x14ac:dyDescent="0.25">
      <c r="B32" s="63">
        <v>101616</v>
      </c>
      <c r="C32" s="65" t="s">
        <v>370</v>
      </c>
      <c r="D32" s="66" t="s">
        <v>13</v>
      </c>
      <c r="E32" s="382">
        <v>6.08</v>
      </c>
      <c r="F32" s="382"/>
      <c r="G32" s="382">
        <v>8</v>
      </c>
      <c r="H32" s="382"/>
      <c r="I32" s="64">
        <f>TRUNC((E32*G32),2)</f>
        <v>48.64</v>
      </c>
    </row>
    <row r="33" spans="2:9" s="4" customFormat="1" ht="27.95" customHeight="1" x14ac:dyDescent="0.25">
      <c r="B33" s="63">
        <v>101621</v>
      </c>
      <c r="C33" s="65" t="s">
        <v>549</v>
      </c>
      <c r="D33" s="66" t="s">
        <v>16</v>
      </c>
      <c r="E33" s="382">
        <v>244.55</v>
      </c>
      <c r="F33" s="382"/>
      <c r="G33" s="382">
        <v>1.02</v>
      </c>
      <c r="H33" s="382"/>
      <c r="I33" s="64">
        <f t="shared" ref="I33:I42" si="0">TRUNC((E33*G33),2)</f>
        <v>249.44</v>
      </c>
    </row>
    <row r="34" spans="2:9" s="4" customFormat="1" ht="27.95" customHeight="1" x14ac:dyDescent="0.25">
      <c r="B34" s="63">
        <v>94963</v>
      </c>
      <c r="C34" s="65" t="s">
        <v>88</v>
      </c>
      <c r="D34" s="66" t="s">
        <v>16</v>
      </c>
      <c r="E34" s="382">
        <v>429.37</v>
      </c>
      <c r="F34" s="382"/>
      <c r="G34" s="382">
        <v>1.74</v>
      </c>
      <c r="H34" s="382"/>
      <c r="I34" s="64">
        <f t="shared" si="0"/>
        <v>747.1</v>
      </c>
    </row>
    <row r="35" spans="2:9" s="4" customFormat="1" ht="27.95" customHeight="1" x14ac:dyDescent="0.25">
      <c r="B35" s="63">
        <v>96533</v>
      </c>
      <c r="C35" s="65" t="s">
        <v>355</v>
      </c>
      <c r="D35" s="66" t="s">
        <v>13</v>
      </c>
      <c r="E35" s="382">
        <v>83.02</v>
      </c>
      <c r="F35" s="382"/>
      <c r="G35" s="382">
        <v>2.72</v>
      </c>
      <c r="H35" s="382"/>
      <c r="I35" s="64">
        <f t="shared" si="0"/>
        <v>225.81</v>
      </c>
    </row>
    <row r="36" spans="2:9" s="4" customFormat="1" ht="27.95" customHeight="1" x14ac:dyDescent="0.25">
      <c r="B36" s="63">
        <v>92916</v>
      </c>
      <c r="C36" s="65" t="s">
        <v>47</v>
      </c>
      <c r="D36" s="66" t="s">
        <v>37</v>
      </c>
      <c r="E36" s="382">
        <v>15.89</v>
      </c>
      <c r="F36" s="382"/>
      <c r="G36" s="382">
        <v>60</v>
      </c>
      <c r="H36" s="382"/>
      <c r="I36" s="64">
        <f t="shared" si="0"/>
        <v>953.4</v>
      </c>
    </row>
    <row r="37" spans="2:9" s="4" customFormat="1" ht="27.95" customHeight="1" x14ac:dyDescent="0.25">
      <c r="B37" s="63">
        <v>92767</v>
      </c>
      <c r="C37" s="65" t="s">
        <v>541</v>
      </c>
      <c r="D37" s="66" t="s">
        <v>37</v>
      </c>
      <c r="E37" s="382">
        <v>15.97</v>
      </c>
      <c r="F37" s="382"/>
      <c r="G37" s="382">
        <v>7</v>
      </c>
      <c r="H37" s="382"/>
      <c r="I37" s="64">
        <f t="shared" si="0"/>
        <v>111.79</v>
      </c>
    </row>
    <row r="38" spans="2:9" s="4" customFormat="1" ht="27.95" customHeight="1" x14ac:dyDescent="0.25">
      <c r="B38" s="63">
        <v>94964</v>
      </c>
      <c r="C38" s="65" t="s">
        <v>354</v>
      </c>
      <c r="D38" s="66" t="s">
        <v>16</v>
      </c>
      <c r="E38" s="382">
        <v>472.67</v>
      </c>
      <c r="F38" s="382"/>
      <c r="G38" s="382">
        <v>0.64</v>
      </c>
      <c r="H38" s="382"/>
      <c r="I38" s="64">
        <f t="shared" si="0"/>
        <v>302.5</v>
      </c>
    </row>
    <row r="39" spans="2:9" s="4" customFormat="1" ht="14.1" customHeight="1" x14ac:dyDescent="0.25">
      <c r="B39" s="63">
        <v>93382</v>
      </c>
      <c r="C39" s="65" t="s">
        <v>44</v>
      </c>
      <c r="D39" s="66" t="s">
        <v>16</v>
      </c>
      <c r="E39" s="382">
        <v>25.46</v>
      </c>
      <c r="F39" s="382"/>
      <c r="G39" s="382">
        <v>1.1499999999999999</v>
      </c>
      <c r="H39" s="382"/>
      <c r="I39" s="64">
        <f t="shared" si="0"/>
        <v>29.27</v>
      </c>
    </row>
    <row r="40" spans="2:9" s="4" customFormat="1" ht="27.95" customHeight="1" x14ac:dyDescent="0.25">
      <c r="B40" s="63">
        <v>103320</v>
      </c>
      <c r="C40" s="65" t="s">
        <v>521</v>
      </c>
      <c r="D40" s="66" t="s">
        <v>13</v>
      </c>
      <c r="E40" s="382">
        <v>125.01</v>
      </c>
      <c r="F40" s="382"/>
      <c r="G40" s="382">
        <v>12.6</v>
      </c>
      <c r="H40" s="382"/>
      <c r="I40" s="64">
        <f t="shared" si="0"/>
        <v>1575.12</v>
      </c>
    </row>
    <row r="41" spans="2:9" s="4" customFormat="1" ht="42" customHeight="1" x14ac:dyDescent="0.25">
      <c r="B41" s="63">
        <v>87528</v>
      </c>
      <c r="C41" s="65" t="s">
        <v>89</v>
      </c>
      <c r="D41" s="66" t="s">
        <v>16</v>
      </c>
      <c r="E41" s="382">
        <v>41.37</v>
      </c>
      <c r="F41" s="382"/>
      <c r="G41" s="382">
        <v>12.6</v>
      </c>
      <c r="H41" s="382"/>
      <c r="I41" s="64">
        <f t="shared" si="0"/>
        <v>521.26</v>
      </c>
    </row>
    <row r="42" spans="2:9" s="4" customFormat="1" ht="27.95" customHeight="1" x14ac:dyDescent="0.25">
      <c r="B42" s="63">
        <v>87878</v>
      </c>
      <c r="C42" s="65" t="s">
        <v>90</v>
      </c>
      <c r="D42" s="66" t="s">
        <v>13</v>
      </c>
      <c r="E42" s="382">
        <v>4.6900000000000004</v>
      </c>
      <c r="F42" s="382"/>
      <c r="G42" s="382">
        <v>11.4</v>
      </c>
      <c r="H42" s="382"/>
      <c r="I42" s="64">
        <f t="shared" si="0"/>
        <v>53.46</v>
      </c>
    </row>
    <row r="43" spans="2:9" s="4" customFormat="1" ht="14.1" customHeight="1" x14ac:dyDescent="0.25">
      <c r="B43" s="72"/>
      <c r="C43" s="73"/>
      <c r="D43" s="99"/>
      <c r="E43" s="381"/>
      <c r="F43" s="381"/>
      <c r="G43" s="381"/>
      <c r="H43" s="381"/>
      <c r="I43" s="74"/>
    </row>
    <row r="44" spans="2:9" s="4" customFormat="1" ht="15" customHeight="1" x14ac:dyDescent="0.25">
      <c r="B44" s="373" t="s">
        <v>77</v>
      </c>
      <c r="C44" s="374"/>
      <c r="D44" s="374"/>
      <c r="E44" s="374"/>
      <c r="F44" s="374"/>
      <c r="G44" s="374"/>
      <c r="H44" s="375"/>
      <c r="I44" s="19">
        <f>SUM(I31:I43)</f>
        <v>4925.5700000000006</v>
      </c>
    </row>
    <row r="45" spans="2:9" ht="5.0999999999999996" customHeight="1" x14ac:dyDescent="0.25">
      <c r="B45" s="110"/>
      <c r="C45" s="110"/>
      <c r="D45" s="110"/>
      <c r="E45" s="110"/>
      <c r="F45" s="110"/>
      <c r="G45" s="110"/>
      <c r="H45" s="110"/>
      <c r="I45" s="110"/>
    </row>
    <row r="46" spans="2:9" ht="14.1" customHeight="1" x14ac:dyDescent="0.25">
      <c r="B46" s="341" t="s">
        <v>8</v>
      </c>
      <c r="C46" s="332" t="s">
        <v>79</v>
      </c>
      <c r="D46" s="341" t="s">
        <v>2</v>
      </c>
      <c r="E46" s="376" t="s">
        <v>80</v>
      </c>
      <c r="F46" s="377"/>
      <c r="G46" s="376" t="s">
        <v>68</v>
      </c>
      <c r="H46" s="377"/>
      <c r="I46" s="341" t="s">
        <v>81</v>
      </c>
    </row>
    <row r="47" spans="2:9" ht="14.1" customHeight="1" x14ac:dyDescent="0.25">
      <c r="B47" s="341"/>
      <c r="C47" s="332"/>
      <c r="D47" s="341"/>
      <c r="E47" s="378"/>
      <c r="F47" s="379"/>
      <c r="G47" s="378"/>
      <c r="H47" s="379"/>
      <c r="I47" s="341"/>
    </row>
    <row r="48" spans="2:9" s="4" customFormat="1" ht="14.1" customHeight="1" x14ac:dyDescent="0.25">
      <c r="B48" s="109"/>
      <c r="C48" s="105"/>
      <c r="D48" s="94"/>
      <c r="E48" s="380"/>
      <c r="F48" s="380"/>
      <c r="G48" s="380"/>
      <c r="H48" s="380"/>
      <c r="I48" s="95"/>
    </row>
    <row r="49" spans="2:9" s="4" customFormat="1" ht="14.1" customHeight="1" x14ac:dyDescent="0.25">
      <c r="B49" s="72"/>
      <c r="C49" s="73"/>
      <c r="D49" s="99"/>
      <c r="E49" s="381"/>
      <c r="F49" s="381"/>
      <c r="G49" s="381"/>
      <c r="H49" s="381"/>
      <c r="I49" s="74"/>
    </row>
    <row r="50" spans="2:9" s="4" customFormat="1" ht="15" customHeight="1" x14ac:dyDescent="0.25">
      <c r="B50" s="373" t="s">
        <v>78</v>
      </c>
      <c r="C50" s="374"/>
      <c r="D50" s="374"/>
      <c r="E50" s="374"/>
      <c r="F50" s="374"/>
      <c r="G50" s="374"/>
      <c r="H50" s="375"/>
      <c r="I50" s="19">
        <f>SUM(I48:I49)</f>
        <v>0</v>
      </c>
    </row>
    <row r="51" spans="2:9" ht="5.0999999999999996" customHeight="1" x14ac:dyDescent="0.25">
      <c r="B51" s="110"/>
      <c r="C51" s="110"/>
      <c r="D51" s="110"/>
      <c r="E51" s="110"/>
      <c r="F51" s="110"/>
      <c r="G51" s="110"/>
      <c r="H51" s="110"/>
      <c r="I51" s="110"/>
    </row>
    <row r="52" spans="2:9" s="4" customFormat="1" ht="15" customHeight="1" x14ac:dyDescent="0.25">
      <c r="B52" s="373" t="s">
        <v>82</v>
      </c>
      <c r="C52" s="374"/>
      <c r="D52" s="374"/>
      <c r="E52" s="374"/>
      <c r="F52" s="374"/>
      <c r="G52" s="374"/>
      <c r="H52" s="375"/>
      <c r="I52" s="19">
        <f>I27+I44+I50</f>
        <v>4952.6600000000008</v>
      </c>
    </row>
  </sheetData>
  <mergeCells count="73">
    <mergeCell ref="B52:H52"/>
    <mergeCell ref="I46:I47"/>
    <mergeCell ref="E48:F48"/>
    <mergeCell ref="G48:H48"/>
    <mergeCell ref="E49:F49"/>
    <mergeCell ref="G49:H49"/>
    <mergeCell ref="B50:H50"/>
    <mergeCell ref="E43:F43"/>
    <mergeCell ref="G43:H43"/>
    <mergeCell ref="B44:H44"/>
    <mergeCell ref="B46:B47"/>
    <mergeCell ref="C46:C47"/>
    <mergeCell ref="D46:D47"/>
    <mergeCell ref="E46:F47"/>
    <mergeCell ref="G46:H47"/>
    <mergeCell ref="E40:F40"/>
    <mergeCell ref="G40:H40"/>
    <mergeCell ref="E41:F41"/>
    <mergeCell ref="G41:H41"/>
    <mergeCell ref="E42:F42"/>
    <mergeCell ref="G42:H42"/>
    <mergeCell ref="E37:F37"/>
    <mergeCell ref="G37:H37"/>
    <mergeCell ref="E38:F38"/>
    <mergeCell ref="G38:H38"/>
    <mergeCell ref="E39:F39"/>
    <mergeCell ref="G39:H39"/>
    <mergeCell ref="E34:F34"/>
    <mergeCell ref="G34:H34"/>
    <mergeCell ref="E35:F35"/>
    <mergeCell ref="G35:H35"/>
    <mergeCell ref="E36:F36"/>
    <mergeCell ref="G36:H36"/>
    <mergeCell ref="I29:I30"/>
    <mergeCell ref="E31:F31"/>
    <mergeCell ref="G31:H31"/>
    <mergeCell ref="E32:F32"/>
    <mergeCell ref="G32:H32"/>
    <mergeCell ref="E33:F33"/>
    <mergeCell ref="G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1:O49"/>
  <sheetViews>
    <sheetView showGridLines="0" view="pageBreakPreview" topLeftCell="A28"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27.95" customHeight="1" x14ac:dyDescent="0.25">
      <c r="B11" s="85" t="s">
        <v>595</v>
      </c>
      <c r="C11" s="370" t="s">
        <v>92</v>
      </c>
      <c r="D11" s="371"/>
      <c r="E11" s="371"/>
      <c r="F11" s="372"/>
      <c r="G11" s="78" t="s">
        <v>15</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39" customHeight="1" x14ac:dyDescent="0.25">
      <c r="B15" s="109">
        <v>5928</v>
      </c>
      <c r="C15" s="105" t="s">
        <v>86</v>
      </c>
      <c r="D15" s="95">
        <v>270.89999999999998</v>
      </c>
      <c r="E15" s="95">
        <v>0</v>
      </c>
      <c r="F15" s="95">
        <v>1</v>
      </c>
      <c r="G15" s="95">
        <v>0.1</v>
      </c>
      <c r="H15" s="95">
        <v>0</v>
      </c>
      <c r="I15" s="95">
        <f>TRUNC((D15*F15*G15),2)+TRUNC((E15*F15*H15),2)</f>
        <v>27.09</v>
      </c>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27.09</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11" customFormat="1" ht="14.1" customHeight="1" x14ac:dyDescent="0.25">
      <c r="B21" s="109"/>
      <c r="C21" s="105"/>
      <c r="D21" s="94"/>
      <c r="E21" s="380"/>
      <c r="F21" s="380"/>
      <c r="G21" s="385"/>
      <c r="H21" s="385"/>
      <c r="I21" s="95"/>
    </row>
    <row r="22" spans="2:9" s="4" customFormat="1" ht="14.1" customHeight="1" x14ac:dyDescent="0.25">
      <c r="B22" s="72"/>
      <c r="C22" s="73"/>
      <c r="D22" s="99"/>
      <c r="E22" s="381"/>
      <c r="F22" s="381"/>
      <c r="G22" s="381"/>
      <c r="H22" s="381"/>
      <c r="I22" s="74"/>
    </row>
    <row r="23" spans="2:9" s="4" customFormat="1" ht="15" customHeight="1" x14ac:dyDescent="0.25">
      <c r="B23" s="373" t="s">
        <v>74</v>
      </c>
      <c r="C23" s="374"/>
      <c r="D23" s="374"/>
      <c r="E23" s="374"/>
      <c r="F23" s="374"/>
      <c r="G23" s="374"/>
      <c r="H23" s="375"/>
      <c r="I23" s="19">
        <f>SUM(I21:I22)</f>
        <v>0</v>
      </c>
    </row>
    <row r="24" spans="2:9" s="4" customFormat="1" ht="5.0999999999999996" customHeight="1" x14ac:dyDescent="0.25">
      <c r="B24" s="12"/>
      <c r="C24" s="11"/>
      <c r="D24" s="11"/>
      <c r="E24" s="11"/>
      <c r="F24" s="11"/>
      <c r="G24" s="11"/>
      <c r="H24" s="11"/>
      <c r="I24" s="11"/>
    </row>
    <row r="25" spans="2:9" s="4" customFormat="1" ht="15" customHeight="1" x14ac:dyDescent="0.25">
      <c r="B25" s="373" t="s">
        <v>75</v>
      </c>
      <c r="C25" s="374"/>
      <c r="D25" s="374"/>
      <c r="E25" s="374"/>
      <c r="F25" s="374"/>
      <c r="G25" s="374"/>
      <c r="H25" s="375"/>
      <c r="I25" s="19">
        <f>I17+I23</f>
        <v>27.09</v>
      </c>
    </row>
    <row r="26" spans="2:9" ht="5.0999999999999996" customHeight="1" x14ac:dyDescent="0.25">
      <c r="B26" s="110"/>
      <c r="C26" s="110"/>
      <c r="D26" s="110"/>
      <c r="E26" s="110"/>
      <c r="F26" s="110"/>
      <c r="G26" s="110"/>
      <c r="H26" s="110"/>
      <c r="I26" s="110"/>
    </row>
    <row r="27" spans="2:9" s="4" customFormat="1" ht="15" customHeight="1" x14ac:dyDescent="0.25">
      <c r="B27" s="373" t="s">
        <v>76</v>
      </c>
      <c r="C27" s="374"/>
      <c r="D27" s="374"/>
      <c r="E27" s="374"/>
      <c r="F27" s="374"/>
      <c r="G27" s="374"/>
      <c r="H27" s="375"/>
      <c r="I27" s="19">
        <f>ROUND((I25/H11),2)</f>
        <v>27.09</v>
      </c>
    </row>
    <row r="28" spans="2:9" ht="5.0999999999999996" customHeight="1" x14ac:dyDescent="0.25">
      <c r="B28" s="110"/>
      <c r="C28" s="110"/>
      <c r="D28" s="110"/>
      <c r="E28" s="110"/>
      <c r="F28" s="110"/>
      <c r="G28" s="110"/>
      <c r="H28" s="110"/>
      <c r="I28" s="110"/>
    </row>
    <row r="29" spans="2:9" ht="13.5" customHeight="1" x14ac:dyDescent="0.25">
      <c r="B29" s="362" t="s">
        <v>8</v>
      </c>
      <c r="C29" s="383" t="s">
        <v>84</v>
      </c>
      <c r="D29" s="362" t="s">
        <v>58</v>
      </c>
      <c r="E29" s="376" t="s">
        <v>80</v>
      </c>
      <c r="F29" s="377"/>
      <c r="G29" s="376" t="s">
        <v>68</v>
      </c>
      <c r="H29" s="377"/>
      <c r="I29" s="362" t="s">
        <v>81</v>
      </c>
    </row>
    <row r="30" spans="2:9" ht="14.1" customHeight="1" x14ac:dyDescent="0.25">
      <c r="B30" s="340"/>
      <c r="C30" s="384"/>
      <c r="D30" s="340"/>
      <c r="E30" s="378"/>
      <c r="F30" s="379"/>
      <c r="G30" s="378"/>
      <c r="H30" s="379"/>
      <c r="I30" s="340"/>
    </row>
    <row r="31" spans="2:9" s="4" customFormat="1" ht="14.1" customHeight="1" x14ac:dyDescent="0.25">
      <c r="B31" s="260">
        <v>93358</v>
      </c>
      <c r="C31" s="105" t="s">
        <v>43</v>
      </c>
      <c r="D31" s="94" t="s">
        <v>16</v>
      </c>
      <c r="E31" s="380">
        <v>82.91</v>
      </c>
      <c r="F31" s="380"/>
      <c r="G31" s="380">
        <v>0.95</v>
      </c>
      <c r="H31" s="380"/>
      <c r="I31" s="64">
        <f>TRUNC((E31*G31),2)</f>
        <v>78.760000000000005</v>
      </c>
    </row>
    <row r="32" spans="2:9" s="4" customFormat="1" ht="14.1" customHeight="1" x14ac:dyDescent="0.25">
      <c r="B32" s="261">
        <v>101616</v>
      </c>
      <c r="C32" s="65" t="s">
        <v>370</v>
      </c>
      <c r="D32" s="66" t="s">
        <v>13</v>
      </c>
      <c r="E32" s="382">
        <v>6.08</v>
      </c>
      <c r="F32" s="382"/>
      <c r="G32" s="382">
        <v>2.06</v>
      </c>
      <c r="H32" s="382"/>
      <c r="I32" s="64">
        <f>TRUNC((E32*G32),2)</f>
        <v>12.52</v>
      </c>
    </row>
    <row r="33" spans="2:9" s="4" customFormat="1" ht="27.95" customHeight="1" x14ac:dyDescent="0.25">
      <c r="B33" s="261">
        <v>96533</v>
      </c>
      <c r="C33" s="65" t="s">
        <v>355</v>
      </c>
      <c r="D33" s="66" t="s">
        <v>13</v>
      </c>
      <c r="E33" s="382">
        <v>83.02</v>
      </c>
      <c r="F33" s="382"/>
      <c r="G33" s="382">
        <f>3.04+0.58</f>
        <v>3.62</v>
      </c>
      <c r="H33" s="382"/>
      <c r="I33" s="64">
        <f t="shared" ref="I33:I39" si="0">TRUNC((E33*G33),2)</f>
        <v>300.52999999999997</v>
      </c>
    </row>
    <row r="34" spans="2:9" s="4" customFormat="1" ht="27.95" customHeight="1" x14ac:dyDescent="0.25">
      <c r="B34" s="261">
        <v>92917</v>
      </c>
      <c r="C34" s="65" t="s">
        <v>91</v>
      </c>
      <c r="D34" s="66" t="s">
        <v>37</v>
      </c>
      <c r="E34" s="382">
        <v>14.63</v>
      </c>
      <c r="F34" s="382"/>
      <c r="G34" s="382">
        <v>4.5</v>
      </c>
      <c r="H34" s="382"/>
      <c r="I34" s="64">
        <f t="shared" si="0"/>
        <v>65.83</v>
      </c>
    </row>
    <row r="35" spans="2:9" s="4" customFormat="1" ht="27.95" customHeight="1" x14ac:dyDescent="0.25">
      <c r="B35" s="261">
        <v>92915</v>
      </c>
      <c r="C35" s="65" t="s">
        <v>87</v>
      </c>
      <c r="D35" s="66" t="s">
        <v>37</v>
      </c>
      <c r="E35" s="382">
        <v>17.18</v>
      </c>
      <c r="F35" s="382"/>
      <c r="G35" s="382">
        <v>0.92</v>
      </c>
      <c r="H35" s="382"/>
      <c r="I35" s="64">
        <f t="shared" si="0"/>
        <v>15.8</v>
      </c>
    </row>
    <row r="36" spans="2:9" s="4" customFormat="1" ht="27.95" customHeight="1" x14ac:dyDescent="0.25">
      <c r="B36" s="261">
        <v>94964</v>
      </c>
      <c r="C36" s="65" t="s">
        <v>354</v>
      </c>
      <c r="D36" s="66" t="s">
        <v>16</v>
      </c>
      <c r="E36" s="382">
        <v>472.67</v>
      </c>
      <c r="F36" s="382"/>
      <c r="G36" s="386">
        <f>0.702+0.027</f>
        <v>0.72899999999999998</v>
      </c>
      <c r="H36" s="386"/>
      <c r="I36" s="64">
        <f t="shared" si="0"/>
        <v>344.57</v>
      </c>
    </row>
    <row r="37" spans="2:9" s="4" customFormat="1" ht="27.95" customHeight="1" x14ac:dyDescent="0.25">
      <c r="B37" s="261">
        <v>103670</v>
      </c>
      <c r="C37" s="65" t="s">
        <v>356</v>
      </c>
      <c r="D37" s="66" t="s">
        <v>16</v>
      </c>
      <c r="E37" s="382">
        <v>284.02999999999997</v>
      </c>
      <c r="F37" s="382"/>
      <c r="G37" s="386">
        <f>G36</f>
        <v>0.72899999999999998</v>
      </c>
      <c r="H37" s="386"/>
      <c r="I37" s="64">
        <f t="shared" si="0"/>
        <v>207.05</v>
      </c>
    </row>
    <row r="38" spans="2:9" s="4" customFormat="1" ht="27.95" customHeight="1" x14ac:dyDescent="0.25">
      <c r="B38" s="262" t="str">
        <f>'PR-01 - Comp. Recorte'!$B$11</f>
        <v>PR-01</v>
      </c>
      <c r="C38" s="65" t="str">
        <f>'PR-01 - Comp. Recorte'!$C$11</f>
        <v>Recorte mecânico de pavimento asfáltico ou piso de concreto, com serra de disco diamantado para piso / asfalto</v>
      </c>
      <c r="D38" s="66" t="str">
        <f>'PR-01 - Comp. Recorte'!$G$11</f>
        <v>m</v>
      </c>
      <c r="E38" s="382">
        <f>'PR-01 - Comp. Recorte'!$I$41</f>
        <v>8.77</v>
      </c>
      <c r="F38" s="382"/>
      <c r="G38" s="382">
        <v>3.31</v>
      </c>
      <c r="H38" s="382"/>
      <c r="I38" s="64">
        <f t="shared" si="0"/>
        <v>29.02</v>
      </c>
    </row>
    <row r="39" spans="2:9" s="4" customFormat="1" ht="27.95" customHeight="1" x14ac:dyDescent="0.25">
      <c r="B39" s="261">
        <v>103003</v>
      </c>
      <c r="C39" s="65" t="s">
        <v>448</v>
      </c>
      <c r="D39" s="70" t="s">
        <v>15</v>
      </c>
      <c r="E39" s="382">
        <v>409.37</v>
      </c>
      <c r="F39" s="382"/>
      <c r="G39" s="382">
        <v>1</v>
      </c>
      <c r="H39" s="382"/>
      <c r="I39" s="64">
        <f t="shared" si="0"/>
        <v>409.37</v>
      </c>
    </row>
    <row r="40" spans="2:9" s="4" customFormat="1" ht="14.1" customHeight="1" x14ac:dyDescent="0.25">
      <c r="B40" s="72"/>
      <c r="C40" s="259"/>
      <c r="D40" s="99"/>
      <c r="E40" s="381"/>
      <c r="F40" s="381"/>
      <c r="G40" s="381"/>
      <c r="H40" s="381"/>
      <c r="I40" s="74"/>
    </row>
    <row r="41" spans="2:9" s="4" customFormat="1" ht="15" customHeight="1" x14ac:dyDescent="0.25">
      <c r="B41" s="373" t="s">
        <v>77</v>
      </c>
      <c r="C41" s="374"/>
      <c r="D41" s="374"/>
      <c r="E41" s="374"/>
      <c r="F41" s="374"/>
      <c r="G41" s="374"/>
      <c r="H41" s="375"/>
      <c r="I41" s="19">
        <f>SUM(I31:I40)</f>
        <v>1463.4499999999998</v>
      </c>
    </row>
    <row r="42" spans="2:9" ht="5.0999999999999996" customHeight="1" x14ac:dyDescent="0.25">
      <c r="B42" s="110"/>
      <c r="C42" s="110"/>
      <c r="D42" s="110"/>
      <c r="E42" s="110"/>
      <c r="F42" s="110"/>
      <c r="G42" s="110"/>
      <c r="H42" s="110"/>
      <c r="I42" s="110"/>
    </row>
    <row r="43" spans="2:9" ht="14.1" customHeight="1" x14ac:dyDescent="0.25">
      <c r="B43" s="341" t="s">
        <v>8</v>
      </c>
      <c r="C43" s="332" t="s">
        <v>79</v>
      </c>
      <c r="D43" s="341" t="s">
        <v>2</v>
      </c>
      <c r="E43" s="376" t="s">
        <v>80</v>
      </c>
      <c r="F43" s="377"/>
      <c r="G43" s="376" t="s">
        <v>68</v>
      </c>
      <c r="H43" s="377"/>
      <c r="I43" s="341" t="s">
        <v>81</v>
      </c>
    </row>
    <row r="44" spans="2:9" ht="14.1" customHeight="1" x14ac:dyDescent="0.25">
      <c r="B44" s="341"/>
      <c r="C44" s="332"/>
      <c r="D44" s="341"/>
      <c r="E44" s="378"/>
      <c r="F44" s="379"/>
      <c r="G44" s="378"/>
      <c r="H44" s="379"/>
      <c r="I44" s="341"/>
    </row>
    <row r="45" spans="2:9" s="4" customFormat="1" ht="14.1" customHeight="1" x14ac:dyDescent="0.25">
      <c r="B45" s="109"/>
      <c r="C45" s="105"/>
      <c r="D45" s="94"/>
      <c r="E45" s="380"/>
      <c r="F45" s="380"/>
      <c r="G45" s="380"/>
      <c r="H45" s="380"/>
      <c r="I45" s="95"/>
    </row>
    <row r="46" spans="2:9" s="4" customFormat="1" ht="14.1" customHeight="1" x14ac:dyDescent="0.25">
      <c r="B46" s="72"/>
      <c r="C46" s="73"/>
      <c r="D46" s="99"/>
      <c r="E46" s="381"/>
      <c r="F46" s="381"/>
      <c r="G46" s="381"/>
      <c r="H46" s="381"/>
      <c r="I46" s="74"/>
    </row>
    <row r="47" spans="2:9" s="4" customFormat="1" ht="15" customHeight="1" x14ac:dyDescent="0.25">
      <c r="B47" s="373" t="s">
        <v>78</v>
      </c>
      <c r="C47" s="374"/>
      <c r="D47" s="374"/>
      <c r="E47" s="374"/>
      <c r="F47" s="374"/>
      <c r="G47" s="374"/>
      <c r="H47" s="375"/>
      <c r="I47" s="19">
        <f>SUM(I45:I46)</f>
        <v>0</v>
      </c>
    </row>
    <row r="48" spans="2:9" ht="5.0999999999999996" customHeight="1" x14ac:dyDescent="0.25">
      <c r="B48" s="110"/>
      <c r="C48" s="110"/>
      <c r="D48" s="110"/>
      <c r="E48" s="110"/>
      <c r="F48" s="110"/>
      <c r="G48" s="110"/>
      <c r="H48" s="110"/>
      <c r="I48" s="110"/>
    </row>
    <row r="49" spans="2:9" s="4" customFormat="1" ht="15" customHeight="1" x14ac:dyDescent="0.25">
      <c r="B49" s="373" t="s">
        <v>82</v>
      </c>
      <c r="C49" s="374"/>
      <c r="D49" s="374"/>
      <c r="E49" s="374"/>
      <c r="F49" s="374"/>
      <c r="G49" s="374"/>
      <c r="H49" s="375"/>
      <c r="I49" s="19">
        <f>I27+I41+I47</f>
        <v>1490.5399999999997</v>
      </c>
    </row>
  </sheetData>
  <mergeCells count="67">
    <mergeCell ref="B49:H49"/>
    <mergeCell ref="I43:I44"/>
    <mergeCell ref="E45:F45"/>
    <mergeCell ref="G45:H45"/>
    <mergeCell ref="E46:F46"/>
    <mergeCell ref="G46:H46"/>
    <mergeCell ref="B47:H47"/>
    <mergeCell ref="E40:F40"/>
    <mergeCell ref="G40:H40"/>
    <mergeCell ref="B41:H41"/>
    <mergeCell ref="B43:B44"/>
    <mergeCell ref="C43:C44"/>
    <mergeCell ref="D43:D44"/>
    <mergeCell ref="E43:F44"/>
    <mergeCell ref="G43:H44"/>
    <mergeCell ref="E37:F37"/>
    <mergeCell ref="G37:H37"/>
    <mergeCell ref="E38:F38"/>
    <mergeCell ref="G38:H38"/>
    <mergeCell ref="E39:F39"/>
    <mergeCell ref="G39:H39"/>
    <mergeCell ref="E34:F34"/>
    <mergeCell ref="G34:H34"/>
    <mergeCell ref="E35:F35"/>
    <mergeCell ref="G35:H35"/>
    <mergeCell ref="E36:F36"/>
    <mergeCell ref="G36:H36"/>
    <mergeCell ref="I29:I30"/>
    <mergeCell ref="E31:F31"/>
    <mergeCell ref="G31:H31"/>
    <mergeCell ref="E32:F32"/>
    <mergeCell ref="G32:H32"/>
    <mergeCell ref="E33:F33"/>
    <mergeCell ref="G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1:O43"/>
  <sheetViews>
    <sheetView showGridLines="0" view="pageBreakPreview" topLeftCell="A7"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14.1" customHeight="1" x14ac:dyDescent="0.25">
      <c r="B11" s="85" t="s">
        <v>596</v>
      </c>
      <c r="C11" s="370" t="s">
        <v>517</v>
      </c>
      <c r="D11" s="371"/>
      <c r="E11" s="371"/>
      <c r="F11" s="372"/>
      <c r="G11" s="78" t="s">
        <v>13</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26.1" customHeight="1" x14ac:dyDescent="0.25">
      <c r="B15" s="109">
        <v>5839</v>
      </c>
      <c r="C15" s="105" t="s">
        <v>442</v>
      </c>
      <c r="D15" s="95">
        <v>9.31</v>
      </c>
      <c r="E15" s="95">
        <v>0</v>
      </c>
      <c r="F15" s="95">
        <v>1</v>
      </c>
      <c r="G15" s="16">
        <v>1.6999999999999999E-3</v>
      </c>
      <c r="H15" s="112">
        <v>0</v>
      </c>
      <c r="I15" s="95">
        <f>TRUNC((D15*F15*G15),2)+TRUNC((E15*F15*H15),2)</f>
        <v>0.01</v>
      </c>
    </row>
    <row r="16" spans="2:15" s="4" customFormat="1" ht="39" customHeight="1" x14ac:dyDescent="0.25">
      <c r="B16" s="63" t="s">
        <v>440</v>
      </c>
      <c r="C16" s="65" t="s">
        <v>443</v>
      </c>
      <c r="D16" s="64">
        <v>269.91000000000003</v>
      </c>
      <c r="E16" s="64">
        <v>64.849999999999994</v>
      </c>
      <c r="F16" s="64">
        <v>1</v>
      </c>
      <c r="G16" s="123">
        <v>1E-3</v>
      </c>
      <c r="H16" s="123">
        <v>1E-3</v>
      </c>
      <c r="I16" s="64">
        <f>TRUNC((D16*F16*G16),2)+TRUNC((E16*F16*H16),2)</f>
        <v>0.32</v>
      </c>
    </row>
    <row r="17" spans="2:9" s="4" customFormat="1" ht="12.95" customHeight="1" x14ac:dyDescent="0.25">
      <c r="B17" s="63" t="s">
        <v>441</v>
      </c>
      <c r="C17" s="65" t="s">
        <v>444</v>
      </c>
      <c r="D17" s="64">
        <v>130.62</v>
      </c>
      <c r="E17" s="64">
        <v>47.6</v>
      </c>
      <c r="F17" s="64">
        <v>1</v>
      </c>
      <c r="G17" s="130">
        <v>1.6999999999999999E-3</v>
      </c>
      <c r="H17" s="130">
        <v>1.4E-3</v>
      </c>
      <c r="I17" s="64">
        <f>TRUNC((D17*F17*G17),2)+TRUNC((E17*F17*H17),2)</f>
        <v>0.28000000000000003</v>
      </c>
    </row>
    <row r="18" spans="2:9" s="4" customFormat="1" ht="14.1" customHeight="1" x14ac:dyDescent="0.25">
      <c r="B18" s="72"/>
      <c r="C18" s="73"/>
      <c r="D18" s="74"/>
      <c r="E18" s="74"/>
      <c r="F18" s="74"/>
      <c r="G18" s="74"/>
      <c r="H18" s="74"/>
      <c r="I18" s="74"/>
    </row>
    <row r="19" spans="2:9" s="4" customFormat="1" ht="15" customHeight="1" x14ac:dyDescent="0.25">
      <c r="B19" s="373" t="s">
        <v>66</v>
      </c>
      <c r="C19" s="374"/>
      <c r="D19" s="374"/>
      <c r="E19" s="374"/>
      <c r="F19" s="374"/>
      <c r="G19" s="374"/>
      <c r="H19" s="375"/>
      <c r="I19" s="19">
        <f>SUM(I15:I18)</f>
        <v>0.6100000000000001</v>
      </c>
    </row>
    <row r="20" spans="2:9" s="4" customFormat="1" ht="5.0999999999999996" customHeight="1" x14ac:dyDescent="0.25">
      <c r="B20" s="11"/>
      <c r="C20" s="11"/>
      <c r="D20" s="11"/>
      <c r="E20" s="11"/>
      <c r="F20" s="11"/>
      <c r="G20" s="11"/>
      <c r="H20" s="11"/>
      <c r="I20" s="11"/>
    </row>
    <row r="21" spans="2:9" ht="14.1" customHeight="1" x14ac:dyDescent="0.25">
      <c r="B21" s="341" t="s">
        <v>8</v>
      </c>
      <c r="C21" s="332" t="s">
        <v>67</v>
      </c>
      <c r="D21" s="341" t="s">
        <v>58</v>
      </c>
      <c r="E21" s="376" t="s">
        <v>69</v>
      </c>
      <c r="F21" s="377"/>
      <c r="G21" s="376" t="s">
        <v>68</v>
      </c>
      <c r="H21" s="377"/>
      <c r="I21" s="341" t="s">
        <v>60</v>
      </c>
    </row>
    <row r="22" spans="2:9" ht="14.1" customHeight="1" x14ac:dyDescent="0.25">
      <c r="B22" s="341"/>
      <c r="C22" s="332"/>
      <c r="D22" s="341"/>
      <c r="E22" s="378"/>
      <c r="F22" s="379"/>
      <c r="G22" s="378"/>
      <c r="H22" s="379"/>
      <c r="I22" s="341"/>
    </row>
    <row r="23" spans="2:9" s="11" customFormat="1" ht="14.1" customHeight="1" x14ac:dyDescent="0.25">
      <c r="B23" s="109">
        <v>88316</v>
      </c>
      <c r="C23" s="105" t="s">
        <v>72</v>
      </c>
      <c r="D23" s="94" t="s">
        <v>70</v>
      </c>
      <c r="E23" s="380">
        <v>20.96</v>
      </c>
      <c r="F23" s="380"/>
      <c r="G23" s="388">
        <v>2E-3</v>
      </c>
      <c r="H23" s="388"/>
      <c r="I23" s="95">
        <f>TRUNC((E23*G23),2)</f>
        <v>0.04</v>
      </c>
    </row>
    <row r="24" spans="2:9" s="4" customFormat="1" ht="14.1" customHeight="1" x14ac:dyDescent="0.25">
      <c r="B24" s="72"/>
      <c r="C24" s="73"/>
      <c r="D24" s="99"/>
      <c r="E24" s="381"/>
      <c r="F24" s="381"/>
      <c r="G24" s="381"/>
      <c r="H24" s="381"/>
      <c r="I24" s="74"/>
    </row>
    <row r="25" spans="2:9" s="4" customFormat="1" ht="15" customHeight="1" x14ac:dyDescent="0.25">
      <c r="B25" s="373" t="s">
        <v>74</v>
      </c>
      <c r="C25" s="374"/>
      <c r="D25" s="374"/>
      <c r="E25" s="374"/>
      <c r="F25" s="374"/>
      <c r="G25" s="374"/>
      <c r="H25" s="375"/>
      <c r="I25" s="19">
        <f>SUM(I23:I24)</f>
        <v>0.04</v>
      </c>
    </row>
    <row r="26" spans="2:9" s="4" customFormat="1" ht="5.0999999999999996" customHeight="1" x14ac:dyDescent="0.25">
      <c r="B26" s="12"/>
      <c r="C26" s="11"/>
      <c r="D26" s="11"/>
      <c r="E26" s="11"/>
      <c r="F26" s="11"/>
      <c r="G26" s="11"/>
      <c r="H26" s="11"/>
      <c r="I26" s="11"/>
    </row>
    <row r="27" spans="2:9" s="4" customFormat="1" ht="15" customHeight="1" x14ac:dyDescent="0.25">
      <c r="B27" s="373" t="s">
        <v>75</v>
      </c>
      <c r="C27" s="374"/>
      <c r="D27" s="374"/>
      <c r="E27" s="374"/>
      <c r="F27" s="374"/>
      <c r="G27" s="374"/>
      <c r="H27" s="375"/>
      <c r="I27" s="19">
        <f>I19+I25</f>
        <v>0.65000000000000013</v>
      </c>
    </row>
    <row r="28" spans="2:9" ht="5.0999999999999996" customHeight="1" x14ac:dyDescent="0.25">
      <c r="B28" s="110"/>
      <c r="C28" s="110"/>
      <c r="D28" s="110"/>
      <c r="E28" s="110"/>
      <c r="F28" s="110"/>
      <c r="G28" s="110"/>
      <c r="H28" s="110"/>
      <c r="I28" s="110"/>
    </row>
    <row r="29" spans="2:9" s="4" customFormat="1" ht="15" customHeight="1" x14ac:dyDescent="0.25">
      <c r="B29" s="373" t="s">
        <v>76</v>
      </c>
      <c r="C29" s="374"/>
      <c r="D29" s="374"/>
      <c r="E29" s="374"/>
      <c r="F29" s="374"/>
      <c r="G29" s="374"/>
      <c r="H29" s="375"/>
      <c r="I29" s="19">
        <f>ROUND((I27/H11),2)</f>
        <v>0.65</v>
      </c>
    </row>
    <row r="30" spans="2:9" ht="5.0999999999999996" customHeight="1" x14ac:dyDescent="0.25">
      <c r="B30" s="110"/>
      <c r="C30" s="110"/>
      <c r="D30" s="110"/>
      <c r="E30" s="110"/>
      <c r="F30" s="110"/>
      <c r="G30" s="110"/>
      <c r="H30" s="110"/>
      <c r="I30" s="110"/>
    </row>
    <row r="31" spans="2:9" ht="14.1" customHeight="1" x14ac:dyDescent="0.25">
      <c r="B31" s="362" t="s">
        <v>8</v>
      </c>
      <c r="C31" s="383" t="s">
        <v>84</v>
      </c>
      <c r="D31" s="362" t="s">
        <v>58</v>
      </c>
      <c r="E31" s="376" t="s">
        <v>80</v>
      </c>
      <c r="F31" s="377"/>
      <c r="G31" s="376" t="s">
        <v>68</v>
      </c>
      <c r="H31" s="377"/>
      <c r="I31" s="362" t="s">
        <v>81</v>
      </c>
    </row>
    <row r="32" spans="2:9" ht="14.1" customHeight="1" x14ac:dyDescent="0.25">
      <c r="B32" s="340"/>
      <c r="C32" s="384"/>
      <c r="D32" s="340"/>
      <c r="E32" s="378"/>
      <c r="F32" s="379"/>
      <c r="G32" s="378"/>
      <c r="H32" s="379"/>
      <c r="I32" s="340"/>
    </row>
    <row r="33" spans="2:9" s="209" customFormat="1" ht="14.1" customHeight="1" x14ac:dyDescent="0.25">
      <c r="B33" s="205"/>
      <c r="C33" s="206"/>
      <c r="D33" s="207"/>
      <c r="E33" s="387"/>
      <c r="F33" s="387"/>
      <c r="G33" s="387"/>
      <c r="H33" s="387"/>
      <c r="I33" s="208"/>
    </row>
    <row r="34" spans="2:9" s="4" customFormat="1" ht="14.1" customHeight="1" x14ac:dyDescent="0.25">
      <c r="B34" s="72"/>
      <c r="C34" s="73"/>
      <c r="D34" s="99"/>
      <c r="E34" s="381"/>
      <c r="F34" s="381"/>
      <c r="G34" s="381"/>
      <c r="H34" s="381"/>
      <c r="I34" s="74"/>
    </row>
    <row r="35" spans="2:9" s="4" customFormat="1" ht="15" customHeight="1" x14ac:dyDescent="0.25">
      <c r="B35" s="373" t="s">
        <v>77</v>
      </c>
      <c r="C35" s="374"/>
      <c r="D35" s="374"/>
      <c r="E35" s="374"/>
      <c r="F35" s="374"/>
      <c r="G35" s="374"/>
      <c r="H35" s="375"/>
      <c r="I35" s="19">
        <f>SUM(I33:I34)</f>
        <v>0</v>
      </c>
    </row>
    <row r="36" spans="2:9" ht="5.0999999999999996" customHeight="1" x14ac:dyDescent="0.25">
      <c r="B36" s="110"/>
      <c r="C36" s="110"/>
      <c r="D36" s="110"/>
      <c r="E36" s="110"/>
      <c r="F36" s="110"/>
      <c r="G36" s="110"/>
      <c r="H36" s="110"/>
      <c r="I36" s="110"/>
    </row>
    <row r="37" spans="2:9" ht="14.1" customHeight="1" x14ac:dyDescent="0.25">
      <c r="B37" s="341" t="s">
        <v>8</v>
      </c>
      <c r="C37" s="332" t="s">
        <v>79</v>
      </c>
      <c r="D37" s="341" t="s">
        <v>2</v>
      </c>
      <c r="E37" s="376" t="s">
        <v>80</v>
      </c>
      <c r="F37" s="377"/>
      <c r="G37" s="376" t="s">
        <v>68</v>
      </c>
      <c r="H37" s="377"/>
      <c r="I37" s="341" t="s">
        <v>81</v>
      </c>
    </row>
    <row r="38" spans="2:9" ht="14.1" customHeight="1" x14ac:dyDescent="0.25">
      <c r="B38" s="341"/>
      <c r="C38" s="332"/>
      <c r="D38" s="341"/>
      <c r="E38" s="378"/>
      <c r="F38" s="379"/>
      <c r="G38" s="378"/>
      <c r="H38" s="379"/>
      <c r="I38" s="341"/>
    </row>
    <row r="39" spans="2:9" s="4" customFormat="1" ht="14.1" customHeight="1" x14ac:dyDescent="0.25">
      <c r="B39" s="109"/>
      <c r="C39" s="105"/>
      <c r="D39" s="94"/>
      <c r="E39" s="380"/>
      <c r="F39" s="380"/>
      <c r="G39" s="380"/>
      <c r="H39" s="380"/>
      <c r="I39" s="95"/>
    </row>
    <row r="40" spans="2:9" s="4" customFormat="1" ht="14.1" customHeight="1" x14ac:dyDescent="0.25">
      <c r="B40" s="72"/>
      <c r="C40" s="73"/>
      <c r="D40" s="99"/>
      <c r="E40" s="381"/>
      <c r="F40" s="381"/>
      <c r="G40" s="381"/>
      <c r="H40" s="381"/>
      <c r="I40" s="74"/>
    </row>
    <row r="41" spans="2:9" s="4" customFormat="1" ht="15" customHeight="1" x14ac:dyDescent="0.25">
      <c r="B41" s="373" t="s">
        <v>78</v>
      </c>
      <c r="C41" s="374"/>
      <c r="D41" s="374"/>
      <c r="E41" s="374"/>
      <c r="F41" s="374"/>
      <c r="G41" s="374"/>
      <c r="H41" s="375"/>
      <c r="I41" s="19">
        <f>SUM(I39:I40)</f>
        <v>0</v>
      </c>
    </row>
    <row r="42" spans="2:9" ht="5.0999999999999996" customHeight="1" x14ac:dyDescent="0.25">
      <c r="B42" s="110"/>
      <c r="C42" s="110"/>
      <c r="D42" s="110"/>
      <c r="E42" s="110"/>
      <c r="F42" s="110"/>
      <c r="G42" s="110"/>
      <c r="H42" s="110"/>
      <c r="I42" s="110"/>
    </row>
    <row r="43" spans="2:9" s="4" customFormat="1" ht="15" customHeight="1" x14ac:dyDescent="0.25">
      <c r="B43" s="373" t="s">
        <v>82</v>
      </c>
      <c r="C43" s="374"/>
      <c r="D43" s="374"/>
      <c r="E43" s="374"/>
      <c r="F43" s="374"/>
      <c r="G43" s="374"/>
      <c r="H43" s="375"/>
      <c r="I43" s="19">
        <f>I29+I35+I41</f>
        <v>0.65</v>
      </c>
    </row>
  </sheetData>
  <mergeCells count="51">
    <mergeCell ref="B8:I8"/>
    <mergeCell ref="G2:I2"/>
    <mergeCell ref="G3:I5"/>
    <mergeCell ref="G6:I6"/>
    <mergeCell ref="C10:F10"/>
    <mergeCell ref="H10:I10"/>
    <mergeCell ref="C11:F11"/>
    <mergeCell ref="H11:I11"/>
    <mergeCell ref="B13:B14"/>
    <mergeCell ref="C13:C14"/>
    <mergeCell ref="D13:E13"/>
    <mergeCell ref="F13:F14"/>
    <mergeCell ref="G13:H13"/>
    <mergeCell ref="I13:I14"/>
    <mergeCell ref="B25:H25"/>
    <mergeCell ref="B19:H19"/>
    <mergeCell ref="B21:B22"/>
    <mergeCell ref="C21:C22"/>
    <mergeCell ref="D21:D22"/>
    <mergeCell ref="E21:F22"/>
    <mergeCell ref="G21:H22"/>
    <mergeCell ref="I21:I22"/>
    <mergeCell ref="E23:F23"/>
    <mergeCell ref="G23:H23"/>
    <mergeCell ref="E24:F24"/>
    <mergeCell ref="G24:H24"/>
    <mergeCell ref="B27:H27"/>
    <mergeCell ref="B29:H29"/>
    <mergeCell ref="B31:B32"/>
    <mergeCell ref="C31:C32"/>
    <mergeCell ref="D31:D32"/>
    <mergeCell ref="E31:F32"/>
    <mergeCell ref="G31:H32"/>
    <mergeCell ref="I37:I38"/>
    <mergeCell ref="I31:I32"/>
    <mergeCell ref="E33:F33"/>
    <mergeCell ref="G33:H33"/>
    <mergeCell ref="E34:F34"/>
    <mergeCell ref="G34:H34"/>
    <mergeCell ref="B35:H35"/>
    <mergeCell ref="B43:H43"/>
    <mergeCell ref="B37:B38"/>
    <mergeCell ref="C37:C38"/>
    <mergeCell ref="D37:D38"/>
    <mergeCell ref="E37:F38"/>
    <mergeCell ref="G37:H38"/>
    <mergeCell ref="E39:F39"/>
    <mergeCell ref="G39:H39"/>
    <mergeCell ref="E40:F40"/>
    <mergeCell ref="G40:H40"/>
    <mergeCell ref="B41:H41"/>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B1:O45"/>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14.1" customHeight="1" x14ac:dyDescent="0.25">
      <c r="B11" s="85" t="s">
        <v>597</v>
      </c>
      <c r="C11" s="370" t="s">
        <v>527</v>
      </c>
      <c r="D11" s="371"/>
      <c r="E11" s="371"/>
      <c r="F11" s="372"/>
      <c r="G11" s="78" t="s">
        <v>525</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27.95" customHeight="1" x14ac:dyDescent="0.25">
      <c r="B15" s="109" t="s">
        <v>528</v>
      </c>
      <c r="C15" s="105" t="s">
        <v>532</v>
      </c>
      <c r="D15" s="218">
        <v>345.95</v>
      </c>
      <c r="E15" s="218">
        <v>133.13</v>
      </c>
      <c r="F15" s="95">
        <v>1</v>
      </c>
      <c r="G15" s="212">
        <v>1.8162000000000001E-2</v>
      </c>
      <c r="H15" s="212">
        <v>3.7145999999999998E-2</v>
      </c>
      <c r="I15" s="95">
        <f>TRUNC((D15*F15*G15),2)+TRUNC((E15*F15*H15),2)</f>
        <v>11.22</v>
      </c>
    </row>
    <row r="16" spans="2:15" s="4" customFormat="1" ht="42" customHeight="1" x14ac:dyDescent="0.25">
      <c r="B16" s="63">
        <v>91386</v>
      </c>
      <c r="C16" s="65" t="s">
        <v>357</v>
      </c>
      <c r="D16" s="213">
        <v>259.3</v>
      </c>
      <c r="E16" s="213">
        <v>0</v>
      </c>
      <c r="F16" s="64">
        <v>1</v>
      </c>
      <c r="G16" s="211">
        <v>1.8162000000000001E-2</v>
      </c>
      <c r="H16" s="64">
        <v>0</v>
      </c>
      <c r="I16" s="64">
        <f>TRUNC((D16*F16*G16),2)+TRUNC((E16*F16*H16),2)</f>
        <v>4.7</v>
      </c>
    </row>
    <row r="17" spans="2:9" s="4" customFormat="1" ht="27.95" customHeight="1" x14ac:dyDescent="0.25">
      <c r="B17" s="63" t="s">
        <v>352</v>
      </c>
      <c r="C17" s="65" t="s">
        <v>353</v>
      </c>
      <c r="D17" s="213">
        <v>228.14</v>
      </c>
      <c r="E17" s="213">
        <v>83.39</v>
      </c>
      <c r="F17" s="64">
        <v>1</v>
      </c>
      <c r="G17" s="211">
        <v>3.1509000000000002E-2</v>
      </c>
      <c r="H17" s="211">
        <v>2.3758999999999999E-2</v>
      </c>
      <c r="I17" s="64">
        <f t="shared" ref="I17:I19" si="0">TRUNC((D17*F17*G17),2)+TRUNC((E17*F17*H17),2)</f>
        <v>9.16</v>
      </c>
    </row>
    <row r="18" spans="2:9" s="4" customFormat="1" ht="27.95" customHeight="1" x14ac:dyDescent="0.25">
      <c r="B18" s="63" t="s">
        <v>530</v>
      </c>
      <c r="C18" s="65" t="s">
        <v>533</v>
      </c>
      <c r="D18" s="213">
        <v>133.1</v>
      </c>
      <c r="E18" s="213">
        <v>48.8</v>
      </c>
      <c r="F18" s="64">
        <v>1</v>
      </c>
      <c r="G18" s="211">
        <v>1.3346999999999999E-2</v>
      </c>
      <c r="H18" s="211">
        <v>4.1921E-2</v>
      </c>
      <c r="I18" s="64">
        <f t="shared" si="0"/>
        <v>3.81</v>
      </c>
    </row>
    <row r="19" spans="2:9" s="4" customFormat="1" ht="27.95" customHeight="1" x14ac:dyDescent="0.25">
      <c r="B19" s="63" t="s">
        <v>531</v>
      </c>
      <c r="C19" s="65" t="s">
        <v>534</v>
      </c>
      <c r="D19" s="213">
        <v>215.82</v>
      </c>
      <c r="E19" s="213">
        <v>89.72</v>
      </c>
      <c r="F19" s="64">
        <v>1</v>
      </c>
      <c r="G19" s="211">
        <v>1.6400999999999999E-2</v>
      </c>
      <c r="H19" s="211">
        <v>3.8751000000000001E-2</v>
      </c>
      <c r="I19" s="64">
        <f t="shared" si="0"/>
        <v>7</v>
      </c>
    </row>
    <row r="20" spans="2:9" s="4" customFormat="1" ht="14.1" customHeight="1" x14ac:dyDescent="0.25">
      <c r="B20" s="72"/>
      <c r="C20" s="73"/>
      <c r="D20" s="219"/>
      <c r="E20" s="219"/>
      <c r="F20" s="74"/>
      <c r="G20" s="74"/>
      <c r="H20" s="74"/>
      <c r="I20" s="74"/>
    </row>
    <row r="21" spans="2:9" s="4" customFormat="1" ht="15" customHeight="1" x14ac:dyDescent="0.25">
      <c r="B21" s="373" t="s">
        <v>66</v>
      </c>
      <c r="C21" s="374"/>
      <c r="D21" s="374"/>
      <c r="E21" s="374"/>
      <c r="F21" s="374"/>
      <c r="G21" s="374"/>
      <c r="H21" s="375"/>
      <c r="I21" s="19">
        <f>SUM(I15:I20)</f>
        <v>35.89</v>
      </c>
    </row>
    <row r="22" spans="2:9" s="4" customFormat="1" ht="5.0999999999999996" customHeight="1" x14ac:dyDescent="0.25">
      <c r="B22" s="11"/>
      <c r="C22" s="11"/>
      <c r="D22" s="11"/>
      <c r="E22" s="11"/>
      <c r="F22" s="11"/>
      <c r="G22" s="11"/>
      <c r="H22" s="11"/>
      <c r="I22" s="11"/>
    </row>
    <row r="23" spans="2:9" ht="14.1" customHeight="1" x14ac:dyDescent="0.25">
      <c r="B23" s="341" t="s">
        <v>8</v>
      </c>
      <c r="C23" s="332" t="s">
        <v>67</v>
      </c>
      <c r="D23" s="341" t="s">
        <v>58</v>
      </c>
      <c r="E23" s="376" t="s">
        <v>69</v>
      </c>
      <c r="F23" s="377"/>
      <c r="G23" s="376" t="s">
        <v>68</v>
      </c>
      <c r="H23" s="377"/>
      <c r="I23" s="341" t="s">
        <v>60</v>
      </c>
    </row>
    <row r="24" spans="2:9" ht="14.1" customHeight="1" x14ac:dyDescent="0.25">
      <c r="B24" s="341"/>
      <c r="C24" s="332"/>
      <c r="D24" s="341"/>
      <c r="E24" s="378"/>
      <c r="F24" s="379"/>
      <c r="G24" s="378"/>
      <c r="H24" s="379"/>
      <c r="I24" s="341"/>
    </row>
    <row r="25" spans="2:9" s="11" customFormat="1" ht="14.1" customHeight="1" x14ac:dyDescent="0.25">
      <c r="B25" s="109">
        <v>88314</v>
      </c>
      <c r="C25" s="105" t="s">
        <v>529</v>
      </c>
      <c r="D25" s="94" t="s">
        <v>70</v>
      </c>
      <c r="E25" s="380">
        <v>21.69</v>
      </c>
      <c r="F25" s="380"/>
      <c r="G25" s="389">
        <v>0.44234400000000001</v>
      </c>
      <c r="H25" s="389"/>
      <c r="I25" s="95">
        <f>TRUNC((E25*G25),2)</f>
        <v>9.59</v>
      </c>
    </row>
    <row r="26" spans="2:9" s="4" customFormat="1" ht="14.1" customHeight="1" x14ac:dyDescent="0.25">
      <c r="B26" s="72"/>
      <c r="C26" s="73"/>
      <c r="D26" s="99"/>
      <c r="E26" s="381"/>
      <c r="F26" s="381"/>
      <c r="G26" s="381"/>
      <c r="H26" s="381"/>
      <c r="I26" s="74"/>
    </row>
    <row r="27" spans="2:9" s="4" customFormat="1" ht="15" customHeight="1" x14ac:dyDescent="0.25">
      <c r="B27" s="373" t="s">
        <v>74</v>
      </c>
      <c r="C27" s="374"/>
      <c r="D27" s="374"/>
      <c r="E27" s="374"/>
      <c r="F27" s="374"/>
      <c r="G27" s="374"/>
      <c r="H27" s="375"/>
      <c r="I27" s="19">
        <f>SUM(I25:I26)</f>
        <v>9.59</v>
      </c>
    </row>
    <row r="28" spans="2:9" s="4" customFormat="1" ht="5.0999999999999996" customHeight="1" x14ac:dyDescent="0.25">
      <c r="B28" s="12"/>
      <c r="C28" s="11"/>
      <c r="D28" s="11"/>
      <c r="E28" s="11"/>
      <c r="F28" s="11"/>
      <c r="G28" s="11"/>
      <c r="H28" s="11"/>
      <c r="I28" s="11"/>
    </row>
    <row r="29" spans="2:9" s="4" customFormat="1" ht="15" customHeight="1" x14ac:dyDescent="0.25">
      <c r="B29" s="373" t="s">
        <v>75</v>
      </c>
      <c r="C29" s="374"/>
      <c r="D29" s="374"/>
      <c r="E29" s="374"/>
      <c r="F29" s="374"/>
      <c r="G29" s="374"/>
      <c r="H29" s="375"/>
      <c r="I29" s="19">
        <f>I21+I27</f>
        <v>45.480000000000004</v>
      </c>
    </row>
    <row r="30" spans="2:9" ht="5.0999999999999996" customHeight="1" x14ac:dyDescent="0.25">
      <c r="B30" s="110"/>
      <c r="C30" s="110"/>
      <c r="D30" s="110"/>
      <c r="E30" s="110"/>
      <c r="F30" s="110"/>
      <c r="G30" s="110"/>
      <c r="H30" s="110"/>
      <c r="I30" s="110"/>
    </row>
    <row r="31" spans="2:9" s="4" customFormat="1" ht="15" customHeight="1" x14ac:dyDescent="0.25">
      <c r="B31" s="373" t="s">
        <v>76</v>
      </c>
      <c r="C31" s="374"/>
      <c r="D31" s="374"/>
      <c r="E31" s="374"/>
      <c r="F31" s="374"/>
      <c r="G31" s="374"/>
      <c r="H31" s="375"/>
      <c r="I31" s="19">
        <f>ROUND((I29/H11),2)</f>
        <v>45.48</v>
      </c>
    </row>
    <row r="32" spans="2:9" ht="5.0999999999999996" customHeight="1" x14ac:dyDescent="0.25">
      <c r="B32" s="110"/>
      <c r="C32" s="110"/>
      <c r="D32" s="110"/>
      <c r="E32" s="110"/>
      <c r="F32" s="110"/>
      <c r="G32" s="110"/>
      <c r="H32" s="110"/>
      <c r="I32" s="110"/>
    </row>
    <row r="33" spans="2:9" ht="14.1" customHeight="1" x14ac:dyDescent="0.25">
      <c r="B33" s="362" t="s">
        <v>8</v>
      </c>
      <c r="C33" s="383" t="s">
        <v>84</v>
      </c>
      <c r="D33" s="362" t="s">
        <v>58</v>
      </c>
      <c r="E33" s="376" t="s">
        <v>80</v>
      </c>
      <c r="F33" s="377"/>
      <c r="G33" s="376" t="s">
        <v>68</v>
      </c>
      <c r="H33" s="377"/>
      <c r="I33" s="362" t="s">
        <v>81</v>
      </c>
    </row>
    <row r="34" spans="2:9" ht="14.1" customHeight="1" x14ac:dyDescent="0.25">
      <c r="B34" s="340"/>
      <c r="C34" s="384"/>
      <c r="D34" s="340"/>
      <c r="E34" s="378"/>
      <c r="F34" s="379"/>
      <c r="G34" s="378"/>
      <c r="H34" s="379"/>
      <c r="I34" s="340"/>
    </row>
    <row r="35" spans="2:9" s="209" customFormat="1" ht="14.1" customHeight="1" x14ac:dyDescent="0.25">
      <c r="B35" s="205"/>
      <c r="C35" s="206"/>
      <c r="D35" s="207"/>
      <c r="E35" s="387"/>
      <c r="F35" s="387"/>
      <c r="G35" s="387"/>
      <c r="H35" s="387"/>
      <c r="I35" s="208"/>
    </row>
    <row r="36" spans="2:9" s="4" customFormat="1" ht="14.1" customHeight="1" x14ac:dyDescent="0.25">
      <c r="B36" s="72"/>
      <c r="C36" s="73"/>
      <c r="D36" s="99"/>
      <c r="E36" s="381"/>
      <c r="F36" s="381"/>
      <c r="G36" s="381"/>
      <c r="H36" s="381"/>
      <c r="I36" s="74"/>
    </row>
    <row r="37" spans="2:9" s="4" customFormat="1" ht="15" customHeight="1" x14ac:dyDescent="0.25">
      <c r="B37" s="373" t="s">
        <v>77</v>
      </c>
      <c r="C37" s="374"/>
      <c r="D37" s="374"/>
      <c r="E37" s="374"/>
      <c r="F37" s="374"/>
      <c r="G37" s="374"/>
      <c r="H37" s="375"/>
      <c r="I37" s="19">
        <f>SUM(I35:I36)</f>
        <v>0</v>
      </c>
    </row>
    <row r="38" spans="2:9" ht="5.0999999999999996" customHeight="1" x14ac:dyDescent="0.25">
      <c r="B38" s="110"/>
      <c r="C38" s="110"/>
      <c r="D38" s="110"/>
      <c r="E38" s="110"/>
      <c r="F38" s="110"/>
      <c r="G38" s="110"/>
      <c r="H38" s="110"/>
      <c r="I38" s="110"/>
    </row>
    <row r="39" spans="2:9" ht="14.1" customHeight="1" x14ac:dyDescent="0.25">
      <c r="B39" s="341" t="s">
        <v>8</v>
      </c>
      <c r="C39" s="332" t="s">
        <v>79</v>
      </c>
      <c r="D39" s="341" t="s">
        <v>2</v>
      </c>
      <c r="E39" s="376" t="s">
        <v>80</v>
      </c>
      <c r="F39" s="377"/>
      <c r="G39" s="376" t="s">
        <v>68</v>
      </c>
      <c r="H39" s="377"/>
      <c r="I39" s="341" t="s">
        <v>81</v>
      </c>
    </row>
    <row r="40" spans="2:9" ht="14.1" customHeight="1" x14ac:dyDescent="0.25">
      <c r="B40" s="341"/>
      <c r="C40" s="332"/>
      <c r="D40" s="341"/>
      <c r="E40" s="378"/>
      <c r="F40" s="379"/>
      <c r="G40" s="378"/>
      <c r="H40" s="379"/>
      <c r="I40" s="341"/>
    </row>
    <row r="41" spans="2:9" s="4" customFormat="1" ht="14.1" customHeight="1" x14ac:dyDescent="0.25">
      <c r="B41" s="109"/>
      <c r="C41" s="105"/>
      <c r="D41" s="94"/>
      <c r="E41" s="380"/>
      <c r="F41" s="380"/>
      <c r="G41" s="380"/>
      <c r="H41" s="380"/>
      <c r="I41" s="95"/>
    </row>
    <row r="42" spans="2:9" s="4" customFormat="1" ht="14.1" customHeight="1" x14ac:dyDescent="0.25">
      <c r="B42" s="72"/>
      <c r="C42" s="73"/>
      <c r="D42" s="99"/>
      <c r="E42" s="381"/>
      <c r="F42" s="381"/>
      <c r="G42" s="381"/>
      <c r="H42" s="381"/>
      <c r="I42" s="74"/>
    </row>
    <row r="43" spans="2:9" s="4" customFormat="1" ht="15" customHeight="1" x14ac:dyDescent="0.25">
      <c r="B43" s="373" t="s">
        <v>78</v>
      </c>
      <c r="C43" s="374"/>
      <c r="D43" s="374"/>
      <c r="E43" s="374"/>
      <c r="F43" s="374"/>
      <c r="G43" s="374"/>
      <c r="H43" s="375"/>
      <c r="I43" s="19">
        <f>SUM(I41:I42)</f>
        <v>0</v>
      </c>
    </row>
    <row r="44" spans="2:9" ht="5.0999999999999996" customHeight="1" x14ac:dyDescent="0.25">
      <c r="B44" s="110"/>
      <c r="C44" s="110"/>
      <c r="D44" s="110"/>
      <c r="E44" s="110"/>
      <c r="F44" s="110"/>
      <c r="G44" s="110"/>
      <c r="H44" s="110"/>
      <c r="I44" s="110"/>
    </row>
    <row r="45" spans="2:9" s="4" customFormat="1" ht="15" customHeight="1" x14ac:dyDescent="0.25">
      <c r="B45" s="373" t="s">
        <v>82</v>
      </c>
      <c r="C45" s="374"/>
      <c r="D45" s="374"/>
      <c r="E45" s="374"/>
      <c r="F45" s="374"/>
      <c r="G45" s="374"/>
      <c r="H45" s="375"/>
      <c r="I45" s="19">
        <f>I31+I37+I43</f>
        <v>45.48</v>
      </c>
    </row>
  </sheetData>
  <mergeCells count="51">
    <mergeCell ref="B45:H45"/>
    <mergeCell ref="B39:B40"/>
    <mergeCell ref="C39:C40"/>
    <mergeCell ref="D39:D40"/>
    <mergeCell ref="E39:F40"/>
    <mergeCell ref="G39:H40"/>
    <mergeCell ref="E41:F41"/>
    <mergeCell ref="G41:H41"/>
    <mergeCell ref="E42:F42"/>
    <mergeCell ref="G42:H42"/>
    <mergeCell ref="B43:H43"/>
    <mergeCell ref="I39:I40"/>
    <mergeCell ref="I33:I34"/>
    <mergeCell ref="E35:F35"/>
    <mergeCell ref="G35:H35"/>
    <mergeCell ref="E36:F36"/>
    <mergeCell ref="G36:H36"/>
    <mergeCell ref="B37:H37"/>
    <mergeCell ref="B29:H29"/>
    <mergeCell ref="B31:H31"/>
    <mergeCell ref="B33:B34"/>
    <mergeCell ref="C33:C34"/>
    <mergeCell ref="D33:D34"/>
    <mergeCell ref="E33:F34"/>
    <mergeCell ref="G33:H34"/>
    <mergeCell ref="I23:I24"/>
    <mergeCell ref="E25:F25"/>
    <mergeCell ref="G25:H25"/>
    <mergeCell ref="E26:F26"/>
    <mergeCell ref="G26:H26"/>
    <mergeCell ref="B27:H27"/>
    <mergeCell ref="B21:H21"/>
    <mergeCell ref="B23:B24"/>
    <mergeCell ref="C23:C24"/>
    <mergeCell ref="D23:D24"/>
    <mergeCell ref="E23:F24"/>
    <mergeCell ref="G23:H24"/>
    <mergeCell ref="C11:F11"/>
    <mergeCell ref="H11:I11"/>
    <mergeCell ref="B13:B14"/>
    <mergeCell ref="C13:C14"/>
    <mergeCell ref="D13:E13"/>
    <mergeCell ref="F13:F14"/>
    <mergeCell ref="G13:H13"/>
    <mergeCell ref="I13:I14"/>
    <mergeCell ref="C10:F10"/>
    <mergeCell ref="H10:I10"/>
    <mergeCell ref="G2:I2"/>
    <mergeCell ref="B8:I8"/>
    <mergeCell ref="G3:I5"/>
    <mergeCell ref="G6:I6"/>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B1:O46"/>
  <sheetViews>
    <sheetView showGridLines="0" view="pageBreakPreview" topLeftCell="A11" zoomScaleSheetLayoutView="100" workbookViewId="0">
      <selection activeCell="B32" sqref="B3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27.95" customHeight="1" x14ac:dyDescent="0.25">
      <c r="B11" s="85" t="s">
        <v>598</v>
      </c>
      <c r="C11" s="370" t="s">
        <v>520</v>
      </c>
      <c r="D11" s="371"/>
      <c r="E11" s="371"/>
      <c r="F11" s="372"/>
      <c r="G11" s="78" t="s">
        <v>14</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14.1" customHeight="1" x14ac:dyDescent="0.25">
      <c r="B15" s="109"/>
      <c r="C15" s="105"/>
      <c r="D15" s="95"/>
      <c r="E15" s="95"/>
      <c r="F15" s="95"/>
      <c r="G15" s="112"/>
      <c r="H15" s="95"/>
      <c r="I15" s="95"/>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0</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11" customFormat="1" ht="14.1" customHeight="1" x14ac:dyDescent="0.25">
      <c r="B21" s="109"/>
      <c r="C21" s="105"/>
      <c r="D21" s="94"/>
      <c r="E21" s="380"/>
      <c r="F21" s="380"/>
      <c r="G21" s="380"/>
      <c r="H21" s="380"/>
      <c r="I21" s="95"/>
    </row>
    <row r="22" spans="2:9" s="4" customFormat="1" ht="14.1" customHeight="1" x14ac:dyDescent="0.25">
      <c r="B22" s="72"/>
      <c r="C22" s="73"/>
      <c r="D22" s="99"/>
      <c r="E22" s="381"/>
      <c r="F22" s="381"/>
      <c r="G22" s="381"/>
      <c r="H22" s="381"/>
      <c r="I22" s="74"/>
    </row>
    <row r="23" spans="2:9" s="4" customFormat="1" ht="15" customHeight="1" x14ac:dyDescent="0.25">
      <c r="B23" s="373" t="s">
        <v>74</v>
      </c>
      <c r="C23" s="374"/>
      <c r="D23" s="374"/>
      <c r="E23" s="374"/>
      <c r="F23" s="374"/>
      <c r="G23" s="374"/>
      <c r="H23" s="375"/>
      <c r="I23" s="19">
        <f>SUM(I21:I22)</f>
        <v>0</v>
      </c>
    </row>
    <row r="24" spans="2:9" s="4" customFormat="1" ht="5.0999999999999996" customHeight="1" x14ac:dyDescent="0.25">
      <c r="B24" s="12"/>
      <c r="C24" s="11"/>
      <c r="D24" s="11"/>
      <c r="E24" s="11"/>
      <c r="F24" s="11"/>
      <c r="G24" s="11"/>
      <c r="H24" s="11"/>
      <c r="I24" s="11"/>
    </row>
    <row r="25" spans="2:9" s="4" customFormat="1" ht="15" customHeight="1" x14ac:dyDescent="0.25">
      <c r="B25" s="373" t="s">
        <v>75</v>
      </c>
      <c r="C25" s="374"/>
      <c r="D25" s="374"/>
      <c r="E25" s="374"/>
      <c r="F25" s="374"/>
      <c r="G25" s="374"/>
      <c r="H25" s="375"/>
      <c r="I25" s="19">
        <f>I17+I23</f>
        <v>0</v>
      </c>
    </row>
    <row r="26" spans="2:9" ht="5.0999999999999996" customHeight="1" x14ac:dyDescent="0.25">
      <c r="B26" s="110"/>
      <c r="C26" s="110"/>
      <c r="D26" s="110"/>
      <c r="E26" s="110"/>
      <c r="F26" s="110"/>
      <c r="G26" s="110"/>
      <c r="H26" s="110"/>
      <c r="I26" s="110"/>
    </row>
    <row r="27" spans="2:9" s="4" customFormat="1" ht="15" customHeight="1" x14ac:dyDescent="0.25">
      <c r="B27" s="373" t="s">
        <v>76</v>
      </c>
      <c r="C27" s="374"/>
      <c r="D27" s="374"/>
      <c r="E27" s="374"/>
      <c r="F27" s="374"/>
      <c r="G27" s="374"/>
      <c r="H27" s="375"/>
      <c r="I27" s="19">
        <f>ROUND((I25/H11),2)</f>
        <v>0</v>
      </c>
    </row>
    <row r="28" spans="2:9" ht="5.0999999999999996" customHeight="1" x14ac:dyDescent="0.25">
      <c r="B28" s="110"/>
      <c r="C28" s="110"/>
      <c r="D28" s="110"/>
      <c r="E28" s="110"/>
      <c r="F28" s="110"/>
      <c r="G28" s="110"/>
      <c r="H28" s="110"/>
      <c r="I28" s="110"/>
    </row>
    <row r="29" spans="2:9" ht="14.1" customHeight="1" x14ac:dyDescent="0.25">
      <c r="B29" s="362" t="s">
        <v>8</v>
      </c>
      <c r="C29" s="383" t="s">
        <v>84</v>
      </c>
      <c r="D29" s="362" t="s">
        <v>58</v>
      </c>
      <c r="E29" s="376" t="s">
        <v>80</v>
      </c>
      <c r="F29" s="377"/>
      <c r="G29" s="376" t="s">
        <v>68</v>
      </c>
      <c r="H29" s="377"/>
      <c r="I29" s="362" t="s">
        <v>81</v>
      </c>
    </row>
    <row r="30" spans="2:9" ht="14.1" customHeight="1" x14ac:dyDescent="0.25">
      <c r="B30" s="340"/>
      <c r="C30" s="384"/>
      <c r="D30" s="340"/>
      <c r="E30" s="378"/>
      <c r="F30" s="379"/>
      <c r="G30" s="378"/>
      <c r="H30" s="379"/>
      <c r="I30" s="340"/>
    </row>
    <row r="31" spans="2:9" s="4" customFormat="1" ht="14.1" customHeight="1" x14ac:dyDescent="0.25">
      <c r="B31" s="109">
        <v>101616</v>
      </c>
      <c r="C31" s="105" t="s">
        <v>370</v>
      </c>
      <c r="D31" s="94" t="s">
        <v>13</v>
      </c>
      <c r="E31" s="391">
        <v>6.08</v>
      </c>
      <c r="F31" s="391"/>
      <c r="G31" s="380">
        <v>0.42</v>
      </c>
      <c r="H31" s="380"/>
      <c r="I31" s="95">
        <f>TRUNC((E31*G31),2)</f>
        <v>2.5499999999999998</v>
      </c>
    </row>
    <row r="32" spans="2:9" s="4" customFormat="1" ht="27.95" customHeight="1" x14ac:dyDescent="0.25">
      <c r="B32" s="63">
        <v>94963</v>
      </c>
      <c r="C32" s="65" t="s">
        <v>88</v>
      </c>
      <c r="D32" s="66" t="s">
        <v>16</v>
      </c>
      <c r="E32" s="390">
        <v>429.37</v>
      </c>
      <c r="F32" s="390"/>
      <c r="G32" s="392">
        <v>6.1499999999999999E-2</v>
      </c>
      <c r="H32" s="392"/>
      <c r="I32" s="64">
        <f>TRUNC((E32*G32),2)</f>
        <v>26.4</v>
      </c>
    </row>
    <row r="33" spans="2:9" s="4" customFormat="1" ht="14.1" customHeight="1" x14ac:dyDescent="0.25">
      <c r="B33" s="63">
        <v>102498</v>
      </c>
      <c r="C33" s="65" t="s">
        <v>439</v>
      </c>
      <c r="D33" s="66" t="s">
        <v>13</v>
      </c>
      <c r="E33" s="390">
        <v>1.56</v>
      </c>
      <c r="F33" s="390"/>
      <c r="G33" s="382">
        <v>0.25</v>
      </c>
      <c r="H33" s="382"/>
      <c r="I33" s="64">
        <f t="shared" ref="I33:I36" si="0">TRUNC((E33*G33),2)</f>
        <v>0.39</v>
      </c>
    </row>
    <row r="34" spans="2:9" s="4" customFormat="1" ht="42" customHeight="1" x14ac:dyDescent="0.25">
      <c r="B34" s="63">
        <v>92431</v>
      </c>
      <c r="C34" s="65" t="s">
        <v>93</v>
      </c>
      <c r="D34" s="66" t="s">
        <v>13</v>
      </c>
      <c r="E34" s="390">
        <v>69.69</v>
      </c>
      <c r="F34" s="390"/>
      <c r="G34" s="382">
        <v>0.15</v>
      </c>
      <c r="H34" s="382"/>
      <c r="I34" s="64">
        <f t="shared" si="0"/>
        <v>10.45</v>
      </c>
    </row>
    <row r="35" spans="2:9" s="4" customFormat="1" ht="27.95" customHeight="1" x14ac:dyDescent="0.25">
      <c r="B35" s="63">
        <v>103670</v>
      </c>
      <c r="C35" s="65" t="s">
        <v>356</v>
      </c>
      <c r="D35" s="66" t="s">
        <v>16</v>
      </c>
      <c r="E35" s="390">
        <v>284.02999999999997</v>
      </c>
      <c r="F35" s="390"/>
      <c r="G35" s="392">
        <v>6.1499999999999999E-2</v>
      </c>
      <c r="H35" s="392"/>
      <c r="I35" s="64">
        <f t="shared" si="0"/>
        <v>17.46</v>
      </c>
    </row>
    <row r="36" spans="2:9" s="4" customFormat="1" ht="27.95" customHeight="1" x14ac:dyDescent="0.25">
      <c r="B36" s="69" t="str">
        <f>'PR-01 - Comp. Recorte'!$B$11</f>
        <v>PR-01</v>
      </c>
      <c r="C36" s="65" t="str">
        <f>'PR-01 - Comp. Recorte'!$C$11</f>
        <v>Recorte mecânico de pavimento asfáltico ou piso de concreto, com serra de disco diamantado para piso / asfalto</v>
      </c>
      <c r="D36" s="66" t="str">
        <f>'PR-01 - Comp. Recorte'!$G$11</f>
        <v>m</v>
      </c>
      <c r="E36" s="390">
        <f>'PR-01 - Comp. Recorte'!$I$41</f>
        <v>8.77</v>
      </c>
      <c r="F36" s="390"/>
      <c r="G36" s="382">
        <v>1</v>
      </c>
      <c r="H36" s="382"/>
      <c r="I36" s="64">
        <f t="shared" si="0"/>
        <v>8.77</v>
      </c>
    </row>
    <row r="37" spans="2:9" s="4" customFormat="1" ht="14.1" customHeight="1" x14ac:dyDescent="0.25">
      <c r="B37" s="72"/>
      <c r="C37" s="73"/>
      <c r="D37" s="99"/>
      <c r="E37" s="381"/>
      <c r="F37" s="381"/>
      <c r="G37" s="381"/>
      <c r="H37" s="381"/>
      <c r="I37" s="74"/>
    </row>
    <row r="38" spans="2:9" s="4" customFormat="1" ht="15" customHeight="1" x14ac:dyDescent="0.25">
      <c r="B38" s="373" t="s">
        <v>77</v>
      </c>
      <c r="C38" s="374"/>
      <c r="D38" s="374"/>
      <c r="E38" s="374"/>
      <c r="F38" s="374"/>
      <c r="G38" s="374"/>
      <c r="H38" s="375"/>
      <c r="I38" s="19">
        <f>SUM(I31:I37)</f>
        <v>66.02</v>
      </c>
    </row>
    <row r="39" spans="2:9" ht="5.0999999999999996" customHeight="1" x14ac:dyDescent="0.25">
      <c r="B39" s="110"/>
      <c r="C39" s="110"/>
      <c r="D39" s="110"/>
      <c r="E39" s="110"/>
      <c r="F39" s="110"/>
      <c r="G39" s="110"/>
      <c r="H39" s="110"/>
      <c r="I39" s="110"/>
    </row>
    <row r="40" spans="2:9" ht="14.1" customHeight="1" x14ac:dyDescent="0.25">
      <c r="B40" s="341" t="s">
        <v>8</v>
      </c>
      <c r="C40" s="332" t="s">
        <v>79</v>
      </c>
      <c r="D40" s="341" t="s">
        <v>2</v>
      </c>
      <c r="E40" s="376" t="s">
        <v>80</v>
      </c>
      <c r="F40" s="377"/>
      <c r="G40" s="376" t="s">
        <v>68</v>
      </c>
      <c r="H40" s="377"/>
      <c r="I40" s="341" t="s">
        <v>81</v>
      </c>
    </row>
    <row r="41" spans="2:9" ht="14.1" customHeight="1" x14ac:dyDescent="0.25">
      <c r="B41" s="341"/>
      <c r="C41" s="332"/>
      <c r="D41" s="341"/>
      <c r="E41" s="378"/>
      <c r="F41" s="379"/>
      <c r="G41" s="378"/>
      <c r="H41" s="379"/>
      <c r="I41" s="341"/>
    </row>
    <row r="42" spans="2:9" s="4" customFormat="1" ht="14.1" customHeight="1" x14ac:dyDescent="0.25">
      <c r="B42" s="109"/>
      <c r="C42" s="105"/>
      <c r="D42" s="94"/>
      <c r="E42" s="380"/>
      <c r="F42" s="380"/>
      <c r="G42" s="380"/>
      <c r="H42" s="380"/>
      <c r="I42" s="95"/>
    </row>
    <row r="43" spans="2:9" s="4" customFormat="1" ht="14.1" customHeight="1" x14ac:dyDescent="0.25">
      <c r="B43" s="72"/>
      <c r="C43" s="73"/>
      <c r="D43" s="99"/>
      <c r="E43" s="381"/>
      <c r="F43" s="381"/>
      <c r="G43" s="381"/>
      <c r="H43" s="381"/>
      <c r="I43" s="74"/>
    </row>
    <row r="44" spans="2:9" s="4" customFormat="1" ht="15" customHeight="1" x14ac:dyDescent="0.25">
      <c r="B44" s="373" t="s">
        <v>78</v>
      </c>
      <c r="C44" s="374"/>
      <c r="D44" s="374"/>
      <c r="E44" s="374"/>
      <c r="F44" s="374"/>
      <c r="G44" s="374"/>
      <c r="H44" s="375"/>
      <c r="I44" s="19">
        <f>SUM(I42:I43)</f>
        <v>0</v>
      </c>
    </row>
    <row r="45" spans="2:9" ht="5.0999999999999996" customHeight="1" x14ac:dyDescent="0.25">
      <c r="B45" s="110"/>
      <c r="C45" s="110"/>
      <c r="D45" s="110"/>
      <c r="E45" s="110"/>
      <c r="F45" s="110"/>
      <c r="G45" s="110"/>
      <c r="H45" s="110"/>
      <c r="I45" s="110"/>
    </row>
    <row r="46" spans="2:9" s="4" customFormat="1" ht="15" customHeight="1" x14ac:dyDescent="0.25">
      <c r="B46" s="373" t="s">
        <v>82</v>
      </c>
      <c r="C46" s="374"/>
      <c r="D46" s="374"/>
      <c r="E46" s="374"/>
      <c r="F46" s="374"/>
      <c r="G46" s="374"/>
      <c r="H46" s="375"/>
      <c r="I46" s="19">
        <f>I27+I38+I44</f>
        <v>66.02</v>
      </c>
    </row>
  </sheetData>
  <mergeCells count="61">
    <mergeCell ref="B46:H46"/>
    <mergeCell ref="I40:I41"/>
    <mergeCell ref="E42:F42"/>
    <mergeCell ref="G42:H42"/>
    <mergeCell ref="E43:F43"/>
    <mergeCell ref="G43:H43"/>
    <mergeCell ref="B44:H44"/>
    <mergeCell ref="E37:F37"/>
    <mergeCell ref="G37:H37"/>
    <mergeCell ref="B38:H38"/>
    <mergeCell ref="B40:B41"/>
    <mergeCell ref="C40:C41"/>
    <mergeCell ref="D40:D41"/>
    <mergeCell ref="E40:F41"/>
    <mergeCell ref="G40:H41"/>
    <mergeCell ref="E34:F34"/>
    <mergeCell ref="G34:H34"/>
    <mergeCell ref="E35:F35"/>
    <mergeCell ref="G35:H35"/>
    <mergeCell ref="E36:F36"/>
    <mergeCell ref="G36:H36"/>
    <mergeCell ref="I29:I30"/>
    <mergeCell ref="E31:F31"/>
    <mergeCell ref="G31:H31"/>
    <mergeCell ref="E32:F32"/>
    <mergeCell ref="G32:H32"/>
    <mergeCell ref="E33:F33"/>
    <mergeCell ref="G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1:O45"/>
  <sheetViews>
    <sheetView showGridLines="0" view="pageBreakPreview" topLeftCell="A16"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14.1" customHeight="1" x14ac:dyDescent="0.25">
      <c r="B11" s="85" t="s">
        <v>599</v>
      </c>
      <c r="C11" s="370" t="s">
        <v>94</v>
      </c>
      <c r="D11" s="371"/>
      <c r="E11" s="371"/>
      <c r="F11" s="372"/>
      <c r="G11" s="78" t="s">
        <v>14</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14.1" customHeight="1" x14ac:dyDescent="0.25">
      <c r="B15" s="109"/>
      <c r="C15" s="105"/>
      <c r="D15" s="95"/>
      <c r="E15" s="95"/>
      <c r="F15" s="95"/>
      <c r="G15" s="112"/>
      <c r="H15" s="95"/>
      <c r="I15" s="95"/>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0</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11" customFormat="1" ht="14.1" customHeight="1" x14ac:dyDescent="0.25">
      <c r="B21" s="109"/>
      <c r="C21" s="105"/>
      <c r="D21" s="94"/>
      <c r="E21" s="380"/>
      <c r="F21" s="380"/>
      <c r="G21" s="380"/>
      <c r="H21" s="380"/>
      <c r="I21" s="95"/>
    </row>
    <row r="22" spans="2:9" s="4" customFormat="1" ht="14.1" customHeight="1" x14ac:dyDescent="0.25">
      <c r="B22" s="72"/>
      <c r="C22" s="73"/>
      <c r="D22" s="99"/>
      <c r="E22" s="381"/>
      <c r="F22" s="381"/>
      <c r="G22" s="381"/>
      <c r="H22" s="381"/>
      <c r="I22" s="74"/>
    </row>
    <row r="23" spans="2:9" s="4" customFormat="1" ht="15" customHeight="1" x14ac:dyDescent="0.25">
      <c r="B23" s="373" t="s">
        <v>74</v>
      </c>
      <c r="C23" s="374"/>
      <c r="D23" s="374"/>
      <c r="E23" s="374"/>
      <c r="F23" s="374"/>
      <c r="G23" s="374"/>
      <c r="H23" s="375"/>
      <c r="I23" s="19">
        <f>SUM(I21:I22)</f>
        <v>0</v>
      </c>
    </row>
    <row r="24" spans="2:9" s="4" customFormat="1" ht="5.0999999999999996" customHeight="1" x14ac:dyDescent="0.25">
      <c r="B24" s="12"/>
      <c r="C24" s="11"/>
      <c r="D24" s="11"/>
      <c r="E24" s="11"/>
      <c r="F24" s="11"/>
      <c r="G24" s="11"/>
      <c r="H24" s="11"/>
      <c r="I24" s="11"/>
    </row>
    <row r="25" spans="2:9" s="4" customFormat="1" ht="15" customHeight="1" x14ac:dyDescent="0.25">
      <c r="B25" s="373" t="s">
        <v>75</v>
      </c>
      <c r="C25" s="374"/>
      <c r="D25" s="374"/>
      <c r="E25" s="374"/>
      <c r="F25" s="374"/>
      <c r="G25" s="374"/>
      <c r="H25" s="375"/>
      <c r="I25" s="19">
        <f>I17+I23</f>
        <v>0</v>
      </c>
    </row>
    <row r="26" spans="2:9" ht="5.0999999999999996" customHeight="1" x14ac:dyDescent="0.25">
      <c r="B26" s="110"/>
      <c r="C26" s="110"/>
      <c r="D26" s="110"/>
      <c r="E26" s="110"/>
      <c r="F26" s="110"/>
      <c r="G26" s="110"/>
      <c r="H26" s="110"/>
      <c r="I26" s="110"/>
    </row>
    <row r="27" spans="2:9" s="4" customFormat="1" ht="15" customHeight="1" x14ac:dyDescent="0.25">
      <c r="B27" s="373" t="s">
        <v>76</v>
      </c>
      <c r="C27" s="374"/>
      <c r="D27" s="374"/>
      <c r="E27" s="374"/>
      <c r="F27" s="374"/>
      <c r="G27" s="374"/>
      <c r="H27" s="375"/>
      <c r="I27" s="19">
        <f>ROUND((I25/H11),2)</f>
        <v>0</v>
      </c>
    </row>
    <row r="28" spans="2:9" ht="5.0999999999999996" customHeight="1" x14ac:dyDescent="0.25">
      <c r="B28" s="110"/>
      <c r="C28" s="110"/>
      <c r="D28" s="110"/>
      <c r="E28" s="110"/>
      <c r="F28" s="110"/>
      <c r="G28" s="110"/>
      <c r="H28" s="110"/>
      <c r="I28" s="110"/>
    </row>
    <row r="29" spans="2:9" ht="14.1" customHeight="1" x14ac:dyDescent="0.25">
      <c r="B29" s="362" t="s">
        <v>8</v>
      </c>
      <c r="C29" s="383" t="s">
        <v>84</v>
      </c>
      <c r="D29" s="362" t="s">
        <v>58</v>
      </c>
      <c r="E29" s="376" t="s">
        <v>80</v>
      </c>
      <c r="F29" s="377"/>
      <c r="G29" s="376" t="s">
        <v>68</v>
      </c>
      <c r="H29" s="377"/>
      <c r="I29" s="362" t="s">
        <v>81</v>
      </c>
    </row>
    <row r="30" spans="2:9" ht="14.1" customHeight="1" x14ac:dyDescent="0.25">
      <c r="B30" s="340"/>
      <c r="C30" s="384"/>
      <c r="D30" s="340"/>
      <c r="E30" s="378"/>
      <c r="F30" s="379"/>
      <c r="G30" s="378"/>
      <c r="H30" s="379"/>
      <c r="I30" s="340"/>
    </row>
    <row r="31" spans="2:9" s="4" customFormat="1" ht="14.1" customHeight="1" x14ac:dyDescent="0.25">
      <c r="B31" s="109">
        <v>101616</v>
      </c>
      <c r="C31" s="105" t="s">
        <v>370</v>
      </c>
      <c r="D31" s="94" t="s">
        <v>13</v>
      </c>
      <c r="E31" s="391">
        <v>6.08</v>
      </c>
      <c r="F31" s="391"/>
      <c r="G31" s="380">
        <v>0.3</v>
      </c>
      <c r="H31" s="380"/>
      <c r="I31" s="95">
        <f>TRUNC((E31*G31),2)</f>
        <v>1.82</v>
      </c>
    </row>
    <row r="32" spans="2:9" s="4" customFormat="1" ht="27.95" customHeight="1" x14ac:dyDescent="0.25">
      <c r="B32" s="63">
        <v>94963</v>
      </c>
      <c r="C32" s="65" t="s">
        <v>88</v>
      </c>
      <c r="D32" s="66" t="s">
        <v>16</v>
      </c>
      <c r="E32" s="390">
        <v>429.37</v>
      </c>
      <c r="F32" s="390"/>
      <c r="G32" s="386">
        <v>3.3000000000000002E-2</v>
      </c>
      <c r="H32" s="386"/>
      <c r="I32" s="64">
        <f>TRUNC((E32*G32),2)</f>
        <v>14.16</v>
      </c>
    </row>
    <row r="33" spans="2:9" s="4" customFormat="1" ht="14.1" customHeight="1" x14ac:dyDescent="0.25">
      <c r="B33" s="63">
        <v>93358</v>
      </c>
      <c r="C33" s="65" t="s">
        <v>43</v>
      </c>
      <c r="D33" s="66" t="s">
        <v>16</v>
      </c>
      <c r="E33" s="390">
        <v>82.91</v>
      </c>
      <c r="F33" s="390"/>
      <c r="G33" s="386">
        <v>3.3000000000000002E-2</v>
      </c>
      <c r="H33" s="386"/>
      <c r="I33" s="64">
        <f t="shared" ref="I33:I35" si="0">TRUNC((E33*G33),2)</f>
        <v>2.73</v>
      </c>
    </row>
    <row r="34" spans="2:9" s="4" customFormat="1" ht="42" customHeight="1" x14ac:dyDescent="0.25">
      <c r="B34" s="63">
        <v>92423</v>
      </c>
      <c r="C34" s="65" t="s">
        <v>46</v>
      </c>
      <c r="D34" s="66" t="s">
        <v>13</v>
      </c>
      <c r="E34" s="390">
        <v>80.5</v>
      </c>
      <c r="F34" s="390"/>
      <c r="G34" s="382">
        <v>0.11</v>
      </c>
      <c r="H34" s="382"/>
      <c r="I34" s="64">
        <f t="shared" si="0"/>
        <v>8.85</v>
      </c>
    </row>
    <row r="35" spans="2:9" s="4" customFormat="1" ht="27.95" customHeight="1" x14ac:dyDescent="0.25">
      <c r="B35" s="63">
        <v>103670</v>
      </c>
      <c r="C35" s="65" t="s">
        <v>356</v>
      </c>
      <c r="D35" s="66" t="s">
        <v>16</v>
      </c>
      <c r="E35" s="390">
        <v>284.02999999999997</v>
      </c>
      <c r="F35" s="390"/>
      <c r="G35" s="386">
        <v>3.3000000000000002E-2</v>
      </c>
      <c r="H35" s="386"/>
      <c r="I35" s="64">
        <f t="shared" si="0"/>
        <v>9.3699999999999992</v>
      </c>
    </row>
    <row r="36" spans="2:9" s="4" customFormat="1" ht="14.1" customHeight="1" x14ac:dyDescent="0.25">
      <c r="B36" s="72"/>
      <c r="C36" s="73"/>
      <c r="D36" s="99"/>
      <c r="E36" s="390"/>
      <c r="F36" s="390"/>
      <c r="G36" s="381"/>
      <c r="H36" s="381"/>
      <c r="I36" s="74"/>
    </row>
    <row r="37" spans="2:9" s="4" customFormat="1" ht="15" customHeight="1" x14ac:dyDescent="0.25">
      <c r="B37" s="373" t="s">
        <v>77</v>
      </c>
      <c r="C37" s="374"/>
      <c r="D37" s="374"/>
      <c r="E37" s="374"/>
      <c r="F37" s="374"/>
      <c r="G37" s="374"/>
      <c r="H37" s="375"/>
      <c r="I37" s="19">
        <f>SUM(I31:I36)</f>
        <v>36.93</v>
      </c>
    </row>
    <row r="38" spans="2:9" ht="5.0999999999999996" customHeight="1" x14ac:dyDescent="0.25">
      <c r="B38" s="110"/>
      <c r="C38" s="110"/>
      <c r="D38" s="110"/>
      <c r="E38" s="110"/>
      <c r="F38" s="110"/>
      <c r="G38" s="110"/>
      <c r="H38" s="110"/>
      <c r="I38" s="110"/>
    </row>
    <row r="39" spans="2:9" ht="14.1" customHeight="1" x14ac:dyDescent="0.25">
      <c r="B39" s="341" t="s">
        <v>8</v>
      </c>
      <c r="C39" s="332" t="s">
        <v>79</v>
      </c>
      <c r="D39" s="341" t="s">
        <v>2</v>
      </c>
      <c r="E39" s="376" t="s">
        <v>80</v>
      </c>
      <c r="F39" s="377"/>
      <c r="G39" s="376" t="s">
        <v>68</v>
      </c>
      <c r="H39" s="377"/>
      <c r="I39" s="341" t="s">
        <v>81</v>
      </c>
    </row>
    <row r="40" spans="2:9" ht="14.1" customHeight="1" x14ac:dyDescent="0.25">
      <c r="B40" s="341"/>
      <c r="C40" s="332"/>
      <c r="D40" s="341"/>
      <c r="E40" s="378"/>
      <c r="F40" s="379"/>
      <c r="G40" s="378"/>
      <c r="H40" s="379"/>
      <c r="I40" s="341"/>
    </row>
    <row r="41" spans="2:9" s="4" customFormat="1" ht="14.1" customHeight="1" x14ac:dyDescent="0.25">
      <c r="B41" s="109"/>
      <c r="C41" s="105"/>
      <c r="D41" s="94"/>
      <c r="E41" s="380"/>
      <c r="F41" s="380"/>
      <c r="G41" s="380"/>
      <c r="H41" s="380"/>
      <c r="I41" s="95"/>
    </row>
    <row r="42" spans="2:9" s="4" customFormat="1" ht="14.1" customHeight="1" x14ac:dyDescent="0.25">
      <c r="B42" s="72"/>
      <c r="C42" s="73"/>
      <c r="D42" s="99"/>
      <c r="E42" s="381"/>
      <c r="F42" s="381"/>
      <c r="G42" s="381"/>
      <c r="H42" s="381"/>
      <c r="I42" s="74"/>
    </row>
    <row r="43" spans="2:9" s="4" customFormat="1" ht="15" customHeight="1" x14ac:dyDescent="0.25">
      <c r="B43" s="373" t="s">
        <v>78</v>
      </c>
      <c r="C43" s="374"/>
      <c r="D43" s="374"/>
      <c r="E43" s="374"/>
      <c r="F43" s="374"/>
      <c r="G43" s="374"/>
      <c r="H43" s="375"/>
      <c r="I43" s="19">
        <f>SUM(I41:I42)</f>
        <v>0</v>
      </c>
    </row>
    <row r="44" spans="2:9" ht="5.0999999999999996" customHeight="1" x14ac:dyDescent="0.25">
      <c r="B44" s="110"/>
      <c r="C44" s="110"/>
      <c r="D44" s="110"/>
      <c r="E44" s="110"/>
      <c r="F44" s="110"/>
      <c r="G44" s="110"/>
      <c r="H44" s="110"/>
      <c r="I44" s="110"/>
    </row>
    <row r="45" spans="2:9" s="4" customFormat="1" ht="15" customHeight="1" x14ac:dyDescent="0.25">
      <c r="B45" s="373" t="s">
        <v>82</v>
      </c>
      <c r="C45" s="374"/>
      <c r="D45" s="374"/>
      <c r="E45" s="374"/>
      <c r="F45" s="374"/>
      <c r="G45" s="374"/>
      <c r="H45" s="375"/>
      <c r="I45" s="19">
        <f>I27+I37+I43</f>
        <v>36.93</v>
      </c>
    </row>
  </sheetData>
  <mergeCells count="59">
    <mergeCell ref="E42:F42"/>
    <mergeCell ref="G42:H42"/>
    <mergeCell ref="B43:H43"/>
    <mergeCell ref="B45:H45"/>
    <mergeCell ref="B39:B40"/>
    <mergeCell ref="C39:C40"/>
    <mergeCell ref="D39:D40"/>
    <mergeCell ref="E39:F40"/>
    <mergeCell ref="G39:H40"/>
    <mergeCell ref="E41:F41"/>
    <mergeCell ref="G41:H41"/>
    <mergeCell ref="I39:I40"/>
    <mergeCell ref="I29:I30"/>
    <mergeCell ref="E31:F31"/>
    <mergeCell ref="G31:H31"/>
    <mergeCell ref="E36:F36"/>
    <mergeCell ref="G36:H36"/>
    <mergeCell ref="B37:H37"/>
    <mergeCell ref="E32:F32"/>
    <mergeCell ref="G32:H32"/>
    <mergeCell ref="E33:F33"/>
    <mergeCell ref="G33:H33"/>
    <mergeCell ref="E34:F34"/>
    <mergeCell ref="G34:H34"/>
    <mergeCell ref="E35:F35"/>
    <mergeCell ref="G35:H35"/>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B1:O40"/>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14.1" customHeight="1" x14ac:dyDescent="0.25">
      <c r="B11" s="85" t="s">
        <v>600</v>
      </c>
      <c r="C11" s="370" t="s">
        <v>52</v>
      </c>
      <c r="D11" s="371"/>
      <c r="E11" s="371"/>
      <c r="F11" s="372"/>
      <c r="G11" s="78" t="s">
        <v>13</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14.1" customHeight="1" x14ac:dyDescent="0.25">
      <c r="B15" s="72"/>
      <c r="C15" s="73"/>
      <c r="D15" s="74"/>
      <c r="E15" s="74"/>
      <c r="F15" s="74"/>
      <c r="G15" s="74"/>
      <c r="H15" s="74"/>
      <c r="I15" s="74"/>
    </row>
    <row r="16" spans="2:15" s="4" customFormat="1" ht="15" customHeight="1" x14ac:dyDescent="0.25">
      <c r="B16" s="373" t="s">
        <v>66</v>
      </c>
      <c r="C16" s="374"/>
      <c r="D16" s="374"/>
      <c r="E16" s="374"/>
      <c r="F16" s="374"/>
      <c r="G16" s="374"/>
      <c r="H16" s="375"/>
      <c r="I16" s="19">
        <f>SUM(I15:I15)</f>
        <v>0</v>
      </c>
    </row>
    <row r="17" spans="2:9" s="4" customFormat="1" ht="5.0999999999999996" customHeight="1" x14ac:dyDescent="0.25">
      <c r="B17" s="11"/>
      <c r="C17" s="11"/>
      <c r="D17" s="11"/>
      <c r="E17" s="11"/>
      <c r="F17" s="11"/>
      <c r="G17" s="11"/>
      <c r="H17" s="11"/>
      <c r="I17" s="11"/>
    </row>
    <row r="18" spans="2:9" ht="14.1" customHeight="1" x14ac:dyDescent="0.25">
      <c r="B18" s="341" t="s">
        <v>8</v>
      </c>
      <c r="C18" s="332" t="s">
        <v>67</v>
      </c>
      <c r="D18" s="341" t="s">
        <v>58</v>
      </c>
      <c r="E18" s="376" t="s">
        <v>69</v>
      </c>
      <c r="F18" s="377"/>
      <c r="G18" s="376" t="s">
        <v>68</v>
      </c>
      <c r="H18" s="377"/>
      <c r="I18" s="341" t="s">
        <v>60</v>
      </c>
    </row>
    <row r="19" spans="2:9" ht="14.1" customHeight="1" x14ac:dyDescent="0.25">
      <c r="B19" s="341"/>
      <c r="C19" s="332"/>
      <c r="D19" s="341"/>
      <c r="E19" s="378"/>
      <c r="F19" s="379"/>
      <c r="G19" s="378"/>
      <c r="H19" s="379"/>
      <c r="I19" s="341"/>
    </row>
    <row r="20" spans="2:9" s="11" customFormat="1" ht="14.1" customHeight="1" x14ac:dyDescent="0.25">
      <c r="B20" s="109">
        <v>88316</v>
      </c>
      <c r="C20" s="105" t="s">
        <v>72</v>
      </c>
      <c r="D20" s="94" t="s">
        <v>70</v>
      </c>
      <c r="E20" s="380">
        <v>20.96</v>
      </c>
      <c r="F20" s="380"/>
      <c r="G20" s="380">
        <v>0.4</v>
      </c>
      <c r="H20" s="380"/>
      <c r="I20" s="95">
        <f>TRUNC((E20*G20),2)</f>
        <v>8.3800000000000008</v>
      </c>
    </row>
    <row r="21" spans="2:9" s="4" customFormat="1" ht="14.1" customHeight="1" x14ac:dyDescent="0.25">
      <c r="B21" s="72"/>
      <c r="C21" s="73"/>
      <c r="D21" s="99"/>
      <c r="E21" s="381"/>
      <c r="F21" s="381"/>
      <c r="G21" s="381"/>
      <c r="H21" s="381"/>
      <c r="I21" s="74"/>
    </row>
    <row r="22" spans="2:9" s="4" customFormat="1" ht="15" customHeight="1" x14ac:dyDescent="0.25">
      <c r="B22" s="373" t="s">
        <v>74</v>
      </c>
      <c r="C22" s="374"/>
      <c r="D22" s="374"/>
      <c r="E22" s="374"/>
      <c r="F22" s="374"/>
      <c r="G22" s="374"/>
      <c r="H22" s="375"/>
      <c r="I22" s="19">
        <f>SUM(I20:I21)</f>
        <v>8.3800000000000008</v>
      </c>
    </row>
    <row r="23" spans="2:9" s="4" customFormat="1" ht="5.0999999999999996" customHeight="1" x14ac:dyDescent="0.25">
      <c r="B23" s="12"/>
      <c r="C23" s="11"/>
      <c r="D23" s="11"/>
      <c r="E23" s="11"/>
      <c r="F23" s="11"/>
      <c r="G23" s="11"/>
      <c r="H23" s="11"/>
      <c r="I23" s="11"/>
    </row>
    <row r="24" spans="2:9" s="4" customFormat="1" ht="15" customHeight="1" x14ac:dyDescent="0.25">
      <c r="B24" s="373" t="s">
        <v>75</v>
      </c>
      <c r="C24" s="374"/>
      <c r="D24" s="374"/>
      <c r="E24" s="374"/>
      <c r="F24" s="374"/>
      <c r="G24" s="374"/>
      <c r="H24" s="375"/>
      <c r="I24" s="19">
        <f>I16+I22</f>
        <v>8.3800000000000008</v>
      </c>
    </row>
    <row r="25" spans="2:9" ht="5.0999999999999996" customHeight="1" x14ac:dyDescent="0.25">
      <c r="B25" s="110"/>
      <c r="C25" s="110"/>
      <c r="D25" s="110"/>
      <c r="E25" s="110"/>
      <c r="F25" s="110"/>
      <c r="G25" s="110"/>
      <c r="H25" s="110"/>
      <c r="I25" s="110"/>
    </row>
    <row r="26" spans="2:9" s="4" customFormat="1" ht="15" customHeight="1" x14ac:dyDescent="0.25">
      <c r="B26" s="373" t="s">
        <v>76</v>
      </c>
      <c r="C26" s="374"/>
      <c r="D26" s="374"/>
      <c r="E26" s="374"/>
      <c r="F26" s="374"/>
      <c r="G26" s="374"/>
      <c r="H26" s="375"/>
      <c r="I26" s="19">
        <f>ROUND((I24/H11),2)</f>
        <v>8.3800000000000008</v>
      </c>
    </row>
    <row r="27" spans="2:9" ht="5.0999999999999996" customHeight="1" x14ac:dyDescent="0.25">
      <c r="B27" s="110"/>
      <c r="C27" s="110"/>
      <c r="D27" s="110"/>
      <c r="E27" s="110"/>
      <c r="F27" s="110"/>
      <c r="G27" s="110"/>
      <c r="H27" s="110"/>
      <c r="I27" s="110"/>
    </row>
    <row r="28" spans="2:9" ht="14.1" customHeight="1" x14ac:dyDescent="0.25">
      <c r="B28" s="362" t="s">
        <v>8</v>
      </c>
      <c r="C28" s="383" t="s">
        <v>84</v>
      </c>
      <c r="D28" s="362" t="s">
        <v>58</v>
      </c>
      <c r="E28" s="376" t="s">
        <v>80</v>
      </c>
      <c r="F28" s="377"/>
      <c r="G28" s="376" t="s">
        <v>68</v>
      </c>
      <c r="H28" s="377"/>
      <c r="I28" s="362" t="s">
        <v>81</v>
      </c>
    </row>
    <row r="29" spans="2:9" ht="14.1" customHeight="1" x14ac:dyDescent="0.25">
      <c r="B29" s="340"/>
      <c r="C29" s="384"/>
      <c r="D29" s="340"/>
      <c r="E29" s="378"/>
      <c r="F29" s="379"/>
      <c r="G29" s="378"/>
      <c r="H29" s="379"/>
      <c r="I29" s="340"/>
    </row>
    <row r="30" spans="2:9" s="4" customFormat="1" ht="14.1" customHeight="1" x14ac:dyDescent="0.25">
      <c r="B30" s="109"/>
      <c r="C30" s="105"/>
      <c r="D30" s="94"/>
      <c r="E30" s="380"/>
      <c r="F30" s="380"/>
      <c r="G30" s="380"/>
      <c r="H30" s="380"/>
      <c r="I30" s="95"/>
    </row>
    <row r="31" spans="2:9" s="4" customFormat="1" ht="14.1" customHeight="1" x14ac:dyDescent="0.25">
      <c r="B31" s="72"/>
      <c r="C31" s="73"/>
      <c r="D31" s="99"/>
      <c r="E31" s="381"/>
      <c r="F31" s="381"/>
      <c r="G31" s="381"/>
      <c r="H31" s="381"/>
      <c r="I31" s="74"/>
    </row>
    <row r="32" spans="2:9" s="4" customFormat="1" ht="15" customHeight="1" x14ac:dyDescent="0.25">
      <c r="B32" s="373" t="s">
        <v>77</v>
      </c>
      <c r="C32" s="374"/>
      <c r="D32" s="374"/>
      <c r="E32" s="374"/>
      <c r="F32" s="374"/>
      <c r="G32" s="374"/>
      <c r="H32" s="375"/>
      <c r="I32" s="19">
        <f>SUM(I30:I31)</f>
        <v>0</v>
      </c>
    </row>
    <row r="33" spans="2:9" ht="5.0999999999999996" customHeight="1" x14ac:dyDescent="0.25">
      <c r="B33" s="110"/>
      <c r="C33" s="110"/>
      <c r="D33" s="110"/>
      <c r="E33" s="110"/>
      <c r="F33" s="110"/>
      <c r="G33" s="110"/>
      <c r="H33" s="110"/>
      <c r="I33" s="110"/>
    </row>
    <row r="34" spans="2:9" ht="14.1" customHeight="1" x14ac:dyDescent="0.25">
      <c r="B34" s="341" t="s">
        <v>8</v>
      </c>
      <c r="C34" s="332" t="s">
        <v>79</v>
      </c>
      <c r="D34" s="341" t="s">
        <v>2</v>
      </c>
      <c r="E34" s="376" t="s">
        <v>80</v>
      </c>
      <c r="F34" s="377"/>
      <c r="G34" s="376" t="s">
        <v>68</v>
      </c>
      <c r="H34" s="377"/>
      <c r="I34" s="341" t="s">
        <v>81</v>
      </c>
    </row>
    <row r="35" spans="2:9" ht="14.1" customHeight="1" x14ac:dyDescent="0.25">
      <c r="B35" s="341"/>
      <c r="C35" s="332"/>
      <c r="D35" s="341"/>
      <c r="E35" s="378"/>
      <c r="F35" s="379"/>
      <c r="G35" s="378"/>
      <c r="H35" s="379"/>
      <c r="I35" s="341"/>
    </row>
    <row r="36" spans="2:9" s="4" customFormat="1" ht="14.1" customHeight="1" x14ac:dyDescent="0.25">
      <c r="B36" s="109"/>
      <c r="C36" s="105"/>
      <c r="D36" s="94"/>
      <c r="E36" s="380"/>
      <c r="F36" s="380"/>
      <c r="G36" s="380"/>
      <c r="H36" s="380"/>
      <c r="I36" s="95"/>
    </row>
    <row r="37" spans="2:9" s="4" customFormat="1" ht="14.1" customHeight="1" x14ac:dyDescent="0.25">
      <c r="B37" s="72"/>
      <c r="C37" s="73"/>
      <c r="D37" s="99"/>
      <c r="E37" s="381"/>
      <c r="F37" s="381"/>
      <c r="G37" s="381"/>
      <c r="H37" s="381"/>
      <c r="I37" s="74"/>
    </row>
    <row r="38" spans="2:9" s="4" customFormat="1" ht="15" customHeight="1" x14ac:dyDescent="0.25">
      <c r="B38" s="373" t="s">
        <v>78</v>
      </c>
      <c r="C38" s="374"/>
      <c r="D38" s="374"/>
      <c r="E38" s="374"/>
      <c r="F38" s="374"/>
      <c r="G38" s="374"/>
      <c r="H38" s="375"/>
      <c r="I38" s="19">
        <f>SUM(I36:I37)</f>
        <v>0</v>
      </c>
    </row>
    <row r="39" spans="2:9" ht="5.0999999999999996" customHeight="1" x14ac:dyDescent="0.25">
      <c r="B39" s="110"/>
      <c r="C39" s="110"/>
      <c r="D39" s="110"/>
      <c r="E39" s="110"/>
      <c r="F39" s="110"/>
      <c r="G39" s="110"/>
      <c r="H39" s="110"/>
      <c r="I39" s="110"/>
    </row>
    <row r="40" spans="2:9" s="4" customFormat="1" ht="15" customHeight="1" x14ac:dyDescent="0.25">
      <c r="B40" s="373" t="s">
        <v>82</v>
      </c>
      <c r="C40" s="374"/>
      <c r="D40" s="374"/>
      <c r="E40" s="374"/>
      <c r="F40" s="374"/>
      <c r="G40" s="374"/>
      <c r="H40" s="375"/>
      <c r="I40" s="19">
        <f>I26+I32+I38</f>
        <v>8.3800000000000008</v>
      </c>
    </row>
  </sheetData>
  <mergeCells count="51">
    <mergeCell ref="B40:H40"/>
    <mergeCell ref="I34:I35"/>
    <mergeCell ref="E36:F36"/>
    <mergeCell ref="G36:H36"/>
    <mergeCell ref="E37:F37"/>
    <mergeCell ref="G37:H37"/>
    <mergeCell ref="B38:H38"/>
    <mergeCell ref="B32:H32"/>
    <mergeCell ref="B34:B35"/>
    <mergeCell ref="C34:C35"/>
    <mergeCell ref="D34:D35"/>
    <mergeCell ref="E34:F35"/>
    <mergeCell ref="G34:H35"/>
    <mergeCell ref="I28:I29"/>
    <mergeCell ref="E30:F30"/>
    <mergeCell ref="G30:H30"/>
    <mergeCell ref="E31:F31"/>
    <mergeCell ref="G31:H31"/>
    <mergeCell ref="B24:H24"/>
    <mergeCell ref="B26:H26"/>
    <mergeCell ref="B28:B29"/>
    <mergeCell ref="C28:C29"/>
    <mergeCell ref="D28:D29"/>
    <mergeCell ref="E28:F29"/>
    <mergeCell ref="G28:H29"/>
    <mergeCell ref="I18:I19"/>
    <mergeCell ref="E20:F20"/>
    <mergeCell ref="G20:H20"/>
    <mergeCell ref="E21:F21"/>
    <mergeCell ref="G21:H21"/>
    <mergeCell ref="B22:H22"/>
    <mergeCell ref="B16:H16"/>
    <mergeCell ref="B18:B19"/>
    <mergeCell ref="C18:C19"/>
    <mergeCell ref="D18:D19"/>
    <mergeCell ref="E18:F19"/>
    <mergeCell ref="G18:H19"/>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B1:O42"/>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14.1" customHeight="1" x14ac:dyDescent="0.25">
      <c r="B11" s="85" t="s">
        <v>601</v>
      </c>
      <c r="C11" s="370" t="s">
        <v>564</v>
      </c>
      <c r="D11" s="371"/>
      <c r="E11" s="371"/>
      <c r="F11" s="372"/>
      <c r="G11" s="78" t="s">
        <v>15</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14.1" customHeight="1" x14ac:dyDescent="0.25">
      <c r="B15" s="109"/>
      <c r="C15" s="105"/>
      <c r="D15" s="95"/>
      <c r="E15" s="95"/>
      <c r="F15" s="95"/>
      <c r="G15" s="95"/>
      <c r="H15" s="112"/>
      <c r="I15" s="95"/>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0</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11" customFormat="1" ht="14.1" customHeight="1" x14ac:dyDescent="0.25">
      <c r="B21" s="109"/>
      <c r="C21" s="105"/>
      <c r="D21" s="94"/>
      <c r="E21" s="380"/>
      <c r="F21" s="380"/>
      <c r="G21" s="380"/>
      <c r="H21" s="380"/>
      <c r="I21" s="95"/>
    </row>
    <row r="22" spans="2:9" s="4" customFormat="1" ht="14.1" customHeight="1" x14ac:dyDescent="0.25">
      <c r="B22" s="72"/>
      <c r="C22" s="73"/>
      <c r="D22" s="99"/>
      <c r="E22" s="381"/>
      <c r="F22" s="381"/>
      <c r="G22" s="381"/>
      <c r="H22" s="381"/>
      <c r="I22" s="74"/>
    </row>
    <row r="23" spans="2:9" s="4" customFormat="1" ht="15" customHeight="1" x14ac:dyDescent="0.25">
      <c r="B23" s="373" t="s">
        <v>74</v>
      </c>
      <c r="C23" s="374"/>
      <c r="D23" s="374"/>
      <c r="E23" s="374"/>
      <c r="F23" s="374"/>
      <c r="G23" s="374"/>
      <c r="H23" s="375"/>
      <c r="I23" s="19">
        <f>SUM(I21:I22)</f>
        <v>0</v>
      </c>
    </row>
    <row r="24" spans="2:9" s="4" customFormat="1" ht="5.0999999999999996" customHeight="1" x14ac:dyDescent="0.25">
      <c r="B24" s="12"/>
      <c r="C24" s="11"/>
      <c r="D24" s="11"/>
      <c r="E24" s="11"/>
      <c r="F24" s="11"/>
      <c r="G24" s="11"/>
      <c r="H24" s="11"/>
      <c r="I24" s="11"/>
    </row>
    <row r="25" spans="2:9" s="4" customFormat="1" ht="15" customHeight="1" x14ac:dyDescent="0.25">
      <c r="B25" s="373" t="s">
        <v>75</v>
      </c>
      <c r="C25" s="374"/>
      <c r="D25" s="374"/>
      <c r="E25" s="374"/>
      <c r="F25" s="374"/>
      <c r="G25" s="374"/>
      <c r="H25" s="375"/>
      <c r="I25" s="19">
        <f>I17+I23</f>
        <v>0</v>
      </c>
    </row>
    <row r="26" spans="2:9" ht="5.0999999999999996" customHeight="1" x14ac:dyDescent="0.25">
      <c r="B26" s="110"/>
      <c r="C26" s="110"/>
      <c r="D26" s="110"/>
      <c r="E26" s="110"/>
      <c r="F26" s="110"/>
      <c r="G26" s="110"/>
      <c r="H26" s="110"/>
      <c r="I26" s="110"/>
    </row>
    <row r="27" spans="2:9" s="4" customFormat="1" ht="15" customHeight="1" x14ac:dyDescent="0.25">
      <c r="B27" s="373" t="s">
        <v>76</v>
      </c>
      <c r="C27" s="374"/>
      <c r="D27" s="374"/>
      <c r="E27" s="374"/>
      <c r="F27" s="374"/>
      <c r="G27" s="374"/>
      <c r="H27" s="375"/>
      <c r="I27" s="19">
        <f>ROUND((I25/H11),2)</f>
        <v>0</v>
      </c>
    </row>
    <row r="28" spans="2:9" ht="5.0999999999999996" customHeight="1" x14ac:dyDescent="0.25">
      <c r="B28" s="110"/>
      <c r="C28" s="110"/>
      <c r="D28" s="110"/>
      <c r="E28" s="110"/>
      <c r="F28" s="110"/>
      <c r="G28" s="110"/>
      <c r="H28" s="110"/>
      <c r="I28" s="110"/>
    </row>
    <row r="29" spans="2:9" ht="14.1" customHeight="1" x14ac:dyDescent="0.25">
      <c r="B29" s="362" t="s">
        <v>8</v>
      </c>
      <c r="C29" s="383" t="s">
        <v>84</v>
      </c>
      <c r="D29" s="362" t="s">
        <v>58</v>
      </c>
      <c r="E29" s="376" t="s">
        <v>80</v>
      </c>
      <c r="F29" s="377"/>
      <c r="G29" s="376" t="s">
        <v>68</v>
      </c>
      <c r="H29" s="377"/>
      <c r="I29" s="362" t="s">
        <v>81</v>
      </c>
    </row>
    <row r="30" spans="2:9" ht="14.1" customHeight="1" x14ac:dyDescent="0.25">
      <c r="B30" s="340"/>
      <c r="C30" s="384"/>
      <c r="D30" s="340"/>
      <c r="E30" s="378"/>
      <c r="F30" s="379"/>
      <c r="G30" s="378"/>
      <c r="H30" s="379"/>
      <c r="I30" s="340"/>
    </row>
    <row r="31" spans="2:9" s="4" customFormat="1" ht="14.1" customHeight="1" x14ac:dyDescent="0.25">
      <c r="B31" s="109">
        <v>101616</v>
      </c>
      <c r="C31" s="105" t="s">
        <v>370</v>
      </c>
      <c r="D31" s="94" t="s">
        <v>13</v>
      </c>
      <c r="E31" s="380">
        <v>6.08</v>
      </c>
      <c r="F31" s="380"/>
      <c r="G31" s="380">
        <f>TRUNC(((0.25+1.8+1.5+1.8+0.25)*1.5),2)</f>
        <v>8.4</v>
      </c>
      <c r="H31" s="380"/>
      <c r="I31" s="95">
        <f>TRUNC((E31*G31),2)</f>
        <v>51.07</v>
      </c>
    </row>
    <row r="32" spans="2:9" s="4" customFormat="1" ht="27.95" customHeight="1" x14ac:dyDescent="0.25">
      <c r="B32" s="63">
        <v>94990</v>
      </c>
      <c r="C32" s="65" t="s">
        <v>349</v>
      </c>
      <c r="D32" s="66" t="s">
        <v>16</v>
      </c>
      <c r="E32" s="382">
        <v>747.73</v>
      </c>
      <c r="F32" s="382"/>
      <c r="G32" s="382">
        <f>TRUNC((G31*0.07),2)</f>
        <v>0.57999999999999996</v>
      </c>
      <c r="H32" s="382"/>
      <c r="I32" s="64">
        <f>TRUNC((E32*G32),2)</f>
        <v>433.68</v>
      </c>
    </row>
    <row r="33" spans="2:9" s="4" customFormat="1" ht="14.1" customHeight="1" x14ac:dyDescent="0.25">
      <c r="B33" s="72"/>
      <c r="C33" s="73"/>
      <c r="D33" s="99"/>
      <c r="E33" s="381"/>
      <c r="F33" s="381"/>
      <c r="G33" s="381"/>
      <c r="H33" s="381"/>
      <c r="I33" s="74"/>
    </row>
    <row r="34" spans="2:9" s="4" customFormat="1" ht="15" customHeight="1" x14ac:dyDescent="0.25">
      <c r="B34" s="373" t="s">
        <v>77</v>
      </c>
      <c r="C34" s="374"/>
      <c r="D34" s="374"/>
      <c r="E34" s="374"/>
      <c r="F34" s="374"/>
      <c r="G34" s="374"/>
      <c r="H34" s="375"/>
      <c r="I34" s="19">
        <f>SUM(I31:I33)</f>
        <v>484.75</v>
      </c>
    </row>
    <row r="35" spans="2:9" ht="5.0999999999999996" customHeight="1" x14ac:dyDescent="0.25">
      <c r="B35" s="110"/>
      <c r="C35" s="110"/>
      <c r="D35" s="110"/>
      <c r="E35" s="110"/>
      <c r="F35" s="110"/>
      <c r="G35" s="110"/>
      <c r="H35" s="110"/>
      <c r="I35" s="110"/>
    </row>
    <row r="36" spans="2:9" ht="14.1" customHeight="1" x14ac:dyDescent="0.25">
      <c r="B36" s="341" t="s">
        <v>8</v>
      </c>
      <c r="C36" s="332" t="s">
        <v>79</v>
      </c>
      <c r="D36" s="341" t="s">
        <v>2</v>
      </c>
      <c r="E36" s="376" t="s">
        <v>80</v>
      </c>
      <c r="F36" s="377"/>
      <c r="G36" s="376" t="s">
        <v>68</v>
      </c>
      <c r="H36" s="377"/>
      <c r="I36" s="341" t="s">
        <v>81</v>
      </c>
    </row>
    <row r="37" spans="2:9" ht="14.1" customHeight="1" x14ac:dyDescent="0.25">
      <c r="B37" s="341"/>
      <c r="C37" s="332"/>
      <c r="D37" s="341"/>
      <c r="E37" s="378"/>
      <c r="F37" s="379"/>
      <c r="G37" s="378"/>
      <c r="H37" s="379"/>
      <c r="I37" s="341"/>
    </row>
    <row r="38" spans="2:9" s="4" customFormat="1" ht="14.1" customHeight="1" x14ac:dyDescent="0.25">
      <c r="B38" s="109"/>
      <c r="C38" s="105"/>
      <c r="D38" s="94"/>
      <c r="E38" s="380"/>
      <c r="F38" s="380"/>
      <c r="G38" s="380"/>
      <c r="H38" s="380"/>
      <c r="I38" s="95"/>
    </row>
    <row r="39" spans="2:9" s="4" customFormat="1" ht="14.1" customHeight="1" x14ac:dyDescent="0.25">
      <c r="B39" s="72"/>
      <c r="C39" s="73"/>
      <c r="D39" s="99"/>
      <c r="E39" s="381"/>
      <c r="F39" s="381"/>
      <c r="G39" s="381"/>
      <c r="H39" s="381"/>
      <c r="I39" s="74"/>
    </row>
    <row r="40" spans="2:9" s="4" customFormat="1" ht="15" customHeight="1" x14ac:dyDescent="0.25">
      <c r="B40" s="373" t="s">
        <v>78</v>
      </c>
      <c r="C40" s="374"/>
      <c r="D40" s="374"/>
      <c r="E40" s="374"/>
      <c r="F40" s="374"/>
      <c r="G40" s="374"/>
      <c r="H40" s="375"/>
      <c r="I40" s="19">
        <f>SUM(I38:I39)</f>
        <v>0</v>
      </c>
    </row>
    <row r="41" spans="2:9" ht="5.0999999999999996" customHeight="1" x14ac:dyDescent="0.25">
      <c r="B41" s="110"/>
      <c r="C41" s="110"/>
      <c r="D41" s="110"/>
      <c r="E41" s="110"/>
      <c r="F41" s="110"/>
      <c r="G41" s="110"/>
      <c r="H41" s="110"/>
      <c r="I41" s="110"/>
    </row>
    <row r="42" spans="2:9" s="4" customFormat="1" ht="15" customHeight="1" x14ac:dyDescent="0.25">
      <c r="B42" s="373" t="s">
        <v>82</v>
      </c>
      <c r="C42" s="374"/>
      <c r="D42" s="374"/>
      <c r="E42" s="374"/>
      <c r="F42" s="374"/>
      <c r="G42" s="374"/>
      <c r="H42" s="375"/>
      <c r="I42" s="19">
        <f>I27+I34+I40</f>
        <v>484.75</v>
      </c>
    </row>
  </sheetData>
  <mergeCells count="53">
    <mergeCell ref="B42:H42"/>
    <mergeCell ref="I36:I37"/>
    <mergeCell ref="E38:F38"/>
    <mergeCell ref="G38:H38"/>
    <mergeCell ref="E39:F39"/>
    <mergeCell ref="G39:H39"/>
    <mergeCell ref="B40:H40"/>
    <mergeCell ref="B34:H34"/>
    <mergeCell ref="B36:B37"/>
    <mergeCell ref="C36:C37"/>
    <mergeCell ref="D36:D37"/>
    <mergeCell ref="E36:F37"/>
    <mergeCell ref="G36:H37"/>
    <mergeCell ref="I29:I30"/>
    <mergeCell ref="E31:F31"/>
    <mergeCell ref="G31:H31"/>
    <mergeCell ref="E32:F32"/>
    <mergeCell ref="G32:H32"/>
    <mergeCell ref="E33:F33"/>
    <mergeCell ref="G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B1:O41"/>
  <sheetViews>
    <sheetView showGridLines="0" view="pageBreakPreview" topLeftCell="A4"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14.1" customHeight="1" x14ac:dyDescent="0.25">
      <c r="B11" s="85" t="s">
        <v>602</v>
      </c>
      <c r="C11" s="370" t="s">
        <v>519</v>
      </c>
      <c r="D11" s="371"/>
      <c r="E11" s="371"/>
      <c r="F11" s="372"/>
      <c r="G11" s="78" t="s">
        <v>14</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42" customHeight="1" x14ac:dyDescent="0.25">
      <c r="B15" s="109">
        <v>91283</v>
      </c>
      <c r="C15" s="105" t="s">
        <v>97</v>
      </c>
      <c r="D15" s="95">
        <v>10.96</v>
      </c>
      <c r="E15" s="95">
        <v>0</v>
      </c>
      <c r="F15" s="95">
        <v>1</v>
      </c>
      <c r="G15" s="95">
        <v>0.56000000000000005</v>
      </c>
      <c r="H15" s="95">
        <v>0</v>
      </c>
      <c r="I15" s="95">
        <f>TRUNC((D15*F15*G15),2)+TRUNC((E15*F15*H15),2)</f>
        <v>6.13</v>
      </c>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6.13</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11" customFormat="1" ht="14.1" customHeight="1" x14ac:dyDescent="0.25">
      <c r="B21" s="109">
        <v>88316</v>
      </c>
      <c r="C21" s="105" t="s">
        <v>72</v>
      </c>
      <c r="D21" s="94" t="s">
        <v>70</v>
      </c>
      <c r="E21" s="380">
        <v>20.96</v>
      </c>
      <c r="F21" s="380"/>
      <c r="G21" s="388">
        <v>8.3000000000000004E-2</v>
      </c>
      <c r="H21" s="388"/>
      <c r="I21" s="95">
        <f>TRUNC((E21*G21),2)</f>
        <v>1.73</v>
      </c>
    </row>
    <row r="22" spans="2:9" s="4" customFormat="1" ht="14.1" customHeight="1" x14ac:dyDescent="0.25">
      <c r="B22" s="72"/>
      <c r="C22" s="73"/>
      <c r="D22" s="99"/>
      <c r="E22" s="381"/>
      <c r="F22" s="381"/>
      <c r="G22" s="381"/>
      <c r="H22" s="381"/>
      <c r="I22" s="74"/>
    </row>
    <row r="23" spans="2:9" s="4" customFormat="1" ht="15" customHeight="1" x14ac:dyDescent="0.25">
      <c r="B23" s="373" t="s">
        <v>74</v>
      </c>
      <c r="C23" s="374"/>
      <c r="D23" s="374"/>
      <c r="E23" s="374"/>
      <c r="F23" s="374"/>
      <c r="G23" s="374"/>
      <c r="H23" s="375"/>
      <c r="I23" s="19">
        <f>SUM(I21:I22)</f>
        <v>1.73</v>
      </c>
    </row>
    <row r="24" spans="2:9" s="4" customFormat="1" ht="5.0999999999999996" customHeight="1" x14ac:dyDescent="0.25">
      <c r="B24" s="12"/>
      <c r="C24" s="11"/>
      <c r="D24" s="11"/>
      <c r="E24" s="11"/>
      <c r="F24" s="11"/>
      <c r="G24" s="11"/>
      <c r="H24" s="11"/>
      <c r="I24" s="11"/>
    </row>
    <row r="25" spans="2:9" s="4" customFormat="1" ht="15" customHeight="1" x14ac:dyDescent="0.25">
      <c r="B25" s="373" t="s">
        <v>75</v>
      </c>
      <c r="C25" s="374"/>
      <c r="D25" s="374"/>
      <c r="E25" s="374"/>
      <c r="F25" s="374"/>
      <c r="G25" s="374"/>
      <c r="H25" s="375"/>
      <c r="I25" s="19">
        <f>I17+I23</f>
        <v>7.8599999999999994</v>
      </c>
    </row>
    <row r="26" spans="2:9" ht="5.0999999999999996" customHeight="1" x14ac:dyDescent="0.25">
      <c r="B26" s="110"/>
      <c r="C26" s="110"/>
      <c r="D26" s="110"/>
      <c r="E26" s="110"/>
      <c r="F26" s="110"/>
      <c r="G26" s="110"/>
      <c r="H26" s="110"/>
      <c r="I26" s="110"/>
    </row>
    <row r="27" spans="2:9" s="4" customFormat="1" ht="15" customHeight="1" x14ac:dyDescent="0.25">
      <c r="B27" s="373" t="s">
        <v>76</v>
      </c>
      <c r="C27" s="374"/>
      <c r="D27" s="374"/>
      <c r="E27" s="374"/>
      <c r="F27" s="374"/>
      <c r="G27" s="374"/>
      <c r="H27" s="375"/>
      <c r="I27" s="19">
        <f>ROUND((I25/H11),2)</f>
        <v>7.86</v>
      </c>
    </row>
    <row r="28" spans="2:9" ht="5.0999999999999996" customHeight="1" x14ac:dyDescent="0.25">
      <c r="B28" s="110"/>
      <c r="C28" s="110"/>
      <c r="D28" s="110"/>
      <c r="E28" s="110"/>
      <c r="F28" s="110"/>
      <c r="G28" s="110"/>
      <c r="H28" s="110"/>
      <c r="I28" s="110"/>
    </row>
    <row r="29" spans="2:9" ht="14.1" customHeight="1" x14ac:dyDescent="0.25">
      <c r="B29" s="362" t="s">
        <v>8</v>
      </c>
      <c r="C29" s="383" t="s">
        <v>84</v>
      </c>
      <c r="D29" s="362" t="s">
        <v>58</v>
      </c>
      <c r="E29" s="376" t="s">
        <v>80</v>
      </c>
      <c r="F29" s="377"/>
      <c r="G29" s="376" t="s">
        <v>68</v>
      </c>
      <c r="H29" s="377"/>
      <c r="I29" s="362" t="s">
        <v>81</v>
      </c>
    </row>
    <row r="30" spans="2:9" ht="14.1" customHeight="1" x14ac:dyDescent="0.25">
      <c r="B30" s="340"/>
      <c r="C30" s="384"/>
      <c r="D30" s="340"/>
      <c r="E30" s="378"/>
      <c r="F30" s="379"/>
      <c r="G30" s="378"/>
      <c r="H30" s="379"/>
      <c r="I30" s="340"/>
    </row>
    <row r="31" spans="2:9" s="4" customFormat="1" ht="27.95" customHeight="1" x14ac:dyDescent="0.25">
      <c r="B31" s="109" t="s">
        <v>95</v>
      </c>
      <c r="C31" s="105" t="s">
        <v>96</v>
      </c>
      <c r="D31" s="111" t="s">
        <v>15</v>
      </c>
      <c r="E31" s="380">
        <v>458.83</v>
      </c>
      <c r="F31" s="380"/>
      <c r="G31" s="388">
        <v>2E-3</v>
      </c>
      <c r="H31" s="388"/>
      <c r="I31" s="95">
        <f>TRUNC((E31*G31),2)</f>
        <v>0.91</v>
      </c>
    </row>
    <row r="32" spans="2:9" s="4" customFormat="1" ht="14.1" customHeight="1" x14ac:dyDescent="0.25">
      <c r="B32" s="72"/>
      <c r="C32" s="73"/>
      <c r="D32" s="99"/>
      <c r="E32" s="381"/>
      <c r="F32" s="381"/>
      <c r="G32" s="381"/>
      <c r="H32" s="381"/>
      <c r="I32" s="74"/>
    </row>
    <row r="33" spans="2:9" s="4" customFormat="1" ht="15" customHeight="1" x14ac:dyDescent="0.25">
      <c r="B33" s="373" t="s">
        <v>77</v>
      </c>
      <c r="C33" s="374"/>
      <c r="D33" s="374"/>
      <c r="E33" s="374"/>
      <c r="F33" s="374"/>
      <c r="G33" s="374"/>
      <c r="H33" s="375"/>
      <c r="I33" s="19">
        <f>SUM(I31:I32)</f>
        <v>0.91</v>
      </c>
    </row>
    <row r="34" spans="2:9" ht="5.0999999999999996" customHeight="1" x14ac:dyDescent="0.25">
      <c r="B34" s="110"/>
      <c r="C34" s="110"/>
      <c r="D34" s="110"/>
      <c r="E34" s="110"/>
      <c r="F34" s="110"/>
      <c r="G34" s="110"/>
      <c r="H34" s="110"/>
      <c r="I34" s="110"/>
    </row>
    <row r="35" spans="2:9" ht="14.1" customHeight="1" x14ac:dyDescent="0.25">
      <c r="B35" s="341" t="s">
        <v>8</v>
      </c>
      <c r="C35" s="332" t="s">
        <v>79</v>
      </c>
      <c r="D35" s="341" t="s">
        <v>2</v>
      </c>
      <c r="E35" s="376" t="s">
        <v>80</v>
      </c>
      <c r="F35" s="377"/>
      <c r="G35" s="376" t="s">
        <v>68</v>
      </c>
      <c r="H35" s="377"/>
      <c r="I35" s="341" t="s">
        <v>81</v>
      </c>
    </row>
    <row r="36" spans="2:9" ht="14.1" customHeight="1" x14ac:dyDescent="0.25">
      <c r="B36" s="341"/>
      <c r="C36" s="332"/>
      <c r="D36" s="341"/>
      <c r="E36" s="378"/>
      <c r="F36" s="379"/>
      <c r="G36" s="378"/>
      <c r="H36" s="379"/>
      <c r="I36" s="341"/>
    </row>
    <row r="37" spans="2:9" s="4" customFormat="1" ht="14.1" customHeight="1" x14ac:dyDescent="0.25">
      <c r="B37" s="109"/>
      <c r="C37" s="105"/>
      <c r="D37" s="94"/>
      <c r="E37" s="380"/>
      <c r="F37" s="380"/>
      <c r="G37" s="380"/>
      <c r="H37" s="380"/>
      <c r="I37" s="95"/>
    </row>
    <row r="38" spans="2:9" s="4" customFormat="1" ht="14.1" customHeight="1" x14ac:dyDescent="0.25">
      <c r="B38" s="72"/>
      <c r="C38" s="73"/>
      <c r="D38" s="99"/>
      <c r="E38" s="381"/>
      <c r="F38" s="381"/>
      <c r="G38" s="381"/>
      <c r="H38" s="381"/>
      <c r="I38" s="74"/>
    </row>
    <row r="39" spans="2:9" s="4" customFormat="1" ht="15" customHeight="1" x14ac:dyDescent="0.25">
      <c r="B39" s="373" t="s">
        <v>78</v>
      </c>
      <c r="C39" s="374"/>
      <c r="D39" s="374"/>
      <c r="E39" s="374"/>
      <c r="F39" s="374"/>
      <c r="G39" s="374"/>
      <c r="H39" s="375"/>
      <c r="I39" s="19">
        <f>SUM(I37:I38)</f>
        <v>0</v>
      </c>
    </row>
    <row r="40" spans="2:9" ht="5.0999999999999996" customHeight="1" x14ac:dyDescent="0.25">
      <c r="B40" s="110"/>
      <c r="C40" s="110"/>
      <c r="D40" s="110"/>
      <c r="E40" s="110"/>
      <c r="F40" s="110"/>
      <c r="G40" s="110"/>
      <c r="H40" s="110"/>
      <c r="I40" s="110"/>
    </row>
    <row r="41" spans="2:9" s="4" customFormat="1" ht="15" customHeight="1" x14ac:dyDescent="0.25">
      <c r="B41" s="373" t="s">
        <v>82</v>
      </c>
      <c r="C41" s="374"/>
      <c r="D41" s="374"/>
      <c r="E41" s="374"/>
      <c r="F41" s="374"/>
      <c r="G41" s="374"/>
      <c r="H41" s="375"/>
      <c r="I41" s="19">
        <f>I27+I33+I39</f>
        <v>8.77</v>
      </c>
    </row>
  </sheetData>
  <mergeCells count="51">
    <mergeCell ref="B41:H41"/>
    <mergeCell ref="B35:B36"/>
    <mergeCell ref="C35:C36"/>
    <mergeCell ref="D35:D36"/>
    <mergeCell ref="E35:F36"/>
    <mergeCell ref="G35:H36"/>
    <mergeCell ref="E37:F37"/>
    <mergeCell ref="G37:H37"/>
    <mergeCell ref="E38:F38"/>
    <mergeCell ref="G38:H38"/>
    <mergeCell ref="B39:H39"/>
    <mergeCell ref="I35:I36"/>
    <mergeCell ref="I29:I30"/>
    <mergeCell ref="E31:F31"/>
    <mergeCell ref="G31:H31"/>
    <mergeCell ref="E32:F32"/>
    <mergeCell ref="G32:H32"/>
    <mergeCell ref="B33:H33"/>
    <mergeCell ref="B23:H23"/>
    <mergeCell ref="B25:H25"/>
    <mergeCell ref="B27:H27"/>
    <mergeCell ref="B29:B30"/>
    <mergeCell ref="C29:C30"/>
    <mergeCell ref="D29:D30"/>
    <mergeCell ref="E29:F30"/>
    <mergeCell ref="G29:H30"/>
    <mergeCell ref="I19:I20"/>
    <mergeCell ref="E21:F21"/>
    <mergeCell ref="G21:H21"/>
    <mergeCell ref="E22:F22"/>
    <mergeCell ref="G22:H22"/>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B1:O47"/>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27.95" customHeight="1" x14ac:dyDescent="0.25">
      <c r="B11" s="85" t="s">
        <v>603</v>
      </c>
      <c r="C11" s="370" t="s">
        <v>104</v>
      </c>
      <c r="D11" s="371"/>
      <c r="E11" s="371"/>
      <c r="F11" s="372"/>
      <c r="G11" s="78" t="s">
        <v>15</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42" customHeight="1" x14ac:dyDescent="0.25">
      <c r="B15" s="109">
        <v>73467</v>
      </c>
      <c r="C15" s="105" t="s">
        <v>105</v>
      </c>
      <c r="D15" s="95">
        <v>243.47</v>
      </c>
      <c r="E15" s="95">
        <v>0</v>
      </c>
      <c r="F15" s="95">
        <v>1</v>
      </c>
      <c r="G15" s="95">
        <v>0.01</v>
      </c>
      <c r="H15" s="95">
        <v>0</v>
      </c>
      <c r="I15" s="95">
        <f>TRUNC((D15*F15*G15),2)+TRUNC((E15*F15*H15),2)</f>
        <v>2.4300000000000002</v>
      </c>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2.4300000000000002</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11" customFormat="1" ht="14.1" customHeight="1" x14ac:dyDescent="0.25">
      <c r="B21" s="109">
        <v>88309</v>
      </c>
      <c r="C21" s="105" t="s">
        <v>73</v>
      </c>
      <c r="D21" s="94" t="s">
        <v>70</v>
      </c>
      <c r="E21" s="380">
        <v>26.04</v>
      </c>
      <c r="F21" s="380"/>
      <c r="G21" s="380">
        <v>0.2</v>
      </c>
      <c r="H21" s="380"/>
      <c r="I21" s="95">
        <f>TRUNC((E21*G21),2)</f>
        <v>5.2</v>
      </c>
    </row>
    <row r="22" spans="2:9" s="11" customFormat="1" ht="14.1" customHeight="1" x14ac:dyDescent="0.25">
      <c r="B22" s="63">
        <v>88316</v>
      </c>
      <c r="C22" s="65" t="s">
        <v>72</v>
      </c>
      <c r="D22" s="66" t="s">
        <v>70</v>
      </c>
      <c r="E22" s="382">
        <v>20.96</v>
      </c>
      <c r="F22" s="382"/>
      <c r="G22" s="382">
        <v>0.2</v>
      </c>
      <c r="H22" s="382"/>
      <c r="I22" s="64">
        <f>TRUNC((E22*G22),2)</f>
        <v>4.1900000000000004</v>
      </c>
    </row>
    <row r="23" spans="2:9" s="4" customFormat="1" ht="14.1" customHeight="1" x14ac:dyDescent="0.25">
      <c r="B23" s="72"/>
      <c r="C23" s="73"/>
      <c r="D23" s="99"/>
      <c r="E23" s="381"/>
      <c r="F23" s="381"/>
      <c r="G23" s="381"/>
      <c r="H23" s="381"/>
      <c r="I23" s="74"/>
    </row>
    <row r="24" spans="2:9" s="4" customFormat="1" ht="15" customHeight="1" x14ac:dyDescent="0.25">
      <c r="B24" s="373" t="s">
        <v>74</v>
      </c>
      <c r="C24" s="374"/>
      <c r="D24" s="374"/>
      <c r="E24" s="374"/>
      <c r="F24" s="374"/>
      <c r="G24" s="374"/>
      <c r="H24" s="375"/>
      <c r="I24" s="19">
        <f>SUM(I21:I23)</f>
        <v>9.39</v>
      </c>
    </row>
    <row r="25" spans="2:9" s="4" customFormat="1" ht="5.0999999999999996" customHeight="1" x14ac:dyDescent="0.25">
      <c r="B25" s="12"/>
      <c r="C25" s="11"/>
      <c r="D25" s="11"/>
      <c r="E25" s="11"/>
      <c r="F25" s="11"/>
      <c r="G25" s="11"/>
      <c r="H25" s="11"/>
      <c r="I25" s="11"/>
    </row>
    <row r="26" spans="2:9" s="4" customFormat="1" ht="15" customHeight="1" x14ac:dyDescent="0.25">
      <c r="B26" s="373" t="s">
        <v>75</v>
      </c>
      <c r="C26" s="374"/>
      <c r="D26" s="374"/>
      <c r="E26" s="374"/>
      <c r="F26" s="374"/>
      <c r="G26" s="374"/>
      <c r="H26" s="375"/>
      <c r="I26" s="19">
        <f>I17+I24</f>
        <v>11.82</v>
      </c>
    </row>
    <row r="27" spans="2:9" ht="5.0999999999999996" customHeight="1" x14ac:dyDescent="0.25">
      <c r="B27" s="110"/>
      <c r="C27" s="110"/>
      <c r="D27" s="110"/>
      <c r="E27" s="110"/>
      <c r="F27" s="110"/>
      <c r="G27" s="110"/>
      <c r="H27" s="110"/>
      <c r="I27" s="110"/>
    </row>
    <row r="28" spans="2:9" s="4" customFormat="1" ht="15" customHeight="1" x14ac:dyDescent="0.25">
      <c r="B28" s="373" t="s">
        <v>76</v>
      </c>
      <c r="C28" s="374"/>
      <c r="D28" s="374"/>
      <c r="E28" s="374"/>
      <c r="F28" s="374"/>
      <c r="G28" s="374"/>
      <c r="H28" s="375"/>
      <c r="I28" s="19">
        <f>ROUND((I26/H11),2)</f>
        <v>11.82</v>
      </c>
    </row>
    <row r="29" spans="2:9" ht="5.0999999999999996" customHeight="1" x14ac:dyDescent="0.25">
      <c r="B29" s="110"/>
      <c r="C29" s="110"/>
      <c r="D29" s="110"/>
      <c r="E29" s="110"/>
      <c r="F29" s="110"/>
      <c r="G29" s="110"/>
      <c r="H29" s="110"/>
      <c r="I29" s="110"/>
    </row>
    <row r="30" spans="2:9" ht="14.1" customHeight="1" x14ac:dyDescent="0.25">
      <c r="B30" s="341" t="s">
        <v>8</v>
      </c>
      <c r="C30" s="332" t="s">
        <v>84</v>
      </c>
      <c r="D30" s="341" t="s">
        <v>58</v>
      </c>
      <c r="E30" s="376" t="s">
        <v>80</v>
      </c>
      <c r="F30" s="377"/>
      <c r="G30" s="376" t="s">
        <v>68</v>
      </c>
      <c r="H30" s="377"/>
      <c r="I30" s="341" t="s">
        <v>81</v>
      </c>
    </row>
    <row r="31" spans="2:9" ht="14.1" customHeight="1" x14ac:dyDescent="0.25">
      <c r="B31" s="341"/>
      <c r="C31" s="332"/>
      <c r="D31" s="341"/>
      <c r="E31" s="378"/>
      <c r="F31" s="379"/>
      <c r="G31" s="378"/>
      <c r="H31" s="379"/>
      <c r="I31" s="341"/>
    </row>
    <row r="32" spans="2:9" s="4" customFormat="1" ht="27.95" customHeight="1" x14ac:dyDescent="0.25">
      <c r="B32" s="109" t="s">
        <v>83</v>
      </c>
      <c r="C32" s="105" t="s">
        <v>511</v>
      </c>
      <c r="D32" s="94" t="s">
        <v>14</v>
      </c>
      <c r="E32" s="380">
        <v>29.04</v>
      </c>
      <c r="F32" s="380"/>
      <c r="G32" s="380">
        <v>3.2</v>
      </c>
      <c r="H32" s="380"/>
      <c r="I32" s="95">
        <f>TRUNC((E32*G32),2)</f>
        <v>92.92</v>
      </c>
    </row>
    <row r="33" spans="2:9" s="4" customFormat="1" ht="14.1" customHeight="1" x14ac:dyDescent="0.25">
      <c r="B33" s="63" t="s">
        <v>106</v>
      </c>
      <c r="C33" s="65" t="s">
        <v>107</v>
      </c>
      <c r="D33" s="66" t="s">
        <v>13</v>
      </c>
      <c r="E33" s="382">
        <v>924</v>
      </c>
      <c r="F33" s="382"/>
      <c r="G33" s="382">
        <v>0.36</v>
      </c>
      <c r="H33" s="382"/>
      <c r="I33" s="64">
        <f>TRUNC((E33*G33),2)</f>
        <v>332.64</v>
      </c>
    </row>
    <row r="34" spans="2:9" s="4" customFormat="1" ht="27.95" customHeight="1" x14ac:dyDescent="0.25">
      <c r="B34" s="63">
        <v>94963</v>
      </c>
      <c r="C34" s="65" t="s">
        <v>88</v>
      </c>
      <c r="D34" s="66" t="s">
        <v>16</v>
      </c>
      <c r="E34" s="382">
        <v>429.37</v>
      </c>
      <c r="F34" s="382"/>
      <c r="G34" s="382">
        <v>0.03</v>
      </c>
      <c r="H34" s="382"/>
      <c r="I34" s="64">
        <f t="shared" ref="I34:I37" si="0">TRUNC((E34*G34),2)</f>
        <v>12.88</v>
      </c>
    </row>
    <row r="35" spans="2:9" s="4" customFormat="1" ht="14.1" customHeight="1" x14ac:dyDescent="0.25">
      <c r="B35" s="63">
        <v>93358</v>
      </c>
      <c r="C35" s="65" t="s">
        <v>43</v>
      </c>
      <c r="D35" s="66" t="s">
        <v>16</v>
      </c>
      <c r="E35" s="382">
        <v>82.91</v>
      </c>
      <c r="F35" s="382"/>
      <c r="G35" s="382">
        <v>0.03</v>
      </c>
      <c r="H35" s="382"/>
      <c r="I35" s="64">
        <f t="shared" si="0"/>
        <v>2.48</v>
      </c>
    </row>
    <row r="36" spans="2:9" s="4" customFormat="1" ht="27.95" customHeight="1" x14ac:dyDescent="0.25">
      <c r="B36" s="63">
        <v>103670</v>
      </c>
      <c r="C36" s="65" t="s">
        <v>356</v>
      </c>
      <c r="D36" s="66" t="s">
        <v>16</v>
      </c>
      <c r="E36" s="382">
        <v>284.02999999999997</v>
      </c>
      <c r="F36" s="382"/>
      <c r="G36" s="382">
        <v>0.03</v>
      </c>
      <c r="H36" s="382"/>
      <c r="I36" s="64">
        <f t="shared" si="0"/>
        <v>8.52</v>
      </c>
    </row>
    <row r="37" spans="2:9" s="4" customFormat="1" ht="42" customHeight="1" x14ac:dyDescent="0.25">
      <c r="B37" s="63">
        <v>100726</v>
      </c>
      <c r="C37" s="65" t="s">
        <v>522</v>
      </c>
      <c r="D37" s="66" t="s">
        <v>13</v>
      </c>
      <c r="E37" s="382">
        <v>26.05</v>
      </c>
      <c r="F37" s="382"/>
      <c r="G37" s="382">
        <v>0.5</v>
      </c>
      <c r="H37" s="382"/>
      <c r="I37" s="64">
        <f t="shared" si="0"/>
        <v>13.02</v>
      </c>
    </row>
    <row r="38" spans="2:9" s="4" customFormat="1" ht="14.1" customHeight="1" x14ac:dyDescent="0.25">
      <c r="B38" s="72"/>
      <c r="C38" s="73"/>
      <c r="D38" s="99"/>
      <c r="E38" s="381"/>
      <c r="F38" s="381"/>
      <c r="G38" s="381"/>
      <c r="H38" s="381"/>
      <c r="I38" s="74"/>
    </row>
    <row r="39" spans="2:9" s="4" customFormat="1" ht="15" customHeight="1" x14ac:dyDescent="0.25">
      <c r="B39" s="373" t="s">
        <v>77</v>
      </c>
      <c r="C39" s="374"/>
      <c r="D39" s="374"/>
      <c r="E39" s="374"/>
      <c r="F39" s="374"/>
      <c r="G39" s="374"/>
      <c r="H39" s="375"/>
      <c r="I39" s="19">
        <f>SUM(I32:I38)</f>
        <v>462.46</v>
      </c>
    </row>
    <row r="40" spans="2:9" ht="5.0999999999999996" customHeight="1" x14ac:dyDescent="0.25">
      <c r="B40" s="110"/>
      <c r="C40" s="110"/>
      <c r="D40" s="110"/>
      <c r="E40" s="110"/>
      <c r="F40" s="110"/>
      <c r="G40" s="110"/>
      <c r="H40" s="110"/>
      <c r="I40" s="110"/>
    </row>
    <row r="41" spans="2:9" ht="14.1" customHeight="1" x14ac:dyDescent="0.25">
      <c r="B41" s="341" t="s">
        <v>8</v>
      </c>
      <c r="C41" s="332" t="s">
        <v>79</v>
      </c>
      <c r="D41" s="341" t="s">
        <v>2</v>
      </c>
      <c r="E41" s="376" t="s">
        <v>80</v>
      </c>
      <c r="F41" s="377"/>
      <c r="G41" s="376" t="s">
        <v>68</v>
      </c>
      <c r="H41" s="377"/>
      <c r="I41" s="341" t="s">
        <v>81</v>
      </c>
    </row>
    <row r="42" spans="2:9" ht="14.1" customHeight="1" x14ac:dyDescent="0.25">
      <c r="B42" s="341"/>
      <c r="C42" s="332"/>
      <c r="D42" s="341"/>
      <c r="E42" s="378"/>
      <c r="F42" s="379"/>
      <c r="G42" s="378"/>
      <c r="H42" s="379"/>
      <c r="I42" s="341"/>
    </row>
    <row r="43" spans="2:9" s="4" customFormat="1" ht="14.1" customHeight="1" x14ac:dyDescent="0.25">
      <c r="B43" s="109"/>
      <c r="C43" s="105"/>
      <c r="D43" s="94"/>
      <c r="E43" s="380"/>
      <c r="F43" s="380"/>
      <c r="G43" s="380"/>
      <c r="H43" s="380"/>
      <c r="I43" s="95"/>
    </row>
    <row r="44" spans="2:9" s="4" customFormat="1" ht="14.1" customHeight="1" x14ac:dyDescent="0.25">
      <c r="B44" s="72"/>
      <c r="C44" s="73"/>
      <c r="D44" s="99"/>
      <c r="E44" s="381"/>
      <c r="F44" s="381"/>
      <c r="G44" s="381"/>
      <c r="H44" s="381"/>
      <c r="I44" s="74"/>
    </row>
    <row r="45" spans="2:9" s="4" customFormat="1" ht="15" customHeight="1" x14ac:dyDescent="0.25">
      <c r="B45" s="373" t="s">
        <v>78</v>
      </c>
      <c r="C45" s="374"/>
      <c r="D45" s="374"/>
      <c r="E45" s="374"/>
      <c r="F45" s="374"/>
      <c r="G45" s="374"/>
      <c r="H45" s="375"/>
      <c r="I45" s="19">
        <f>SUM(I43:I44)</f>
        <v>0</v>
      </c>
    </row>
    <row r="46" spans="2:9" ht="5.0999999999999996" customHeight="1" x14ac:dyDescent="0.25">
      <c r="B46" s="110"/>
      <c r="C46" s="110"/>
      <c r="D46" s="110"/>
      <c r="E46" s="110"/>
      <c r="F46" s="110"/>
      <c r="G46" s="110"/>
      <c r="H46" s="110"/>
      <c r="I46" s="110"/>
    </row>
    <row r="47" spans="2:9" s="4" customFormat="1" ht="15" customHeight="1" x14ac:dyDescent="0.25">
      <c r="B47" s="373" t="s">
        <v>82</v>
      </c>
      <c r="C47" s="374"/>
      <c r="D47" s="374"/>
      <c r="E47" s="374"/>
      <c r="F47" s="374"/>
      <c r="G47" s="374"/>
      <c r="H47" s="375"/>
      <c r="I47" s="19">
        <f>I28+I39+I45</f>
        <v>474.28</v>
      </c>
    </row>
  </sheetData>
  <mergeCells count="63">
    <mergeCell ref="B47:H47"/>
    <mergeCell ref="E22:F22"/>
    <mergeCell ref="G22:H22"/>
    <mergeCell ref="E33:F33"/>
    <mergeCell ref="G33:H33"/>
    <mergeCell ref="E34:F34"/>
    <mergeCell ref="G34:H34"/>
    <mergeCell ref="E35:F35"/>
    <mergeCell ref="G35:H35"/>
    <mergeCell ref="E36:F36"/>
    <mergeCell ref="B45:H45"/>
    <mergeCell ref="B39:H39"/>
    <mergeCell ref="B41:B42"/>
    <mergeCell ref="C41:C42"/>
    <mergeCell ref="D41:D42"/>
    <mergeCell ref="B26:H26"/>
    <mergeCell ref="I41:I42"/>
    <mergeCell ref="E43:F43"/>
    <mergeCell ref="G43:H43"/>
    <mergeCell ref="E44:F44"/>
    <mergeCell ref="G44:H44"/>
    <mergeCell ref="E41:F42"/>
    <mergeCell ref="G41:H42"/>
    <mergeCell ref="I30:I31"/>
    <mergeCell ref="E32:F32"/>
    <mergeCell ref="G32:H32"/>
    <mergeCell ref="E38:F38"/>
    <mergeCell ref="G38:H38"/>
    <mergeCell ref="G36:H36"/>
    <mergeCell ref="E37:F37"/>
    <mergeCell ref="G37:H37"/>
    <mergeCell ref="B28:H28"/>
    <mergeCell ref="B30:B31"/>
    <mergeCell ref="C30:C31"/>
    <mergeCell ref="D30:D31"/>
    <mergeCell ref="E30:F31"/>
    <mergeCell ref="G30:H31"/>
    <mergeCell ref="I19:I20"/>
    <mergeCell ref="E21:F21"/>
    <mergeCell ref="G21:H21"/>
    <mergeCell ref="E23:F23"/>
    <mergeCell ref="G23:H23"/>
    <mergeCell ref="B24:H24"/>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B1:O42"/>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14.1" customHeight="1" x14ac:dyDescent="0.25">
      <c r="B11" s="85" t="s">
        <v>604</v>
      </c>
      <c r="C11" s="370" t="s">
        <v>55</v>
      </c>
      <c r="D11" s="371"/>
      <c r="E11" s="371"/>
      <c r="F11" s="372"/>
      <c r="G11" s="78" t="s">
        <v>15</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14.1" customHeight="1" x14ac:dyDescent="0.25">
      <c r="B15" s="109"/>
      <c r="C15" s="105"/>
      <c r="D15" s="95"/>
      <c r="E15" s="95"/>
      <c r="F15" s="95"/>
      <c r="G15" s="113"/>
      <c r="H15" s="113"/>
      <c r="I15" s="95"/>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0</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11" customFormat="1" ht="14.1" customHeight="1" x14ac:dyDescent="0.25">
      <c r="B21" s="109">
        <v>88316</v>
      </c>
      <c r="C21" s="105" t="s">
        <v>72</v>
      </c>
      <c r="D21" s="94" t="s">
        <v>70</v>
      </c>
      <c r="E21" s="380">
        <v>20.96</v>
      </c>
      <c r="F21" s="380"/>
      <c r="G21" s="380">
        <v>0.4</v>
      </c>
      <c r="H21" s="380"/>
      <c r="I21" s="95">
        <f>TRUNC((E21*G21),2)</f>
        <v>8.3800000000000008</v>
      </c>
    </row>
    <row r="22" spans="2:9" s="4" customFormat="1" ht="14.1" customHeight="1" x14ac:dyDescent="0.25">
      <c r="B22" s="72"/>
      <c r="C22" s="73"/>
      <c r="D22" s="99"/>
      <c r="E22" s="381"/>
      <c r="F22" s="381"/>
      <c r="G22" s="381"/>
      <c r="H22" s="381"/>
      <c r="I22" s="74"/>
    </row>
    <row r="23" spans="2:9" s="4" customFormat="1" ht="15" customHeight="1" x14ac:dyDescent="0.25">
      <c r="B23" s="373" t="s">
        <v>74</v>
      </c>
      <c r="C23" s="374"/>
      <c r="D23" s="374"/>
      <c r="E23" s="374"/>
      <c r="F23" s="374"/>
      <c r="G23" s="374"/>
      <c r="H23" s="375"/>
      <c r="I23" s="19">
        <f>SUM(I21:I22)</f>
        <v>8.3800000000000008</v>
      </c>
    </row>
    <row r="24" spans="2:9" s="4" customFormat="1" ht="5.0999999999999996" customHeight="1" x14ac:dyDescent="0.25">
      <c r="B24" s="12"/>
      <c r="C24" s="11"/>
      <c r="D24" s="11"/>
      <c r="E24" s="11"/>
      <c r="F24" s="11"/>
      <c r="G24" s="11"/>
      <c r="H24" s="11"/>
      <c r="I24" s="11"/>
    </row>
    <row r="25" spans="2:9" s="4" customFormat="1" ht="15" customHeight="1" x14ac:dyDescent="0.25">
      <c r="B25" s="373" t="s">
        <v>75</v>
      </c>
      <c r="C25" s="374"/>
      <c r="D25" s="374"/>
      <c r="E25" s="374"/>
      <c r="F25" s="374"/>
      <c r="G25" s="374"/>
      <c r="H25" s="375"/>
      <c r="I25" s="19">
        <f>I17+I23</f>
        <v>8.3800000000000008</v>
      </c>
    </row>
    <row r="26" spans="2:9" ht="5.0999999999999996" customHeight="1" x14ac:dyDescent="0.25">
      <c r="B26" s="110"/>
      <c r="C26" s="110"/>
      <c r="D26" s="110"/>
      <c r="E26" s="110"/>
      <c r="F26" s="110"/>
      <c r="G26" s="110"/>
      <c r="H26" s="110"/>
      <c r="I26" s="110"/>
    </row>
    <row r="27" spans="2:9" s="4" customFormat="1" ht="15" customHeight="1" x14ac:dyDescent="0.25">
      <c r="B27" s="373" t="s">
        <v>76</v>
      </c>
      <c r="C27" s="374"/>
      <c r="D27" s="374"/>
      <c r="E27" s="374"/>
      <c r="F27" s="374"/>
      <c r="G27" s="374"/>
      <c r="H27" s="375"/>
      <c r="I27" s="19">
        <f>ROUND((I25/H11),2)</f>
        <v>8.3800000000000008</v>
      </c>
    </row>
    <row r="28" spans="2:9" ht="5.0999999999999996" customHeight="1" x14ac:dyDescent="0.25">
      <c r="B28" s="110"/>
      <c r="C28" s="110"/>
      <c r="D28" s="110"/>
      <c r="E28" s="110"/>
      <c r="F28" s="110"/>
      <c r="G28" s="110"/>
      <c r="H28" s="110"/>
      <c r="I28" s="110"/>
    </row>
    <row r="29" spans="2:9" ht="14.1" customHeight="1" x14ac:dyDescent="0.25">
      <c r="B29" s="341" t="s">
        <v>8</v>
      </c>
      <c r="C29" s="332" t="s">
        <v>84</v>
      </c>
      <c r="D29" s="341" t="s">
        <v>58</v>
      </c>
      <c r="E29" s="376" t="s">
        <v>80</v>
      </c>
      <c r="F29" s="377"/>
      <c r="G29" s="376" t="s">
        <v>68</v>
      </c>
      <c r="H29" s="377"/>
      <c r="I29" s="341" t="s">
        <v>81</v>
      </c>
    </row>
    <row r="30" spans="2:9" ht="14.1" customHeight="1" x14ac:dyDescent="0.25">
      <c r="B30" s="341"/>
      <c r="C30" s="332"/>
      <c r="D30" s="341"/>
      <c r="E30" s="378"/>
      <c r="F30" s="379"/>
      <c r="G30" s="378"/>
      <c r="H30" s="379"/>
      <c r="I30" s="341"/>
    </row>
    <row r="31" spans="2:9" s="4" customFormat="1" ht="14.1" customHeight="1" x14ac:dyDescent="0.25">
      <c r="B31" s="109" t="s">
        <v>358</v>
      </c>
      <c r="C31" s="105" t="s">
        <v>360</v>
      </c>
      <c r="D31" s="111" t="s">
        <v>15</v>
      </c>
      <c r="E31" s="380">
        <v>132</v>
      </c>
      <c r="F31" s="380"/>
      <c r="G31" s="380">
        <v>1</v>
      </c>
      <c r="H31" s="380"/>
      <c r="I31" s="95">
        <f>TRUNC((E31*G31),2)</f>
        <v>132</v>
      </c>
    </row>
    <row r="32" spans="2:9" s="4" customFormat="1" ht="27.95" customHeight="1" x14ac:dyDescent="0.25">
      <c r="B32" s="63" t="s">
        <v>359</v>
      </c>
      <c r="C32" s="65" t="s">
        <v>361</v>
      </c>
      <c r="D32" s="70" t="s">
        <v>15</v>
      </c>
      <c r="E32" s="382">
        <v>0.14000000000000001</v>
      </c>
      <c r="F32" s="382"/>
      <c r="G32" s="382">
        <v>4</v>
      </c>
      <c r="H32" s="382"/>
      <c r="I32" s="64">
        <f>TRUNC((E32*G32),2)</f>
        <v>0.56000000000000005</v>
      </c>
    </row>
    <row r="33" spans="2:9" s="4" customFormat="1" ht="14.1" customHeight="1" x14ac:dyDescent="0.25">
      <c r="B33" s="72"/>
      <c r="C33" s="73"/>
      <c r="D33" s="99"/>
      <c r="E33" s="381"/>
      <c r="F33" s="381"/>
      <c r="G33" s="381"/>
      <c r="H33" s="381"/>
      <c r="I33" s="74"/>
    </row>
    <row r="34" spans="2:9" s="4" customFormat="1" ht="15" customHeight="1" x14ac:dyDescent="0.25">
      <c r="B34" s="373" t="s">
        <v>77</v>
      </c>
      <c r="C34" s="374"/>
      <c r="D34" s="374"/>
      <c r="E34" s="374"/>
      <c r="F34" s="374"/>
      <c r="G34" s="374"/>
      <c r="H34" s="375"/>
      <c r="I34" s="19">
        <f>SUM(I31:I33)</f>
        <v>132.56</v>
      </c>
    </row>
    <row r="35" spans="2:9" ht="5.0999999999999996" customHeight="1" x14ac:dyDescent="0.25">
      <c r="B35" s="110"/>
      <c r="C35" s="110"/>
      <c r="D35" s="110"/>
      <c r="E35" s="110"/>
      <c r="F35" s="110"/>
      <c r="G35" s="110"/>
      <c r="H35" s="110"/>
      <c r="I35" s="110"/>
    </row>
    <row r="36" spans="2:9" ht="14.1" customHeight="1" x14ac:dyDescent="0.25">
      <c r="B36" s="341" t="s">
        <v>8</v>
      </c>
      <c r="C36" s="332" t="s">
        <v>79</v>
      </c>
      <c r="D36" s="341" t="s">
        <v>2</v>
      </c>
      <c r="E36" s="376" t="s">
        <v>80</v>
      </c>
      <c r="F36" s="377"/>
      <c r="G36" s="376" t="s">
        <v>68</v>
      </c>
      <c r="H36" s="377"/>
      <c r="I36" s="341" t="s">
        <v>81</v>
      </c>
    </row>
    <row r="37" spans="2:9" ht="14.1" customHeight="1" x14ac:dyDescent="0.25">
      <c r="B37" s="341"/>
      <c r="C37" s="332"/>
      <c r="D37" s="341"/>
      <c r="E37" s="378"/>
      <c r="F37" s="379"/>
      <c r="G37" s="378"/>
      <c r="H37" s="379"/>
      <c r="I37" s="341"/>
    </row>
    <row r="38" spans="2:9" s="4" customFormat="1" ht="14.1" customHeight="1" x14ac:dyDescent="0.25">
      <c r="B38" s="109"/>
      <c r="C38" s="105"/>
      <c r="D38" s="94"/>
      <c r="E38" s="380"/>
      <c r="F38" s="380"/>
      <c r="G38" s="380"/>
      <c r="H38" s="380"/>
      <c r="I38" s="95"/>
    </row>
    <row r="39" spans="2:9" s="4" customFormat="1" ht="14.1" customHeight="1" x14ac:dyDescent="0.25">
      <c r="B39" s="72"/>
      <c r="C39" s="73"/>
      <c r="D39" s="99"/>
      <c r="E39" s="381"/>
      <c r="F39" s="381"/>
      <c r="G39" s="381"/>
      <c r="H39" s="381"/>
      <c r="I39" s="74"/>
    </row>
    <row r="40" spans="2:9" s="4" customFormat="1" ht="15" customHeight="1" x14ac:dyDescent="0.25">
      <c r="B40" s="373" t="s">
        <v>78</v>
      </c>
      <c r="C40" s="374"/>
      <c r="D40" s="374"/>
      <c r="E40" s="374"/>
      <c r="F40" s="374"/>
      <c r="G40" s="374"/>
      <c r="H40" s="375"/>
      <c r="I40" s="19">
        <f>SUM(I38:I39)</f>
        <v>0</v>
      </c>
    </row>
    <row r="41" spans="2:9" ht="5.0999999999999996" customHeight="1" x14ac:dyDescent="0.25">
      <c r="B41" s="110"/>
      <c r="C41" s="110"/>
      <c r="D41" s="110"/>
      <c r="E41" s="110"/>
      <c r="F41" s="110"/>
      <c r="G41" s="110"/>
      <c r="H41" s="110"/>
      <c r="I41" s="110"/>
    </row>
    <row r="42" spans="2:9" s="4" customFormat="1" ht="15" customHeight="1" x14ac:dyDescent="0.25">
      <c r="B42" s="373" t="s">
        <v>82</v>
      </c>
      <c r="C42" s="374"/>
      <c r="D42" s="374"/>
      <c r="E42" s="374"/>
      <c r="F42" s="374"/>
      <c r="G42" s="374"/>
      <c r="H42" s="375"/>
      <c r="I42" s="19">
        <f>I27+I34+I40</f>
        <v>140.94</v>
      </c>
    </row>
  </sheetData>
  <mergeCells count="53">
    <mergeCell ref="B42:H42"/>
    <mergeCell ref="I36:I37"/>
    <mergeCell ref="E38:F38"/>
    <mergeCell ref="G38:H38"/>
    <mergeCell ref="E39:F39"/>
    <mergeCell ref="G39:H39"/>
    <mergeCell ref="B40:H40"/>
    <mergeCell ref="E33:F33"/>
    <mergeCell ref="G33:H33"/>
    <mergeCell ref="B34:H34"/>
    <mergeCell ref="B36:B37"/>
    <mergeCell ref="C36:C37"/>
    <mergeCell ref="D36:D37"/>
    <mergeCell ref="E36:F37"/>
    <mergeCell ref="G36:H37"/>
    <mergeCell ref="I29:I30"/>
    <mergeCell ref="E31:F31"/>
    <mergeCell ref="G31:H31"/>
    <mergeCell ref="E32:F32"/>
    <mergeCell ref="G32:H32"/>
    <mergeCell ref="E22:F22"/>
    <mergeCell ref="G22:H22"/>
    <mergeCell ref="B23:H23"/>
    <mergeCell ref="B25:H25"/>
    <mergeCell ref="B27:H27"/>
    <mergeCell ref="B29:B30"/>
    <mergeCell ref="C29:C30"/>
    <mergeCell ref="D29:D30"/>
    <mergeCell ref="E29:F30"/>
    <mergeCell ref="G29:H30"/>
    <mergeCell ref="I19:I20"/>
    <mergeCell ref="E21:F21"/>
    <mergeCell ref="G21:H21"/>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B1:O45"/>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5" customFormat="1" ht="14.1" customHeight="1" x14ac:dyDescent="0.2">
      <c r="B2" s="102" t="str">
        <f>Orçamento!$B$2</f>
        <v>CLIENTE:</v>
      </c>
      <c r="C2" s="80" t="str">
        <f>Orçamento!$C$2</f>
        <v>PREFEITURA MUNICIPAL DE APARECIDA DO TABOADO / MS</v>
      </c>
      <c r="D2" s="9"/>
      <c r="E2" s="9"/>
      <c r="F2" s="9"/>
      <c r="G2" s="364" t="str">
        <f>Orçamento!$K$2</f>
        <v>BANCOS</v>
      </c>
      <c r="H2" s="293"/>
      <c r="I2" s="365"/>
    </row>
    <row r="3" spans="2:15" s="5" customFormat="1" ht="14.1" customHeight="1" x14ac:dyDescent="0.2">
      <c r="B3" s="103" t="str">
        <f>Orçamento!$B$3</f>
        <v>ENDEREÇO:</v>
      </c>
      <c r="C3" s="81" t="str">
        <f>Orçamento!$C$3</f>
        <v>RUA ELIAS TOLENTINO DE ALMEIDA, Nº 4.098 - JD. SÃO BENTO</v>
      </c>
      <c r="G3" s="366" t="str">
        <f>Orçamento!$K$3</f>
        <v>COMPOSIÇÃO MS: 09/2024
INSUMO MS: 09/2024</v>
      </c>
      <c r="H3" s="294"/>
      <c r="I3" s="295"/>
    </row>
    <row r="4" spans="2:15" s="5" customFormat="1" ht="14.1" customHeight="1" x14ac:dyDescent="0.25">
      <c r="B4" s="82"/>
      <c r="C4" s="81"/>
      <c r="G4" s="366"/>
      <c r="H4" s="294"/>
      <c r="I4" s="295"/>
      <c r="M4"/>
      <c r="N4"/>
      <c r="O4"/>
    </row>
    <row r="5" spans="2:15" s="5" customFormat="1" ht="14.1" customHeight="1" x14ac:dyDescent="0.25">
      <c r="B5" s="103" t="str">
        <f>Orçamento!$B$5</f>
        <v>OBRA:</v>
      </c>
      <c r="C5" s="81" t="str">
        <f>Orçamento!$C$5</f>
        <v>PAVIMENTAÇÃO ASFÁLTICA E DRENAGEM DE ÁGUAS PLUVIAIS</v>
      </c>
      <c r="G5" s="366"/>
      <c r="H5" s="294"/>
      <c r="I5" s="295"/>
      <c r="M5"/>
      <c r="N5"/>
      <c r="O5"/>
    </row>
    <row r="6" spans="2:15" s="5" customFormat="1" ht="14.1" customHeight="1" x14ac:dyDescent="0.25">
      <c r="B6" s="83" t="str">
        <f>Orçamento!$B$6</f>
        <v>LOCAL:</v>
      </c>
      <c r="C6" s="84" t="str">
        <f>Orçamento!$C$6</f>
        <v>DIVERSAS RUAS NO BAIRRO PRIMAVERA, APARECIDA DO TABOADO / MS</v>
      </c>
      <c r="D6" s="10"/>
      <c r="E6" s="10"/>
      <c r="F6" s="10"/>
      <c r="G6" s="367" t="str">
        <f>Orçamento!$H$3</f>
        <v>SEM DESONERAÇÃO</v>
      </c>
      <c r="H6" s="368"/>
      <c r="I6" s="369"/>
      <c r="M6"/>
      <c r="N6"/>
      <c r="O6"/>
    </row>
    <row r="7" spans="2:15" ht="5.0999999999999996" customHeight="1" x14ac:dyDescent="0.25"/>
    <row r="8" spans="2:15" ht="15" customHeight="1" x14ac:dyDescent="0.25">
      <c r="B8" s="288" t="s">
        <v>56</v>
      </c>
      <c r="C8" s="288"/>
      <c r="D8" s="288"/>
      <c r="E8" s="288"/>
      <c r="F8" s="288"/>
      <c r="G8" s="288"/>
      <c r="H8" s="288"/>
      <c r="I8" s="288"/>
    </row>
    <row r="9" spans="2:15" ht="5.0999999999999996" customHeight="1" x14ac:dyDescent="0.25"/>
    <row r="10" spans="2:15" ht="20.100000000000001" customHeight="1" x14ac:dyDescent="0.25">
      <c r="B10" s="13" t="s">
        <v>57</v>
      </c>
      <c r="C10" s="332" t="s">
        <v>1</v>
      </c>
      <c r="D10" s="332"/>
      <c r="E10" s="332"/>
      <c r="F10" s="332"/>
      <c r="G10" s="13" t="s">
        <v>58</v>
      </c>
      <c r="H10" s="332" t="s">
        <v>59</v>
      </c>
      <c r="I10" s="332"/>
    </row>
    <row r="11" spans="2:15" s="4" customFormat="1" ht="14.1" customHeight="1" x14ac:dyDescent="0.25">
      <c r="B11" s="85" t="s">
        <v>605</v>
      </c>
      <c r="C11" s="370" t="s">
        <v>383</v>
      </c>
      <c r="D11" s="371"/>
      <c r="E11" s="371"/>
      <c r="F11" s="372"/>
      <c r="G11" s="78" t="s">
        <v>15</v>
      </c>
      <c r="H11" s="344">
        <v>1</v>
      </c>
      <c r="I11" s="344"/>
    </row>
    <row r="12" spans="2:15" s="4" customFormat="1" ht="5.0999999999999996" customHeight="1" x14ac:dyDescent="0.25">
      <c r="B12" s="11"/>
      <c r="C12" s="11"/>
      <c r="D12" s="11"/>
      <c r="E12" s="11"/>
      <c r="F12" s="11"/>
      <c r="G12" s="11"/>
      <c r="H12" s="11"/>
      <c r="I12" s="11"/>
    </row>
    <row r="13" spans="2:15" ht="14.1" customHeight="1" x14ac:dyDescent="0.25">
      <c r="B13" s="341" t="s">
        <v>8</v>
      </c>
      <c r="C13" s="332" t="s">
        <v>64</v>
      </c>
      <c r="D13" s="332" t="s">
        <v>65</v>
      </c>
      <c r="E13" s="332"/>
      <c r="F13" s="341" t="s">
        <v>4</v>
      </c>
      <c r="G13" s="332" t="s">
        <v>61</v>
      </c>
      <c r="H13" s="332"/>
      <c r="I13" s="341" t="s">
        <v>60</v>
      </c>
    </row>
    <row r="14" spans="2:15" ht="14.1" customHeight="1" x14ac:dyDescent="0.25">
      <c r="B14" s="341"/>
      <c r="C14" s="332"/>
      <c r="D14" s="13" t="s">
        <v>62</v>
      </c>
      <c r="E14" s="13" t="s">
        <v>63</v>
      </c>
      <c r="F14" s="341"/>
      <c r="G14" s="13" t="s">
        <v>62</v>
      </c>
      <c r="H14" s="13" t="s">
        <v>63</v>
      </c>
      <c r="I14" s="341"/>
    </row>
    <row r="15" spans="2:15" s="4" customFormat="1" ht="42" customHeight="1" x14ac:dyDescent="0.25">
      <c r="B15" s="109" t="s">
        <v>367</v>
      </c>
      <c r="C15" s="105" t="s">
        <v>357</v>
      </c>
      <c r="D15" s="95">
        <v>263.57</v>
      </c>
      <c r="E15" s="95">
        <v>70.099999999999994</v>
      </c>
      <c r="F15" s="95">
        <v>1</v>
      </c>
      <c r="G15" s="113">
        <v>6.2500000000000003E-3</v>
      </c>
      <c r="H15" s="113">
        <v>1.56E-3</v>
      </c>
      <c r="I15" s="95">
        <f>TRUNC((D15*F15*G15),2)+TRUNC((E15*F15*H15),2)</f>
        <v>1.74</v>
      </c>
    </row>
    <row r="16" spans="2:15" s="4" customFormat="1" ht="14.1" customHeight="1" x14ac:dyDescent="0.25">
      <c r="B16" s="72"/>
      <c r="C16" s="73"/>
      <c r="D16" s="74"/>
      <c r="E16" s="74"/>
      <c r="F16" s="74"/>
      <c r="G16" s="74"/>
      <c r="H16" s="74"/>
      <c r="I16" s="74"/>
    </row>
    <row r="17" spans="2:9" s="4" customFormat="1" ht="15" customHeight="1" x14ac:dyDescent="0.25">
      <c r="B17" s="373" t="s">
        <v>66</v>
      </c>
      <c r="C17" s="374"/>
      <c r="D17" s="374"/>
      <c r="E17" s="374"/>
      <c r="F17" s="374"/>
      <c r="G17" s="374"/>
      <c r="H17" s="375"/>
      <c r="I17" s="19">
        <f>SUM(I15:I16)</f>
        <v>1.74</v>
      </c>
    </row>
    <row r="18" spans="2:9" s="4" customFormat="1" ht="5.0999999999999996" customHeight="1" x14ac:dyDescent="0.25">
      <c r="B18" s="11"/>
      <c r="C18" s="11"/>
      <c r="D18" s="11"/>
      <c r="E18" s="11"/>
      <c r="F18" s="11"/>
      <c r="G18" s="11"/>
      <c r="H18" s="11"/>
      <c r="I18" s="11"/>
    </row>
    <row r="19" spans="2:9" ht="14.1" customHeight="1" x14ac:dyDescent="0.25">
      <c r="B19" s="341" t="s">
        <v>8</v>
      </c>
      <c r="C19" s="332" t="s">
        <v>67</v>
      </c>
      <c r="D19" s="341" t="s">
        <v>58</v>
      </c>
      <c r="E19" s="376" t="s">
        <v>69</v>
      </c>
      <c r="F19" s="377"/>
      <c r="G19" s="376" t="s">
        <v>68</v>
      </c>
      <c r="H19" s="377"/>
      <c r="I19" s="341" t="s">
        <v>60</v>
      </c>
    </row>
    <row r="20" spans="2:9" ht="14.1" customHeight="1" x14ac:dyDescent="0.25">
      <c r="B20" s="341"/>
      <c r="C20" s="332"/>
      <c r="D20" s="341"/>
      <c r="E20" s="378"/>
      <c r="F20" s="379"/>
      <c r="G20" s="378"/>
      <c r="H20" s="379"/>
      <c r="I20" s="341"/>
    </row>
    <row r="21" spans="2:9" s="4" customFormat="1" ht="14.1" customHeight="1" x14ac:dyDescent="0.25">
      <c r="B21" s="109">
        <v>88262</v>
      </c>
      <c r="C21" s="105" t="s">
        <v>71</v>
      </c>
      <c r="D21" s="94" t="s">
        <v>70</v>
      </c>
      <c r="E21" s="380">
        <v>25.69</v>
      </c>
      <c r="F21" s="380"/>
      <c r="G21" s="380">
        <v>1</v>
      </c>
      <c r="H21" s="380"/>
      <c r="I21" s="95">
        <f>TRUNC((E21*G21),2)</f>
        <v>25.69</v>
      </c>
    </row>
    <row r="22" spans="2:9" s="4" customFormat="1" ht="14.1" customHeight="1" x14ac:dyDescent="0.25">
      <c r="B22" s="63">
        <v>88310</v>
      </c>
      <c r="C22" s="65" t="s">
        <v>98</v>
      </c>
      <c r="D22" s="66" t="s">
        <v>70</v>
      </c>
      <c r="E22" s="382">
        <v>27.54</v>
      </c>
      <c r="F22" s="382"/>
      <c r="G22" s="382">
        <v>0.5</v>
      </c>
      <c r="H22" s="382"/>
      <c r="I22" s="64">
        <f>TRUNC((E22*G22),2)</f>
        <v>13.77</v>
      </c>
    </row>
    <row r="23" spans="2:9" s="4" customFormat="1" ht="14.1" customHeight="1" x14ac:dyDescent="0.25">
      <c r="B23" s="63">
        <v>88316</v>
      </c>
      <c r="C23" s="65" t="s">
        <v>72</v>
      </c>
      <c r="D23" s="66" t="s">
        <v>70</v>
      </c>
      <c r="E23" s="382">
        <v>20.96</v>
      </c>
      <c r="F23" s="382"/>
      <c r="G23" s="382">
        <v>2</v>
      </c>
      <c r="H23" s="382"/>
      <c r="I23" s="64">
        <f>TRUNC((E23*G23),2)</f>
        <v>41.92</v>
      </c>
    </row>
    <row r="24" spans="2:9" s="4" customFormat="1" ht="14.1" customHeight="1" x14ac:dyDescent="0.25">
      <c r="B24" s="72"/>
      <c r="C24" s="73"/>
      <c r="D24" s="99"/>
      <c r="E24" s="381"/>
      <c r="F24" s="381"/>
      <c r="G24" s="381"/>
      <c r="H24" s="381"/>
      <c r="I24" s="74"/>
    </row>
    <row r="25" spans="2:9" s="4" customFormat="1" ht="15" customHeight="1" x14ac:dyDescent="0.25">
      <c r="B25" s="373" t="s">
        <v>74</v>
      </c>
      <c r="C25" s="374"/>
      <c r="D25" s="374"/>
      <c r="E25" s="374"/>
      <c r="F25" s="374"/>
      <c r="G25" s="374"/>
      <c r="H25" s="375"/>
      <c r="I25" s="19">
        <f>SUM(I21:I24)</f>
        <v>81.38</v>
      </c>
    </row>
    <row r="26" spans="2:9" s="4" customFormat="1" ht="5.0999999999999996" customHeight="1" x14ac:dyDescent="0.25">
      <c r="B26" s="12"/>
      <c r="C26" s="11"/>
      <c r="D26" s="11"/>
      <c r="E26" s="11"/>
      <c r="F26" s="11"/>
      <c r="G26" s="11"/>
      <c r="H26" s="11"/>
      <c r="I26" s="11"/>
    </row>
    <row r="27" spans="2:9" s="4" customFormat="1" ht="15" customHeight="1" x14ac:dyDescent="0.25">
      <c r="B27" s="373" t="s">
        <v>75</v>
      </c>
      <c r="C27" s="374"/>
      <c r="D27" s="374"/>
      <c r="E27" s="374"/>
      <c r="F27" s="374"/>
      <c r="G27" s="374"/>
      <c r="H27" s="375"/>
      <c r="I27" s="19">
        <f>I17+I25</f>
        <v>83.11999999999999</v>
      </c>
    </row>
    <row r="28" spans="2:9" ht="5.0999999999999996" customHeight="1" x14ac:dyDescent="0.25">
      <c r="B28" s="110"/>
      <c r="C28" s="110"/>
      <c r="D28" s="110"/>
      <c r="E28" s="110"/>
      <c r="F28" s="110"/>
      <c r="G28" s="110"/>
      <c r="H28" s="110"/>
      <c r="I28" s="110"/>
    </row>
    <row r="29" spans="2:9" s="4" customFormat="1" ht="15" customHeight="1" x14ac:dyDescent="0.25">
      <c r="B29" s="373" t="s">
        <v>76</v>
      </c>
      <c r="C29" s="374"/>
      <c r="D29" s="374"/>
      <c r="E29" s="374"/>
      <c r="F29" s="374"/>
      <c r="G29" s="374"/>
      <c r="H29" s="375"/>
      <c r="I29" s="19">
        <f>ROUND((I27/H11),2)</f>
        <v>83.12</v>
      </c>
    </row>
    <row r="30" spans="2:9" ht="5.0999999999999996" customHeight="1" x14ac:dyDescent="0.25">
      <c r="B30" s="110"/>
      <c r="C30" s="110"/>
      <c r="D30" s="110"/>
      <c r="E30" s="110"/>
      <c r="F30" s="110"/>
      <c r="G30" s="110"/>
      <c r="H30" s="110"/>
      <c r="I30" s="110"/>
    </row>
    <row r="31" spans="2:9" ht="14.1" customHeight="1" x14ac:dyDescent="0.25">
      <c r="B31" s="341" t="s">
        <v>8</v>
      </c>
      <c r="C31" s="332" t="s">
        <v>84</v>
      </c>
      <c r="D31" s="341" t="s">
        <v>58</v>
      </c>
      <c r="E31" s="376" t="s">
        <v>80</v>
      </c>
      <c r="F31" s="377"/>
      <c r="G31" s="376" t="s">
        <v>68</v>
      </c>
      <c r="H31" s="377"/>
      <c r="I31" s="341" t="s">
        <v>81</v>
      </c>
    </row>
    <row r="32" spans="2:9" ht="14.1" customHeight="1" x14ac:dyDescent="0.25">
      <c r="B32" s="341"/>
      <c r="C32" s="332"/>
      <c r="D32" s="341"/>
      <c r="E32" s="378"/>
      <c r="F32" s="379"/>
      <c r="G32" s="378"/>
      <c r="H32" s="379"/>
      <c r="I32" s="341"/>
    </row>
    <row r="33" spans="2:9" s="4" customFormat="1" ht="27.95" customHeight="1" x14ac:dyDescent="0.25">
      <c r="B33" s="109" t="s">
        <v>83</v>
      </c>
      <c r="C33" s="105" t="s">
        <v>511</v>
      </c>
      <c r="D33" s="94" t="s">
        <v>14</v>
      </c>
      <c r="E33" s="380">
        <v>29.04</v>
      </c>
      <c r="F33" s="380"/>
      <c r="G33" s="380">
        <v>3.2</v>
      </c>
      <c r="H33" s="380"/>
      <c r="I33" s="95">
        <f>TRUNC((E33*G33),2)</f>
        <v>92.92</v>
      </c>
    </row>
    <row r="34" spans="2:9" s="4" customFormat="1" ht="27.95" customHeight="1" x14ac:dyDescent="0.25">
      <c r="B34" s="63" t="s">
        <v>100</v>
      </c>
      <c r="C34" s="65" t="s">
        <v>102</v>
      </c>
      <c r="D34" s="66" t="s">
        <v>14</v>
      </c>
      <c r="E34" s="382">
        <v>10.48</v>
      </c>
      <c r="F34" s="382"/>
      <c r="G34" s="382">
        <v>1.4</v>
      </c>
      <c r="H34" s="382"/>
      <c r="I34" s="64">
        <f>TRUNC((E34*G34),2)</f>
        <v>14.67</v>
      </c>
    </row>
    <row r="35" spans="2:9" s="4" customFormat="1" ht="14.1" customHeight="1" x14ac:dyDescent="0.25">
      <c r="B35" s="63" t="s">
        <v>99</v>
      </c>
      <c r="C35" s="65" t="s">
        <v>103</v>
      </c>
      <c r="D35" s="66" t="s">
        <v>101</v>
      </c>
      <c r="E35" s="382">
        <v>36.58</v>
      </c>
      <c r="F35" s="382"/>
      <c r="G35" s="382">
        <v>0.33</v>
      </c>
      <c r="H35" s="382"/>
      <c r="I35" s="64">
        <f>TRUNC((E35*G35),2)</f>
        <v>12.07</v>
      </c>
    </row>
    <row r="36" spans="2:9" s="4" customFormat="1" ht="14.1" customHeight="1" x14ac:dyDescent="0.25">
      <c r="B36" s="72"/>
      <c r="C36" s="73"/>
      <c r="D36" s="99"/>
      <c r="E36" s="381"/>
      <c r="F36" s="381"/>
      <c r="G36" s="381"/>
      <c r="H36" s="381"/>
      <c r="I36" s="74"/>
    </row>
    <row r="37" spans="2:9" s="4" customFormat="1" ht="15" customHeight="1" x14ac:dyDescent="0.25">
      <c r="B37" s="373" t="s">
        <v>77</v>
      </c>
      <c r="C37" s="374"/>
      <c r="D37" s="374"/>
      <c r="E37" s="374"/>
      <c r="F37" s="374"/>
      <c r="G37" s="374"/>
      <c r="H37" s="375"/>
      <c r="I37" s="19">
        <f>SUM(I33:I36)</f>
        <v>119.66</v>
      </c>
    </row>
    <row r="38" spans="2:9" ht="5.0999999999999996" customHeight="1" x14ac:dyDescent="0.25">
      <c r="B38" s="110"/>
      <c r="C38" s="110"/>
      <c r="D38" s="110"/>
      <c r="E38" s="110"/>
      <c r="F38" s="110"/>
      <c r="G38" s="110"/>
      <c r="H38" s="110"/>
      <c r="I38" s="110"/>
    </row>
    <row r="39" spans="2:9" ht="14.1" customHeight="1" x14ac:dyDescent="0.25">
      <c r="B39" s="341" t="s">
        <v>8</v>
      </c>
      <c r="C39" s="332" t="s">
        <v>79</v>
      </c>
      <c r="D39" s="341" t="s">
        <v>2</v>
      </c>
      <c r="E39" s="376" t="s">
        <v>80</v>
      </c>
      <c r="F39" s="377"/>
      <c r="G39" s="376" t="s">
        <v>68</v>
      </c>
      <c r="H39" s="377"/>
      <c r="I39" s="341" t="s">
        <v>81</v>
      </c>
    </row>
    <row r="40" spans="2:9" ht="14.1" customHeight="1" x14ac:dyDescent="0.25">
      <c r="B40" s="341"/>
      <c r="C40" s="332"/>
      <c r="D40" s="341"/>
      <c r="E40" s="378"/>
      <c r="F40" s="379"/>
      <c r="G40" s="378"/>
      <c r="H40" s="379"/>
      <c r="I40" s="341"/>
    </row>
    <row r="41" spans="2:9" s="4" customFormat="1" ht="14.1" customHeight="1" x14ac:dyDescent="0.25">
      <c r="B41" s="109"/>
      <c r="C41" s="105"/>
      <c r="D41" s="94"/>
      <c r="E41" s="380"/>
      <c r="F41" s="380"/>
      <c r="G41" s="380"/>
      <c r="H41" s="380"/>
      <c r="I41" s="95"/>
    </row>
    <row r="42" spans="2:9" s="4" customFormat="1" ht="14.1" customHeight="1" x14ac:dyDescent="0.25">
      <c r="B42" s="72"/>
      <c r="C42" s="73"/>
      <c r="D42" s="99"/>
      <c r="E42" s="381"/>
      <c r="F42" s="381"/>
      <c r="G42" s="381"/>
      <c r="H42" s="381"/>
      <c r="I42" s="74"/>
    </row>
    <row r="43" spans="2:9" s="4" customFormat="1" ht="15" customHeight="1" x14ac:dyDescent="0.25">
      <c r="B43" s="373" t="s">
        <v>78</v>
      </c>
      <c r="C43" s="374"/>
      <c r="D43" s="374"/>
      <c r="E43" s="374"/>
      <c r="F43" s="374"/>
      <c r="G43" s="374"/>
      <c r="H43" s="375"/>
      <c r="I43" s="19">
        <f>SUM(I41:I42)</f>
        <v>0</v>
      </c>
    </row>
    <row r="44" spans="2:9" ht="5.0999999999999996" customHeight="1" x14ac:dyDescent="0.25">
      <c r="B44" s="110"/>
      <c r="C44" s="110"/>
      <c r="D44" s="110"/>
      <c r="E44" s="110"/>
      <c r="F44" s="110"/>
      <c r="G44" s="110"/>
      <c r="H44" s="110"/>
      <c r="I44" s="110"/>
    </row>
    <row r="45" spans="2:9" s="4" customFormat="1" ht="15" customHeight="1" x14ac:dyDescent="0.25">
      <c r="B45" s="373" t="s">
        <v>82</v>
      </c>
      <c r="C45" s="374"/>
      <c r="D45" s="374"/>
      <c r="E45" s="374"/>
      <c r="F45" s="374"/>
      <c r="G45" s="374"/>
      <c r="H45" s="375"/>
      <c r="I45" s="19">
        <f>I29+I37+I43</f>
        <v>202.78</v>
      </c>
    </row>
  </sheetData>
  <mergeCells count="59">
    <mergeCell ref="B45:H45"/>
    <mergeCell ref="B39:B40"/>
    <mergeCell ref="C39:C40"/>
    <mergeCell ref="D39:D40"/>
    <mergeCell ref="E39:F40"/>
    <mergeCell ref="G39:H40"/>
    <mergeCell ref="E41:F41"/>
    <mergeCell ref="G41:H41"/>
    <mergeCell ref="E42:F42"/>
    <mergeCell ref="G42:H42"/>
    <mergeCell ref="B43:H43"/>
    <mergeCell ref="I39:I40"/>
    <mergeCell ref="I31:I32"/>
    <mergeCell ref="E33:F33"/>
    <mergeCell ref="G33:H33"/>
    <mergeCell ref="E36:F36"/>
    <mergeCell ref="G36:H36"/>
    <mergeCell ref="B37:H37"/>
    <mergeCell ref="E34:F34"/>
    <mergeCell ref="G34:H34"/>
    <mergeCell ref="E35:F35"/>
    <mergeCell ref="G35:H35"/>
    <mergeCell ref="B27:H27"/>
    <mergeCell ref="B29:H29"/>
    <mergeCell ref="B31:B32"/>
    <mergeCell ref="C31:C32"/>
    <mergeCell ref="D31:D32"/>
    <mergeCell ref="E31:F32"/>
    <mergeCell ref="G31:H32"/>
    <mergeCell ref="I19:I20"/>
    <mergeCell ref="E21:F21"/>
    <mergeCell ref="G21:H21"/>
    <mergeCell ref="E24:F24"/>
    <mergeCell ref="G24:H24"/>
    <mergeCell ref="B25:H25"/>
    <mergeCell ref="E22:F22"/>
    <mergeCell ref="G22:H22"/>
    <mergeCell ref="E23:F23"/>
    <mergeCell ref="G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Linotype,Negrito"&amp;8&amp;G&amp;C&amp;"Arial,Negrito"&amp;8SOSURB – SECRETÁRIA DE OBRAS E SERVIÇOS URBANOS
AV. PRESIDENTE VARGAS, Nº 4.388 – CENTRO
APARECIDA DO TABOADO-MS&amp;R&amp;"Arial,Negrito"&amp;8&amp;P/&amp;N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28</vt:i4>
      </vt:variant>
      <vt:variant>
        <vt:lpstr>Intervalos Nomeados</vt:lpstr>
      </vt:variant>
      <vt:variant>
        <vt:i4>39</vt:i4>
      </vt:variant>
    </vt:vector>
  </HeadingPairs>
  <TitlesOfParts>
    <vt:vector size="67" baseType="lpstr">
      <vt:lpstr>DADOS</vt:lpstr>
      <vt:lpstr>Resumo DMT's</vt:lpstr>
      <vt:lpstr>Orçamento</vt:lpstr>
      <vt:lpstr>BDI SERVIÇO</vt:lpstr>
      <vt:lpstr>Tabela Resumo</vt:lpstr>
      <vt:lpstr>Cronograma</vt:lpstr>
      <vt:lpstr>Serv. Preliminares</vt:lpstr>
      <vt:lpstr>Dre-Dim</vt:lpstr>
      <vt:lpstr>Dre-Terraplenagem</vt:lpstr>
      <vt:lpstr>Dre-Disp. Estruturais</vt:lpstr>
      <vt:lpstr>Cubação - TopoGRAPH</vt:lpstr>
      <vt:lpstr>Pav-Terrapl</vt:lpstr>
      <vt:lpstr>Pav-Pavimento</vt:lpstr>
      <vt:lpstr>Serv. Complementares</vt:lpstr>
      <vt:lpstr>Passeio com Acessibilidade</vt:lpstr>
      <vt:lpstr>Sinalização</vt:lpstr>
      <vt:lpstr>DR-05 - Comp. PV-1</vt:lpstr>
      <vt:lpstr>DR-17 - Comp. BLSC</vt:lpstr>
      <vt:lpstr>IM-01 - Comp. Imprimação</vt:lpstr>
      <vt:lpstr>AP-01 - Comp. Aplic. CBUQ</vt:lpstr>
      <vt:lpstr>SC-01 - Comp. MF com Sarj</vt:lpstr>
      <vt:lpstr>SC-04 - Comp. Tento</vt:lpstr>
      <vt:lpstr>AC-01 - Comp. Prep. Manual</vt:lpstr>
      <vt:lpstr>AC-04 - Comp. Rampa 03</vt:lpstr>
      <vt:lpstr>PR-01 - Comp. Recorte</vt:lpstr>
      <vt:lpstr>SV-01 - Comp. Placa 0,36m²</vt:lpstr>
      <vt:lpstr>SV-02 - Comp. Pl. Lograd</vt:lpstr>
      <vt:lpstr>SV-03 - Comp. Suporte</vt:lpstr>
      <vt:lpstr>'AC-01 - Comp. Prep. Manual'!Area_de_impressao</vt:lpstr>
      <vt:lpstr>'AC-04 - Comp. Rampa 03'!Area_de_impressao</vt:lpstr>
      <vt:lpstr>'AP-01 - Comp. Aplic. CBUQ'!Area_de_impressao</vt:lpstr>
      <vt:lpstr>'BDI SERVIÇO'!Area_de_impressao</vt:lpstr>
      <vt:lpstr>Cronograma!Area_de_impressao</vt:lpstr>
      <vt:lpstr>'Cubação - TopoGRAPH'!Area_de_impressao</vt:lpstr>
      <vt:lpstr>DADOS!Area_de_impressao</vt:lpstr>
      <vt:lpstr>'DR-05 - Comp. PV-1'!Area_de_impressao</vt:lpstr>
      <vt:lpstr>'DR-17 - Comp. BLSC'!Area_de_impressao</vt:lpstr>
      <vt:lpstr>'Dre-Dim'!Area_de_impressao</vt:lpstr>
      <vt:lpstr>'Dre-Disp. Estruturais'!Area_de_impressao</vt:lpstr>
      <vt:lpstr>'Dre-Terraplenagem'!Area_de_impressao</vt:lpstr>
      <vt:lpstr>'IM-01 - Comp. Imprimação'!Area_de_impressao</vt:lpstr>
      <vt:lpstr>Orçamento!Area_de_impressao</vt:lpstr>
      <vt:lpstr>'Passeio com Acessibilidade'!Area_de_impressao</vt:lpstr>
      <vt:lpstr>'Pav-Pavimento'!Area_de_impressao</vt:lpstr>
      <vt:lpstr>'Pav-Terrapl'!Area_de_impressao</vt:lpstr>
      <vt:lpstr>'PR-01 - Comp. Recorte'!Area_de_impressao</vt:lpstr>
      <vt:lpstr>'Resumo DMT''s'!Area_de_impressao</vt:lpstr>
      <vt:lpstr>'SC-01 - Comp. MF com Sarj'!Area_de_impressao</vt:lpstr>
      <vt:lpstr>'SC-04 - Comp. Tento'!Area_de_impressao</vt:lpstr>
      <vt:lpstr>'Serv. Complementares'!Area_de_impressao</vt:lpstr>
      <vt:lpstr>'Serv. Preliminares'!Area_de_impressao</vt:lpstr>
      <vt:lpstr>Sinalização!Area_de_impressao</vt:lpstr>
      <vt:lpstr>'SV-01 - Comp. Placa 0,36m²'!Area_de_impressao</vt:lpstr>
      <vt:lpstr>'SV-02 - Comp. Pl. Lograd'!Area_de_impressao</vt:lpstr>
      <vt:lpstr>'SV-03 - Comp. Suporte'!Area_de_impressao</vt:lpstr>
      <vt:lpstr>'Tabela Resumo'!Area_de_impressao</vt:lpstr>
      <vt:lpstr>Cronograma!Titulos_de_impressao</vt:lpstr>
      <vt:lpstr>'Cubação - TopoGRAPH'!Titulos_de_impressao</vt:lpstr>
      <vt:lpstr>'Dre-Disp. Estruturais'!Titulos_de_impressao</vt:lpstr>
      <vt:lpstr>'Dre-Terraplenagem'!Titulos_de_impressao</vt:lpstr>
      <vt:lpstr>Orçamento!Titulos_de_impressao</vt:lpstr>
      <vt:lpstr>'Passeio com Acessibilidade'!Titulos_de_impressao</vt:lpstr>
      <vt:lpstr>'Pav-Pavimento'!Titulos_de_impressao</vt:lpstr>
      <vt:lpstr>'Pav-Terrapl'!Titulos_de_impressao</vt:lpstr>
      <vt:lpstr>'Serv. Complementares'!Titulos_de_impressao</vt:lpstr>
      <vt:lpstr>'Serv. Preliminares'!Titulos_de_impressao</vt:lpstr>
      <vt:lpstr>Sinalização!Titulos_de_impressao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Pereira Khalil</dc:creator>
  <cp:lastModifiedBy>Augusto Gonçalves</cp:lastModifiedBy>
  <cp:lastPrinted>2024-11-14T18:14:17Z</cp:lastPrinted>
  <dcterms:created xsi:type="dcterms:W3CDTF">2019-12-01T21:24:16Z</dcterms:created>
  <dcterms:modified xsi:type="dcterms:W3CDTF">2025-03-06T18:51:41Z</dcterms:modified>
</cp:coreProperties>
</file>