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231"/>
  <workbookPr filterPrivacy="1"/>
  <xr:revisionPtr revIDLastSave="0" documentId="13_ncr:1_{E7FE4066-32AE-4259-84DA-9BC19E1EF22C}" xr6:coauthVersionLast="47" xr6:coauthVersionMax="47" xr10:uidLastSave="{00000000-0000-0000-0000-000000000000}"/>
  <bookViews>
    <workbookView xWindow="-120" yWindow="-120" windowWidth="29040" windowHeight="15840" tabRatio="876" activeTab="8" xr2:uid="{00000000-000D-0000-FFFF-FFFF00000000}"/>
  </bookViews>
  <sheets>
    <sheet name="1 - Inventário" sheetId="25" r:id="rId1"/>
    <sheet name="2 - Serviços" sheetId="1" r:id="rId2"/>
    <sheet name="3 - Memoria de Cálculo" sheetId="15" r:id="rId3"/>
    <sheet name="4 - Resumo de Ferragem" sheetId="5" r:id="rId4"/>
    <sheet name="Ferragem - Simples" sheetId="16" state="hidden" r:id="rId5"/>
    <sheet name="5 - Pintura de Ponte" sheetId="10" r:id="rId6"/>
    <sheet name="6 - Sinalização" sheetId="8" r:id="rId7"/>
    <sheet name="8 - Quantitativo - Final" sheetId="14" r:id="rId8"/>
    <sheet name="9 - Manutenção" sheetId="24" r:id="rId9"/>
    <sheet name="10 - Cronograma" sheetId="26" r:id="rId10"/>
  </sheets>
  <externalReferences>
    <externalReference r:id="rId11"/>
    <externalReference r:id="rId12"/>
    <externalReference r:id="rId13"/>
  </externalReferences>
  <definedNames>
    <definedName name="_xlnm.Print_Area" localSheetId="0">'1 - Inventário'!$A$1:$M$38</definedName>
    <definedName name="_xlnm.Print_Area" localSheetId="9">'10 - Cronograma'!$B$3:$Q$45</definedName>
    <definedName name="_xlnm.Print_Area" localSheetId="1">'2 - Serviços'!$A$1:$T$269</definedName>
    <definedName name="_xlnm.Print_Area" localSheetId="2">'3 - Memoria de Cálculo'!$A$1:$U$163</definedName>
    <definedName name="_xlnm.Print_Area" localSheetId="3">'4 - Resumo de Ferragem'!$A$1:$S$38</definedName>
    <definedName name="_xlnm.Print_Area" localSheetId="5">'5 - Pintura de Ponte'!$A$1:$U$40</definedName>
    <definedName name="_xlnm.Print_Area" localSheetId="6">'6 - Sinalização'!$A$1:$P$37</definedName>
    <definedName name="_xlnm.Print_Area" localSheetId="7">'8 - Quantitativo - Final'!$A$1:$E$92</definedName>
    <definedName name="_xlnm.Print_Area" localSheetId="8">'9 - Manutenção'!$A$1:$P$108</definedName>
    <definedName name="_xlnm.Print_Area" localSheetId="4">'Ferragem - Simples'!$A$1:$R$366</definedName>
    <definedName name="avenida" localSheetId="7">#REF!</definedName>
    <definedName name="avenida">#REF!</definedName>
    <definedName name="BDI">[1]INVENTÁRIO!$B$3</definedName>
    <definedName name="ccc" localSheetId="7">#REF!</definedName>
    <definedName name="ccc">#REF!</definedName>
    <definedName name="contrato">[2]Dados!$C$29</definedName>
    <definedName name="ddd" localSheetId="7" hidden="1">{#N/A,#N/A,FALSE,"Pla_Preço";#N/A,#N/A,FALSE,"Crono"}</definedName>
    <definedName name="ddd" hidden="1">{#N/A,#N/A,FALSE,"Pla_Preço";#N/A,#N/A,FALSE,"Crono"}</definedName>
    <definedName name="dddd" localSheetId="7" hidden="1">{#N/A,#N/A,FALSE,"Pla_Preço";#N/A,#N/A,FALSE,"Crono"}</definedName>
    <definedName name="dddd" hidden="1">{#N/A,#N/A,FALSE,"Pla_Preço";#N/A,#N/A,FALSE,"Crono"}</definedName>
    <definedName name="drenag" localSheetId="7">#REF!</definedName>
    <definedName name="drenag">#REF!</definedName>
    <definedName name="drenagem" localSheetId="7">#REF!</definedName>
    <definedName name="drenagem">#REF!</definedName>
    <definedName name="FIRMA">[3]DADOS!$B$12</definedName>
    <definedName name="Item020107" localSheetId="7" hidden="1">{#N/A,#N/A,FALSE,"Pla_Preço";#N/A,#N/A,FALSE,"Crono"}</definedName>
    <definedName name="Item020107" hidden="1">{#N/A,#N/A,FALSE,"Pla_Preço";#N/A,#N/A,FALSE,"Crono"}</definedName>
    <definedName name="LOCALE1">[3]DADOS!$B$3</definedName>
    <definedName name="Madeira" localSheetId="7">#REF!</definedName>
    <definedName name="Madeira">#REF!</definedName>
    <definedName name="obra">[2]Dados!$C$7</definedName>
    <definedName name="prazo">[2]Dados!$C$31</definedName>
    <definedName name="Print_Area_MI" localSheetId="7">#REF!</definedName>
    <definedName name="Print_Area_MI">#REF!</definedName>
    <definedName name="processo">[2]Dados!$C$28</definedName>
    <definedName name="rua" localSheetId="7">#REF!</definedName>
    <definedName name="rua">#REF!</definedName>
    <definedName name="ss" localSheetId="7">#REF!</definedName>
    <definedName name="ss">#REF!</definedName>
    <definedName name="_xlnm.Print_Titles" localSheetId="0">'1 - Inventário'!$1:$8</definedName>
    <definedName name="_xlnm.Print_Titles" localSheetId="9">'10 - Cronograma'!$1:$9</definedName>
    <definedName name="_xlnm.Print_Titles" localSheetId="1">'2 - Serviços'!$1:$5</definedName>
    <definedName name="_xlnm.Print_Titles" localSheetId="2">'3 - Memoria de Cálculo'!$1:$7</definedName>
    <definedName name="_xlnm.Print_Titles" localSheetId="5">'5 - Pintura de Ponte'!$1:$4</definedName>
    <definedName name="_xlnm.Print_Titles" localSheetId="7">'8 - Quantitativo - Final'!$1:$8</definedName>
    <definedName name="_xlnm.Print_Titles" localSheetId="8">'9 - Manutenção'!$1:$11</definedName>
    <definedName name="_xlnm.Print_Titles" localSheetId="4">'Ferragem - Simples'!$1:$5</definedName>
    <definedName name="trech">[3]DADOS!$B$50</definedName>
    <definedName name="wrn.preco." localSheetId="7" hidden="1">{#N/A,#N/A,FALSE,"Pla_Preço";#N/A,#N/A,FALSE,"Crono"}</definedName>
    <definedName name="wrn.preco." hidden="1">{#N/A,#N/A,FALSE,"Pla_Preço";#N/A,#N/A,FALSE,"Crono"}</definedName>
  </definedNames>
  <calcPr calcId="181029"/>
</workbook>
</file>

<file path=xl/calcChain.xml><?xml version="1.0" encoding="utf-8"?>
<calcChain xmlns="http://schemas.openxmlformats.org/spreadsheetml/2006/main">
  <c r="E54" i="14" l="1"/>
  <c r="E47" i="14"/>
  <c r="E44" i="14"/>
  <c r="E41" i="14"/>
  <c r="E38" i="14"/>
  <c r="E35" i="14"/>
  <c r="T169" i="1" l="1"/>
  <c r="T162" i="15"/>
  <c r="U136" i="15"/>
  <c r="U137" i="15"/>
  <c r="U138" i="15"/>
  <c r="U139" i="15"/>
  <c r="U140" i="15"/>
  <c r="U141" i="15"/>
  <c r="U142" i="15"/>
  <c r="U143" i="15"/>
  <c r="U144" i="15"/>
  <c r="U145" i="15"/>
  <c r="U146" i="15"/>
  <c r="U147" i="15"/>
  <c r="U148" i="15"/>
  <c r="U149" i="15"/>
  <c r="U150" i="15"/>
  <c r="U151" i="15"/>
  <c r="U152" i="15"/>
  <c r="U153" i="15"/>
  <c r="U154" i="15"/>
  <c r="U155" i="15"/>
  <c r="U162" i="15" s="1"/>
  <c r="U156" i="15"/>
  <c r="U157" i="15"/>
  <c r="U158" i="15"/>
  <c r="U159" i="15"/>
  <c r="U160" i="15"/>
  <c r="U135" i="15"/>
  <c r="H73" i="15"/>
  <c r="I73" i="15"/>
  <c r="J73" i="15"/>
  <c r="K73" i="15"/>
  <c r="K99" i="15" s="1"/>
  <c r="L73" i="15"/>
  <c r="M73" i="15"/>
  <c r="N73" i="15"/>
  <c r="O73" i="15"/>
  <c r="O99" i="15" s="1"/>
  <c r="P73" i="15"/>
  <c r="Q73" i="15"/>
  <c r="R73" i="15"/>
  <c r="S73" i="15"/>
  <c r="S99" i="15" s="1"/>
  <c r="T73" i="15"/>
  <c r="H74" i="15"/>
  <c r="I74" i="15"/>
  <c r="J74" i="15"/>
  <c r="K74" i="15"/>
  <c r="L74" i="15"/>
  <c r="M74" i="15"/>
  <c r="N74" i="15"/>
  <c r="N99" i="15" s="1"/>
  <c r="O74" i="15"/>
  <c r="P74" i="15"/>
  <c r="Q74" i="15"/>
  <c r="R74" i="15"/>
  <c r="R99" i="15" s="1"/>
  <c r="S74" i="15"/>
  <c r="T74" i="15"/>
  <c r="H75" i="15"/>
  <c r="I75" i="15"/>
  <c r="J75" i="15"/>
  <c r="K75" i="15"/>
  <c r="L75" i="15"/>
  <c r="M75" i="15"/>
  <c r="N75" i="15"/>
  <c r="O75" i="15"/>
  <c r="P75" i="15"/>
  <c r="Q75" i="15"/>
  <c r="R75" i="15"/>
  <c r="S75" i="15"/>
  <c r="T75" i="15"/>
  <c r="H76" i="15"/>
  <c r="I76" i="15"/>
  <c r="J76" i="15"/>
  <c r="K76" i="15"/>
  <c r="L76" i="15"/>
  <c r="L99" i="15" s="1"/>
  <c r="M76" i="15"/>
  <c r="N76" i="15"/>
  <c r="O76" i="15"/>
  <c r="P76" i="15"/>
  <c r="P99" i="15" s="1"/>
  <c r="Q76" i="15"/>
  <c r="R76" i="15"/>
  <c r="S76" i="15"/>
  <c r="T76" i="15"/>
  <c r="T99" i="15" s="1"/>
  <c r="H77" i="15"/>
  <c r="I77" i="15"/>
  <c r="J77" i="15"/>
  <c r="K77" i="15"/>
  <c r="L77" i="15"/>
  <c r="M77" i="15"/>
  <c r="N77" i="15"/>
  <c r="O77" i="15"/>
  <c r="P77" i="15"/>
  <c r="Q77" i="15"/>
  <c r="R77" i="15"/>
  <c r="S77" i="15"/>
  <c r="T77" i="15"/>
  <c r="H78" i="15"/>
  <c r="I78" i="15"/>
  <c r="J78" i="15"/>
  <c r="K78" i="15"/>
  <c r="L78" i="15"/>
  <c r="M78" i="15"/>
  <c r="N78" i="15"/>
  <c r="O78" i="15"/>
  <c r="P78" i="15"/>
  <c r="Q78" i="15"/>
  <c r="R78" i="15"/>
  <c r="S78" i="15"/>
  <c r="T78" i="15"/>
  <c r="H79" i="15"/>
  <c r="I79" i="15"/>
  <c r="J79" i="15"/>
  <c r="K79" i="15"/>
  <c r="L79" i="15"/>
  <c r="M79" i="15"/>
  <c r="N79" i="15"/>
  <c r="O79" i="15"/>
  <c r="P79" i="15"/>
  <c r="Q79" i="15"/>
  <c r="R79" i="15"/>
  <c r="S79" i="15"/>
  <c r="T79" i="15"/>
  <c r="H80" i="15"/>
  <c r="I80" i="15"/>
  <c r="J80" i="15"/>
  <c r="K80" i="15"/>
  <c r="L80" i="15"/>
  <c r="M80" i="15"/>
  <c r="N80" i="15"/>
  <c r="O80" i="15"/>
  <c r="P80" i="15"/>
  <c r="Q80" i="15"/>
  <c r="R80" i="15"/>
  <c r="S80" i="15"/>
  <c r="T80" i="15"/>
  <c r="H81" i="15"/>
  <c r="I81" i="15"/>
  <c r="J81" i="15"/>
  <c r="K81" i="15"/>
  <c r="L81" i="15"/>
  <c r="M81" i="15"/>
  <c r="N81" i="15"/>
  <c r="O81" i="15"/>
  <c r="P81" i="15"/>
  <c r="Q81" i="15"/>
  <c r="R81" i="15"/>
  <c r="S81" i="15"/>
  <c r="T81" i="15"/>
  <c r="H82" i="15"/>
  <c r="I82" i="15"/>
  <c r="J82" i="15"/>
  <c r="K82" i="15"/>
  <c r="L82" i="15"/>
  <c r="M82" i="15"/>
  <c r="N82" i="15"/>
  <c r="O82" i="15"/>
  <c r="P82" i="15"/>
  <c r="Q82" i="15"/>
  <c r="R82" i="15"/>
  <c r="S82" i="15"/>
  <c r="T82" i="15"/>
  <c r="H83" i="15"/>
  <c r="I83" i="15"/>
  <c r="J83" i="15"/>
  <c r="K83" i="15"/>
  <c r="L83" i="15"/>
  <c r="M83" i="15"/>
  <c r="N83" i="15"/>
  <c r="O83" i="15"/>
  <c r="P83" i="15"/>
  <c r="Q83" i="15"/>
  <c r="R83" i="15"/>
  <c r="S83" i="15"/>
  <c r="T83" i="15"/>
  <c r="H84" i="15"/>
  <c r="I84" i="15"/>
  <c r="J84" i="15"/>
  <c r="K84" i="15"/>
  <c r="L84" i="15"/>
  <c r="M84" i="15"/>
  <c r="N84" i="15"/>
  <c r="O84" i="15"/>
  <c r="P84" i="15"/>
  <c r="Q84" i="15"/>
  <c r="R84" i="15"/>
  <c r="S84" i="15"/>
  <c r="T84" i="15"/>
  <c r="H85" i="15"/>
  <c r="I85" i="15"/>
  <c r="J85" i="15"/>
  <c r="K85" i="15"/>
  <c r="L85" i="15"/>
  <c r="M85" i="15"/>
  <c r="N85" i="15"/>
  <c r="O85" i="15"/>
  <c r="P85" i="15"/>
  <c r="Q85" i="15"/>
  <c r="R85" i="15"/>
  <c r="S85" i="15"/>
  <c r="T85" i="15"/>
  <c r="H86" i="15"/>
  <c r="I86" i="15"/>
  <c r="J86" i="15"/>
  <c r="K86" i="15"/>
  <c r="L86" i="15"/>
  <c r="M86" i="15"/>
  <c r="N86" i="15"/>
  <c r="O86" i="15"/>
  <c r="P86" i="15"/>
  <c r="Q86" i="15"/>
  <c r="R86" i="15"/>
  <c r="S86" i="15"/>
  <c r="T86" i="15"/>
  <c r="H87" i="15"/>
  <c r="I87" i="15"/>
  <c r="J87" i="15"/>
  <c r="K87" i="15"/>
  <c r="L87" i="15"/>
  <c r="M87" i="15"/>
  <c r="N87" i="15"/>
  <c r="O87" i="15"/>
  <c r="P87" i="15"/>
  <c r="Q87" i="15"/>
  <c r="R87" i="15"/>
  <c r="S87" i="15"/>
  <c r="T87" i="15"/>
  <c r="H88" i="15"/>
  <c r="I88" i="15"/>
  <c r="J88" i="15"/>
  <c r="K88" i="15"/>
  <c r="L88" i="15"/>
  <c r="M88" i="15"/>
  <c r="N88" i="15"/>
  <c r="O88" i="15"/>
  <c r="P88" i="15"/>
  <c r="Q88" i="15"/>
  <c r="R88" i="15"/>
  <c r="S88" i="15"/>
  <c r="T88" i="15"/>
  <c r="H89" i="15"/>
  <c r="I89" i="15"/>
  <c r="J89" i="15"/>
  <c r="K89" i="15"/>
  <c r="L89" i="15"/>
  <c r="M89" i="15"/>
  <c r="N89" i="15"/>
  <c r="O89" i="15"/>
  <c r="P89" i="15"/>
  <c r="Q89" i="15"/>
  <c r="R89" i="15"/>
  <c r="S89" i="15"/>
  <c r="T89" i="15"/>
  <c r="H90" i="15"/>
  <c r="I90" i="15"/>
  <c r="J90" i="15"/>
  <c r="K90" i="15"/>
  <c r="L90" i="15"/>
  <c r="M90" i="15"/>
  <c r="N90" i="15"/>
  <c r="O90" i="15"/>
  <c r="P90" i="15"/>
  <c r="Q90" i="15"/>
  <c r="R90" i="15"/>
  <c r="S90" i="15"/>
  <c r="T90" i="15"/>
  <c r="H91" i="15"/>
  <c r="I91" i="15"/>
  <c r="J91" i="15"/>
  <c r="K91" i="15"/>
  <c r="L91" i="15"/>
  <c r="M91" i="15"/>
  <c r="N91" i="15"/>
  <c r="O91" i="15"/>
  <c r="P91" i="15"/>
  <c r="Q91" i="15"/>
  <c r="R91" i="15"/>
  <c r="S91" i="15"/>
  <c r="T91" i="15"/>
  <c r="H92" i="15"/>
  <c r="I92" i="15"/>
  <c r="J92" i="15"/>
  <c r="K92" i="15"/>
  <c r="L92" i="15"/>
  <c r="M92" i="15"/>
  <c r="N92" i="15"/>
  <c r="O92" i="15"/>
  <c r="P92" i="15"/>
  <c r="Q92" i="15"/>
  <c r="R92" i="15"/>
  <c r="S92" i="15"/>
  <c r="T92" i="15"/>
  <c r="H93" i="15"/>
  <c r="I93" i="15"/>
  <c r="J93" i="15"/>
  <c r="K93" i="15"/>
  <c r="L93" i="15"/>
  <c r="M93" i="15"/>
  <c r="N93" i="15"/>
  <c r="O93" i="15"/>
  <c r="P93" i="15"/>
  <c r="Q93" i="15"/>
  <c r="R93" i="15"/>
  <c r="S93" i="15"/>
  <c r="T93" i="15"/>
  <c r="H94" i="15"/>
  <c r="I94" i="15"/>
  <c r="J94" i="15"/>
  <c r="K94" i="15"/>
  <c r="L94" i="15"/>
  <c r="M94" i="15"/>
  <c r="N94" i="15"/>
  <c r="O94" i="15"/>
  <c r="P94" i="15"/>
  <c r="Q94" i="15"/>
  <c r="R94" i="15"/>
  <c r="S94" i="15"/>
  <c r="T94" i="15"/>
  <c r="H95" i="15"/>
  <c r="I95" i="15"/>
  <c r="J95" i="15"/>
  <c r="K95" i="15"/>
  <c r="L95" i="15"/>
  <c r="M95" i="15"/>
  <c r="N95" i="15"/>
  <c r="O95" i="15"/>
  <c r="P95" i="15"/>
  <c r="Q95" i="15"/>
  <c r="R95" i="15"/>
  <c r="S95" i="15"/>
  <c r="T95" i="15"/>
  <c r="H96" i="15"/>
  <c r="I96" i="15"/>
  <c r="J96" i="15"/>
  <c r="K96" i="15"/>
  <c r="L96" i="15"/>
  <c r="M96" i="15"/>
  <c r="N96" i="15"/>
  <c r="O96" i="15"/>
  <c r="P96" i="15"/>
  <c r="Q96" i="15"/>
  <c r="R96" i="15"/>
  <c r="S96" i="15"/>
  <c r="T96" i="15"/>
  <c r="H97" i="15"/>
  <c r="I97" i="15"/>
  <c r="J97" i="15"/>
  <c r="K97" i="15"/>
  <c r="L97" i="15"/>
  <c r="M97" i="15"/>
  <c r="N97" i="15"/>
  <c r="O97" i="15"/>
  <c r="P97" i="15"/>
  <c r="Q97" i="15"/>
  <c r="R97" i="15"/>
  <c r="S97" i="15"/>
  <c r="T97" i="15"/>
  <c r="K72" i="15"/>
  <c r="L72" i="15"/>
  <c r="M72" i="15"/>
  <c r="N72" i="15"/>
  <c r="O72" i="15"/>
  <c r="P72" i="15"/>
  <c r="Q72" i="15"/>
  <c r="R72" i="15"/>
  <c r="S72" i="15"/>
  <c r="T72" i="15"/>
  <c r="I72" i="15"/>
  <c r="I99" i="15" s="1"/>
  <c r="J72" i="15"/>
  <c r="M99" i="15"/>
  <c r="Q99" i="15"/>
  <c r="H99" i="15"/>
  <c r="H68" i="15"/>
  <c r="I68" i="15"/>
  <c r="J68" i="15"/>
  <c r="K68" i="15"/>
  <c r="L68" i="15"/>
  <c r="M68" i="15"/>
  <c r="N68" i="15"/>
  <c r="O68" i="15"/>
  <c r="P68" i="15"/>
  <c r="Q68" i="15"/>
  <c r="R68" i="15"/>
  <c r="S68" i="15"/>
  <c r="G68" i="15"/>
  <c r="H72" i="15"/>
  <c r="O176" i="1"/>
  <c r="O177" i="1"/>
  <c r="O178" i="1"/>
  <c r="O179" i="1"/>
  <c r="O180" i="1"/>
  <c r="O181" i="1"/>
  <c r="O182" i="1"/>
  <c r="O183" i="1"/>
  <c r="O184" i="1"/>
  <c r="O185" i="1"/>
  <c r="O186" i="1"/>
  <c r="O187" i="1"/>
  <c r="O188" i="1"/>
  <c r="O189" i="1"/>
  <c r="O190" i="1"/>
  <c r="O191" i="1"/>
  <c r="O192" i="1"/>
  <c r="O193" i="1"/>
  <c r="O194" i="1"/>
  <c r="O195" i="1"/>
  <c r="O196" i="1"/>
  <c r="O197" i="1"/>
  <c r="O198" i="1"/>
  <c r="O199" i="1"/>
  <c r="O200" i="1"/>
  <c r="O175" i="1"/>
  <c r="N202" i="1"/>
  <c r="P202" i="1"/>
  <c r="Q202" i="1"/>
  <c r="R202" i="1"/>
  <c r="S202" i="1"/>
  <c r="M202" i="1"/>
  <c r="M169" i="1"/>
  <c r="N169" i="1"/>
  <c r="O169" i="1"/>
  <c r="P169" i="1"/>
  <c r="Q169" i="1"/>
  <c r="R169" i="1"/>
  <c r="S169" i="1"/>
  <c r="L169" i="1"/>
  <c r="S110" i="1"/>
  <c r="S111" i="1"/>
  <c r="S112" i="1"/>
  <c r="S113" i="1"/>
  <c r="S114" i="1"/>
  <c r="S115" i="1"/>
  <c r="S116" i="1"/>
  <c r="S117" i="1"/>
  <c r="S118" i="1"/>
  <c r="S119" i="1"/>
  <c r="S120" i="1"/>
  <c r="S121" i="1"/>
  <c r="S122" i="1"/>
  <c r="S123" i="1"/>
  <c r="S124" i="1"/>
  <c r="S125" i="1"/>
  <c r="S126" i="1"/>
  <c r="S127" i="1"/>
  <c r="S128" i="1"/>
  <c r="S129" i="1"/>
  <c r="S130" i="1"/>
  <c r="S131" i="1"/>
  <c r="S132" i="1"/>
  <c r="S133" i="1"/>
  <c r="S134" i="1"/>
  <c r="S109" i="1"/>
  <c r="O110" i="1"/>
  <c r="O111" i="1"/>
  <c r="O112" i="1"/>
  <c r="O113" i="1"/>
  <c r="O114" i="1"/>
  <c r="O115" i="1"/>
  <c r="O116" i="1"/>
  <c r="O117" i="1"/>
  <c r="O118" i="1"/>
  <c r="O119" i="1"/>
  <c r="O120" i="1"/>
  <c r="O121" i="1"/>
  <c r="O122" i="1"/>
  <c r="O123" i="1"/>
  <c r="O124" i="1"/>
  <c r="O125" i="1"/>
  <c r="O126" i="1"/>
  <c r="O127" i="1"/>
  <c r="O128" i="1"/>
  <c r="O129" i="1"/>
  <c r="O130" i="1"/>
  <c r="O131" i="1"/>
  <c r="O132" i="1"/>
  <c r="O133" i="1"/>
  <c r="O134" i="1"/>
  <c r="O109" i="1"/>
  <c r="N136" i="1"/>
  <c r="P136" i="1"/>
  <c r="Q136" i="1"/>
  <c r="R136" i="1"/>
  <c r="M136" i="1"/>
  <c r="S77" i="1"/>
  <c r="S78" i="1"/>
  <c r="S79" i="1"/>
  <c r="S80" i="1"/>
  <c r="S81" i="1"/>
  <c r="S82" i="1"/>
  <c r="S83" i="1"/>
  <c r="S84" i="1"/>
  <c r="S85" i="1"/>
  <c r="S86" i="1"/>
  <c r="S87" i="1"/>
  <c r="S88" i="1"/>
  <c r="S89" i="1"/>
  <c r="S90" i="1"/>
  <c r="S91" i="1"/>
  <c r="S92" i="1"/>
  <c r="S93" i="1"/>
  <c r="S94" i="1"/>
  <c r="S95" i="1"/>
  <c r="S96" i="1"/>
  <c r="S97" i="1"/>
  <c r="S98" i="1"/>
  <c r="S99" i="1"/>
  <c r="S100" i="1"/>
  <c r="S101" i="1"/>
  <c r="S76" i="1"/>
  <c r="O77" i="1"/>
  <c r="O78" i="1"/>
  <c r="O79" i="1"/>
  <c r="O80" i="1"/>
  <c r="O81" i="1"/>
  <c r="O82" i="1"/>
  <c r="O83" i="1"/>
  <c r="O84" i="1"/>
  <c r="O85" i="1"/>
  <c r="O86" i="1"/>
  <c r="O87" i="1"/>
  <c r="O88" i="1"/>
  <c r="O89" i="1"/>
  <c r="O90" i="1"/>
  <c r="O91" i="1"/>
  <c r="O92" i="1"/>
  <c r="O93" i="1"/>
  <c r="O94" i="1"/>
  <c r="O95" i="1"/>
  <c r="O96" i="1"/>
  <c r="O97" i="1"/>
  <c r="O98" i="1"/>
  <c r="O99" i="1"/>
  <c r="O100" i="1"/>
  <c r="O101" i="1"/>
  <c r="O76" i="1"/>
  <c r="N103" i="1"/>
  <c r="P103" i="1"/>
  <c r="Q103" i="1"/>
  <c r="R103" i="1"/>
  <c r="M103" i="1"/>
  <c r="S44" i="1"/>
  <c r="S45" i="1"/>
  <c r="S46" i="1"/>
  <c r="S47" i="1"/>
  <c r="S48" i="1"/>
  <c r="S49" i="1"/>
  <c r="S50" i="1"/>
  <c r="S51" i="1"/>
  <c r="S52" i="1"/>
  <c r="S53" i="1"/>
  <c r="S54" i="1"/>
  <c r="S55" i="1"/>
  <c r="S56" i="1"/>
  <c r="S57" i="1"/>
  <c r="S58" i="1"/>
  <c r="S59" i="1"/>
  <c r="S60" i="1"/>
  <c r="S61" i="1"/>
  <c r="S62" i="1"/>
  <c r="S63" i="1"/>
  <c r="S64" i="1"/>
  <c r="S65" i="1"/>
  <c r="S66" i="1"/>
  <c r="S67" i="1"/>
  <c r="S68" i="1"/>
  <c r="S43" i="1"/>
  <c r="J70" i="1"/>
  <c r="L70" i="1"/>
  <c r="M70" i="1"/>
  <c r="N70" i="1"/>
  <c r="P70" i="1"/>
  <c r="Q70" i="1"/>
  <c r="R70" i="1"/>
  <c r="I70" i="1"/>
  <c r="O44" i="1"/>
  <c r="O45" i="1"/>
  <c r="O46" i="1"/>
  <c r="O47" i="1"/>
  <c r="O48" i="1"/>
  <c r="O49" i="1"/>
  <c r="O50" i="1"/>
  <c r="O51" i="1"/>
  <c r="O52" i="1"/>
  <c r="O53" i="1"/>
  <c r="O54" i="1"/>
  <c r="O55" i="1"/>
  <c r="O56" i="1"/>
  <c r="O57" i="1"/>
  <c r="O58" i="1"/>
  <c r="O59" i="1"/>
  <c r="O60" i="1"/>
  <c r="O61" i="1"/>
  <c r="O62" i="1"/>
  <c r="O63" i="1"/>
  <c r="O64" i="1"/>
  <c r="O65" i="1"/>
  <c r="O66" i="1"/>
  <c r="O67" i="1"/>
  <c r="O68" i="1"/>
  <c r="O43" i="1"/>
  <c r="K44" i="1"/>
  <c r="K45" i="1"/>
  <c r="K46" i="1"/>
  <c r="K47" i="1"/>
  <c r="K48" i="1"/>
  <c r="K49" i="1"/>
  <c r="K50" i="1"/>
  <c r="K51" i="1"/>
  <c r="K52" i="1"/>
  <c r="K53" i="1"/>
  <c r="K54" i="1"/>
  <c r="K55" i="1"/>
  <c r="K56" i="1"/>
  <c r="K57" i="1"/>
  <c r="K58" i="1"/>
  <c r="K59" i="1"/>
  <c r="K60" i="1"/>
  <c r="K61" i="1"/>
  <c r="K62" i="1"/>
  <c r="K63" i="1"/>
  <c r="K64" i="1"/>
  <c r="K65" i="1"/>
  <c r="K66" i="1"/>
  <c r="K67" i="1"/>
  <c r="K68" i="1"/>
  <c r="K43" i="1"/>
  <c r="K70" i="1" s="1"/>
  <c r="J99" i="15" l="1"/>
  <c r="O202" i="1"/>
  <c r="O70" i="1"/>
  <c r="S136" i="1"/>
  <c r="O136" i="1"/>
  <c r="S103" i="1"/>
  <c r="O103" i="1"/>
  <c r="S70" i="1"/>
  <c r="L105" i="24" l="1"/>
  <c r="L106" i="24"/>
  <c r="L104" i="24"/>
  <c r="L100" i="24"/>
  <c r="L96" i="24"/>
  <c r="L72" i="24"/>
  <c r="L73" i="24"/>
  <c r="L74" i="24"/>
  <c r="L75" i="24"/>
  <c r="L76" i="24"/>
  <c r="L71" i="24"/>
  <c r="L60" i="24"/>
  <c r="L40" i="24"/>
  <c r="L43" i="24"/>
  <c r="L46" i="24"/>
  <c r="L49" i="24"/>
  <c r="L52" i="24"/>
  <c r="L28" i="24"/>
  <c r="L31" i="24"/>
  <c r="L34" i="24"/>
  <c r="N13" i="24"/>
  <c r="C16" i="14"/>
  <c r="A16" i="14"/>
  <c r="G20" i="24" l="1"/>
  <c r="H20" i="24"/>
  <c r="I20" i="24" s="1"/>
  <c r="K20" i="24"/>
  <c r="M20" i="24"/>
  <c r="N20" i="24"/>
  <c r="O20" i="24" s="1"/>
  <c r="A4" i="5" l="1"/>
  <c r="A3" i="5"/>
  <c r="A2" i="5"/>
  <c r="A1" i="5"/>
  <c r="A4" i="1"/>
  <c r="A3" i="1"/>
  <c r="A2" i="1"/>
  <c r="A1" i="1"/>
  <c r="S11" i="1" l="1"/>
  <c r="S12" i="1"/>
  <c r="S13" i="1"/>
  <c r="S14" i="1"/>
  <c r="S15" i="1"/>
  <c r="S16" i="1"/>
  <c r="S17" i="1"/>
  <c r="S18" i="1"/>
  <c r="S19" i="1"/>
  <c r="S20" i="1"/>
  <c r="S21" i="1"/>
  <c r="S22" i="1"/>
  <c r="S23" i="1"/>
  <c r="S24" i="1"/>
  <c r="S25" i="1"/>
  <c r="S26" i="1"/>
  <c r="S27" i="1"/>
  <c r="S28" i="1"/>
  <c r="S29" i="1"/>
  <c r="S30" i="1"/>
  <c r="S31" i="1"/>
  <c r="S32" i="1"/>
  <c r="S33" i="1"/>
  <c r="S34" i="1"/>
  <c r="S35" i="1"/>
  <c r="S10" i="1"/>
  <c r="E28" i="26" l="1"/>
  <c r="W5" i="10" l="1"/>
  <c r="I9" i="25" l="1"/>
  <c r="N84" i="24" l="1"/>
  <c r="N72" i="24"/>
  <c r="N73" i="24"/>
  <c r="N74" i="24"/>
  <c r="N75" i="24"/>
  <c r="N76" i="24"/>
  <c r="N71" i="24"/>
  <c r="N106" i="24"/>
  <c r="N105" i="24"/>
  <c r="N104" i="24"/>
  <c r="N100" i="24"/>
  <c r="N96" i="24"/>
  <c r="N92" i="24"/>
  <c r="N91" i="24"/>
  <c r="N90" i="24"/>
  <c r="N89" i="24"/>
  <c r="N88" i="24"/>
  <c r="N83" i="24"/>
  <c r="N82" i="24"/>
  <c r="N81" i="24"/>
  <c r="N80" i="24"/>
  <c r="N67" i="24"/>
  <c r="N66" i="24"/>
  <c r="N65" i="24"/>
  <c r="N61" i="24"/>
  <c r="N60" i="24"/>
  <c r="N59" i="24"/>
  <c r="N58" i="24"/>
  <c r="N57" i="24"/>
  <c r="N53" i="24"/>
  <c r="N52" i="24"/>
  <c r="N51" i="24"/>
  <c r="N50" i="24"/>
  <c r="N49" i="24"/>
  <c r="N48" i="24"/>
  <c r="N47" i="24"/>
  <c r="N46" i="24"/>
  <c r="N45" i="24"/>
  <c r="N44" i="24"/>
  <c r="N43" i="24"/>
  <c r="N42" i="24"/>
  <c r="N41" i="24"/>
  <c r="N40" i="24"/>
  <c r="N39" i="24"/>
  <c r="N35" i="24"/>
  <c r="N34" i="24"/>
  <c r="N33" i="24"/>
  <c r="N32" i="24"/>
  <c r="N31" i="24"/>
  <c r="N30" i="24"/>
  <c r="N29" i="24"/>
  <c r="N28" i="24"/>
  <c r="N27" i="24"/>
  <c r="N26" i="24"/>
  <c r="N25" i="24"/>
  <c r="N21" i="24"/>
  <c r="N19" i="24"/>
  <c r="N15" i="24"/>
  <c r="N14" i="24"/>
  <c r="K84" i="24"/>
  <c r="M84" i="24" s="1"/>
  <c r="K76" i="24"/>
  <c r="M76" i="24" s="1"/>
  <c r="H84" i="24"/>
  <c r="H72" i="24"/>
  <c r="H73" i="24"/>
  <c r="H74" i="24"/>
  <c r="H75" i="24"/>
  <c r="H76" i="24"/>
  <c r="H71" i="24"/>
  <c r="H106" i="24"/>
  <c r="H105" i="24"/>
  <c r="H104" i="24"/>
  <c r="H100" i="24"/>
  <c r="H96" i="24"/>
  <c r="H92" i="24"/>
  <c r="H91" i="24"/>
  <c r="H90" i="24"/>
  <c r="H89" i="24"/>
  <c r="H88" i="24"/>
  <c r="H83" i="24"/>
  <c r="H82" i="24"/>
  <c r="H81" i="24"/>
  <c r="H80" i="24"/>
  <c r="H67" i="24"/>
  <c r="H66" i="24"/>
  <c r="H65" i="24"/>
  <c r="H61" i="24"/>
  <c r="H60" i="24"/>
  <c r="H59" i="24"/>
  <c r="H58" i="24"/>
  <c r="H57" i="24"/>
  <c r="H53" i="24"/>
  <c r="H52" i="24"/>
  <c r="H51" i="24"/>
  <c r="H50" i="24"/>
  <c r="H49" i="24"/>
  <c r="H48" i="24"/>
  <c r="H47" i="24"/>
  <c r="H46" i="24"/>
  <c r="H45" i="24"/>
  <c r="H44" i="24"/>
  <c r="H43" i="24"/>
  <c r="H42" i="24"/>
  <c r="H41" i="24"/>
  <c r="H40" i="24"/>
  <c r="H39" i="24"/>
  <c r="H35" i="24"/>
  <c r="H34" i="24"/>
  <c r="H33" i="24"/>
  <c r="H32" i="24"/>
  <c r="H31" i="24"/>
  <c r="H30" i="24"/>
  <c r="H29" i="24"/>
  <c r="H28" i="24"/>
  <c r="H27" i="24"/>
  <c r="H26" i="24"/>
  <c r="H25" i="24"/>
  <c r="H21" i="24"/>
  <c r="H19" i="24"/>
  <c r="H15" i="24"/>
  <c r="H14" i="24"/>
  <c r="H13" i="24"/>
  <c r="G84" i="24"/>
  <c r="O76" i="24" l="1"/>
  <c r="O84" i="24"/>
  <c r="G76" i="24"/>
  <c r="I84" i="24"/>
  <c r="E105" i="24"/>
  <c r="E106" i="24"/>
  <c r="E104" i="24"/>
  <c r="E100" i="24"/>
  <c r="E96" i="24"/>
  <c r="E81" i="24"/>
  <c r="E82" i="24"/>
  <c r="E83" i="24"/>
  <c r="E80" i="24"/>
  <c r="E9" i="10"/>
  <c r="G106" i="24" l="1"/>
  <c r="K106" i="24"/>
  <c r="G105" i="24"/>
  <c r="K105" i="24"/>
  <c r="G96" i="24"/>
  <c r="G97" i="24" s="1"/>
  <c r="K96" i="24"/>
  <c r="G100" i="24"/>
  <c r="G101" i="24" s="1"/>
  <c r="K100" i="24"/>
  <c r="I104" i="24"/>
  <c r="K104" i="24"/>
  <c r="G83" i="24"/>
  <c r="K83" i="24"/>
  <c r="G82" i="24"/>
  <c r="K82" i="24"/>
  <c r="G80" i="24"/>
  <c r="K80" i="24"/>
  <c r="G81" i="24"/>
  <c r="K81" i="24"/>
  <c r="I96" i="24"/>
  <c r="I97" i="24" s="1"/>
  <c r="D21" i="26" s="1"/>
  <c r="D39" i="26" s="1"/>
  <c r="I100" i="24"/>
  <c r="I101" i="24" s="1"/>
  <c r="D22" i="26" s="1"/>
  <c r="D40" i="26" s="1"/>
  <c r="G104" i="24"/>
  <c r="I105" i="24"/>
  <c r="I106" i="24"/>
  <c r="I80" i="24"/>
  <c r="I81" i="24"/>
  <c r="I82" i="24"/>
  <c r="I83" i="24"/>
  <c r="I76" i="24"/>
  <c r="G85" i="24" l="1"/>
  <c r="O106" i="24"/>
  <c r="M106" i="24"/>
  <c r="M104" i="24"/>
  <c r="O104" i="24"/>
  <c r="M100" i="24"/>
  <c r="M101" i="24" s="1"/>
  <c r="O100" i="24"/>
  <c r="G107" i="24"/>
  <c r="M96" i="24"/>
  <c r="M97" i="24" s="1"/>
  <c r="O96" i="24"/>
  <c r="O105" i="24"/>
  <c r="M105" i="24"/>
  <c r="O82" i="24"/>
  <c r="M82" i="24"/>
  <c r="O81" i="24"/>
  <c r="M81" i="24"/>
  <c r="M80" i="24"/>
  <c r="O80" i="24"/>
  <c r="O83" i="24"/>
  <c r="M83" i="24"/>
  <c r="I85" i="24"/>
  <c r="D19" i="26" s="1"/>
  <c r="D37" i="26" s="1"/>
  <c r="I107" i="24"/>
  <c r="D23" i="26" s="1"/>
  <c r="O101" i="24" l="1"/>
  <c r="O97" i="24"/>
  <c r="G23" i="26"/>
  <c r="D41" i="26"/>
  <c r="O107" i="24"/>
  <c r="M107" i="24"/>
  <c r="O85" i="24"/>
  <c r="M85" i="24"/>
  <c r="A205" i="1"/>
  <c r="A139" i="1"/>
  <c r="F23" i="26" l="1"/>
  <c r="Q41" i="26"/>
  <c r="T40" i="15"/>
  <c r="T71" i="15" s="1"/>
  <c r="T102" i="15" s="1"/>
  <c r="R40" i="15"/>
  <c r="R71" i="15" s="1"/>
  <c r="N40" i="15"/>
  <c r="N71" i="15" s="1"/>
  <c r="E207" i="1" l="1"/>
  <c r="E176" i="1"/>
  <c r="E209" i="1" s="1"/>
  <c r="E177" i="1"/>
  <c r="E210" i="1" s="1"/>
  <c r="E178" i="1"/>
  <c r="E211" i="1" s="1"/>
  <c r="E179" i="1"/>
  <c r="E212" i="1" s="1"/>
  <c r="E180" i="1"/>
  <c r="E213" i="1" s="1"/>
  <c r="E181" i="1"/>
  <c r="E214" i="1" s="1"/>
  <c r="E182" i="1"/>
  <c r="E215" i="1" s="1"/>
  <c r="E183" i="1"/>
  <c r="E216" i="1" s="1"/>
  <c r="E184" i="1"/>
  <c r="E217" i="1" s="1"/>
  <c r="E185" i="1"/>
  <c r="E218" i="1" s="1"/>
  <c r="E186" i="1"/>
  <c r="E219" i="1" s="1"/>
  <c r="E187" i="1"/>
  <c r="E220" i="1" s="1"/>
  <c r="E188" i="1"/>
  <c r="E221" i="1" s="1"/>
  <c r="E189" i="1"/>
  <c r="E222" i="1" s="1"/>
  <c r="E190" i="1"/>
  <c r="E223" i="1" s="1"/>
  <c r="E191" i="1"/>
  <c r="E224" i="1" s="1"/>
  <c r="E192" i="1"/>
  <c r="E225" i="1" s="1"/>
  <c r="E193" i="1"/>
  <c r="E226" i="1" s="1"/>
  <c r="E194" i="1"/>
  <c r="E227" i="1" s="1"/>
  <c r="E195" i="1"/>
  <c r="E228" i="1" s="1"/>
  <c r="E196" i="1"/>
  <c r="E229" i="1" s="1"/>
  <c r="E197" i="1"/>
  <c r="E230" i="1" s="1"/>
  <c r="E198" i="1"/>
  <c r="E231" i="1" s="1"/>
  <c r="E199" i="1"/>
  <c r="E232" i="1" s="1"/>
  <c r="E200" i="1"/>
  <c r="E233" i="1" s="1"/>
  <c r="E175" i="1"/>
  <c r="E208" i="1" s="1"/>
  <c r="D174" i="1"/>
  <c r="D207" i="1" s="1"/>
  <c r="C174" i="1"/>
  <c r="C207" i="1" s="1"/>
  <c r="C11" i="1"/>
  <c r="D11" i="1"/>
  <c r="C12" i="1"/>
  <c r="C177" i="1" s="1"/>
  <c r="C210" i="1" s="1"/>
  <c r="D12" i="1"/>
  <c r="D177" i="1" s="1"/>
  <c r="D210" i="1" s="1"/>
  <c r="C13" i="1"/>
  <c r="C178" i="1" s="1"/>
  <c r="C211" i="1" s="1"/>
  <c r="D13" i="1"/>
  <c r="D178" i="1" s="1"/>
  <c r="D211" i="1" s="1"/>
  <c r="C14" i="1"/>
  <c r="C179" i="1" s="1"/>
  <c r="C212" i="1" s="1"/>
  <c r="D14" i="1"/>
  <c r="D179" i="1" s="1"/>
  <c r="D212" i="1" s="1"/>
  <c r="C15" i="1"/>
  <c r="C180" i="1" s="1"/>
  <c r="C213" i="1" s="1"/>
  <c r="D15" i="1"/>
  <c r="D180" i="1" s="1"/>
  <c r="D213" i="1" s="1"/>
  <c r="C16" i="1"/>
  <c r="C181" i="1" s="1"/>
  <c r="C214" i="1" s="1"/>
  <c r="D16" i="1"/>
  <c r="D181" i="1" s="1"/>
  <c r="D214" i="1" s="1"/>
  <c r="C17" i="1"/>
  <c r="C182" i="1" s="1"/>
  <c r="C215" i="1" s="1"/>
  <c r="D17" i="1"/>
  <c r="D182" i="1" s="1"/>
  <c r="D215" i="1" s="1"/>
  <c r="C18" i="1"/>
  <c r="C183" i="1" s="1"/>
  <c r="C216" i="1" s="1"/>
  <c r="D18" i="1"/>
  <c r="D183" i="1" s="1"/>
  <c r="D216" i="1" s="1"/>
  <c r="C19" i="1"/>
  <c r="C184" i="1" s="1"/>
  <c r="C217" i="1" s="1"/>
  <c r="D19" i="1"/>
  <c r="D184" i="1" s="1"/>
  <c r="D217" i="1" s="1"/>
  <c r="C20" i="1"/>
  <c r="C185" i="1" s="1"/>
  <c r="C218" i="1" s="1"/>
  <c r="D20" i="1"/>
  <c r="D185" i="1" s="1"/>
  <c r="D218" i="1" s="1"/>
  <c r="C21" i="1"/>
  <c r="C186" i="1" s="1"/>
  <c r="C219" i="1" s="1"/>
  <c r="D21" i="1"/>
  <c r="D186" i="1" s="1"/>
  <c r="D219" i="1" s="1"/>
  <c r="C22" i="1"/>
  <c r="C187" i="1" s="1"/>
  <c r="C220" i="1" s="1"/>
  <c r="D22" i="1"/>
  <c r="D187" i="1" s="1"/>
  <c r="D220" i="1" s="1"/>
  <c r="C23" i="1"/>
  <c r="C188" i="1" s="1"/>
  <c r="C221" i="1" s="1"/>
  <c r="D23" i="1"/>
  <c r="D188" i="1" s="1"/>
  <c r="D221" i="1" s="1"/>
  <c r="C24" i="1"/>
  <c r="C189" i="1" s="1"/>
  <c r="C222" i="1" s="1"/>
  <c r="D24" i="1"/>
  <c r="D189" i="1" s="1"/>
  <c r="D222" i="1" s="1"/>
  <c r="C25" i="1"/>
  <c r="C190" i="1" s="1"/>
  <c r="C223" i="1" s="1"/>
  <c r="D25" i="1"/>
  <c r="D190" i="1" s="1"/>
  <c r="D223" i="1" s="1"/>
  <c r="C26" i="1"/>
  <c r="C191" i="1" s="1"/>
  <c r="C224" i="1" s="1"/>
  <c r="D26" i="1"/>
  <c r="D191" i="1" s="1"/>
  <c r="D224" i="1" s="1"/>
  <c r="C27" i="1"/>
  <c r="C192" i="1" s="1"/>
  <c r="C225" i="1" s="1"/>
  <c r="D27" i="1"/>
  <c r="D192" i="1" s="1"/>
  <c r="D225" i="1" s="1"/>
  <c r="C28" i="1"/>
  <c r="C193" i="1" s="1"/>
  <c r="C226" i="1" s="1"/>
  <c r="D28" i="1"/>
  <c r="D193" i="1" s="1"/>
  <c r="D226" i="1" s="1"/>
  <c r="C29" i="1"/>
  <c r="C194" i="1" s="1"/>
  <c r="C227" i="1" s="1"/>
  <c r="D29" i="1"/>
  <c r="D194" i="1" s="1"/>
  <c r="D227" i="1" s="1"/>
  <c r="C30" i="1"/>
  <c r="C195" i="1" s="1"/>
  <c r="C228" i="1" s="1"/>
  <c r="D30" i="1"/>
  <c r="D195" i="1" s="1"/>
  <c r="D228" i="1" s="1"/>
  <c r="C31" i="1"/>
  <c r="C196" i="1" s="1"/>
  <c r="C229" i="1" s="1"/>
  <c r="D31" i="1"/>
  <c r="D196" i="1" s="1"/>
  <c r="D229" i="1" s="1"/>
  <c r="C32" i="1"/>
  <c r="C197" i="1" s="1"/>
  <c r="C230" i="1" s="1"/>
  <c r="D32" i="1"/>
  <c r="D197" i="1" s="1"/>
  <c r="D230" i="1" s="1"/>
  <c r="C33" i="1"/>
  <c r="C198" i="1" s="1"/>
  <c r="C231" i="1" s="1"/>
  <c r="D33" i="1"/>
  <c r="D198" i="1" s="1"/>
  <c r="D231" i="1" s="1"/>
  <c r="C34" i="1"/>
  <c r="C199" i="1" s="1"/>
  <c r="C232" i="1" s="1"/>
  <c r="D34" i="1"/>
  <c r="D199" i="1" s="1"/>
  <c r="D232" i="1" s="1"/>
  <c r="C35" i="1"/>
  <c r="C200" i="1" s="1"/>
  <c r="C233" i="1" s="1"/>
  <c r="D35" i="1"/>
  <c r="D200" i="1" s="1"/>
  <c r="D233" i="1" s="1"/>
  <c r="D10" i="1"/>
  <c r="D175" i="1" s="1"/>
  <c r="D208" i="1" s="1"/>
  <c r="C10" i="1"/>
  <c r="C175" i="1" s="1"/>
  <c r="C208" i="1" s="1"/>
  <c r="D176" i="1" l="1"/>
  <c r="D209" i="1" s="1"/>
  <c r="C176" i="1"/>
  <c r="C209" i="1" s="1"/>
  <c r="J9" i="25" l="1"/>
  <c r="E65" i="24"/>
  <c r="M37" i="25"/>
  <c r="C35" i="8"/>
  <c r="E35" i="8"/>
  <c r="A11" i="8"/>
  <c r="C11" i="8"/>
  <c r="E11" i="8"/>
  <c r="C12" i="8"/>
  <c r="E12" i="8"/>
  <c r="C13" i="8"/>
  <c r="E13" i="8"/>
  <c r="C14" i="8"/>
  <c r="E14" i="8"/>
  <c r="C15" i="8"/>
  <c r="E15" i="8"/>
  <c r="C16" i="8"/>
  <c r="E16" i="8"/>
  <c r="C17" i="8"/>
  <c r="E17" i="8"/>
  <c r="C18" i="8"/>
  <c r="E18" i="8"/>
  <c r="C19" i="8"/>
  <c r="E19" i="8"/>
  <c r="C20" i="8"/>
  <c r="E20" i="8"/>
  <c r="C21" i="8"/>
  <c r="E21" i="8"/>
  <c r="C22" i="8"/>
  <c r="E22" i="8"/>
  <c r="C23" i="8"/>
  <c r="E23" i="8"/>
  <c r="C24" i="8"/>
  <c r="E24" i="8"/>
  <c r="C25" i="8"/>
  <c r="E25" i="8"/>
  <c r="C26" i="8"/>
  <c r="E26" i="8"/>
  <c r="C27" i="8"/>
  <c r="E27" i="8"/>
  <c r="C28" i="8"/>
  <c r="E28" i="8"/>
  <c r="C29" i="8"/>
  <c r="E29" i="8"/>
  <c r="C30" i="8"/>
  <c r="E30" i="8"/>
  <c r="C31" i="8"/>
  <c r="E31" i="8"/>
  <c r="C32" i="8"/>
  <c r="E32" i="8"/>
  <c r="C33" i="8"/>
  <c r="E33" i="8"/>
  <c r="C34" i="8"/>
  <c r="E34" i="8"/>
  <c r="C10" i="8"/>
  <c r="E10" i="8"/>
  <c r="A10" i="8"/>
  <c r="C32" i="15"/>
  <c r="C63" i="15" s="1"/>
  <c r="C94" i="15" s="1"/>
  <c r="C125" i="15" s="1"/>
  <c r="C157" i="15" s="1"/>
  <c r="E32" i="15"/>
  <c r="E63" i="15" s="1"/>
  <c r="E94" i="15" s="1"/>
  <c r="E125" i="15" s="1"/>
  <c r="E157" i="15" s="1"/>
  <c r="C33" i="15"/>
  <c r="C64" i="15" s="1"/>
  <c r="C95" i="15" s="1"/>
  <c r="C126" i="15" s="1"/>
  <c r="C158" i="15" s="1"/>
  <c r="E33" i="15"/>
  <c r="E64" i="15" s="1"/>
  <c r="E95" i="15" s="1"/>
  <c r="E126" i="15" s="1"/>
  <c r="E158" i="15" s="1"/>
  <c r="C34" i="15"/>
  <c r="C65" i="15" s="1"/>
  <c r="C96" i="15" s="1"/>
  <c r="C127" i="15" s="1"/>
  <c r="C159" i="15" s="1"/>
  <c r="E34" i="15"/>
  <c r="E65" i="15" s="1"/>
  <c r="E96" i="15" s="1"/>
  <c r="E127" i="15" s="1"/>
  <c r="E159" i="15" s="1"/>
  <c r="C35" i="15"/>
  <c r="C66" i="15" s="1"/>
  <c r="C97" i="15" s="1"/>
  <c r="C128" i="15" s="1"/>
  <c r="C160" i="15" s="1"/>
  <c r="E35" i="15"/>
  <c r="E66" i="15" s="1"/>
  <c r="E97" i="15" s="1"/>
  <c r="E128" i="15" s="1"/>
  <c r="E160" i="15" s="1"/>
  <c r="E101" i="1"/>
  <c r="E66" i="1"/>
  <c r="E67" i="1"/>
  <c r="E68" i="1"/>
  <c r="A10" i="25"/>
  <c r="A11" i="25" s="1"/>
  <c r="A12" i="25" s="1"/>
  <c r="A13" i="25" s="1"/>
  <c r="B35" i="1"/>
  <c r="B101" i="1" s="1"/>
  <c r="B134" i="1" s="1"/>
  <c r="D68" i="1"/>
  <c r="F35" i="1"/>
  <c r="G35" i="1"/>
  <c r="B29" i="1"/>
  <c r="B62" i="1" s="1"/>
  <c r="D62" i="1"/>
  <c r="F29" i="1"/>
  <c r="G29" i="1"/>
  <c r="B30" i="1"/>
  <c r="B63" i="1" s="1"/>
  <c r="D63" i="1"/>
  <c r="F30" i="1"/>
  <c r="G30" i="1"/>
  <c r="B31" i="1"/>
  <c r="B64" i="1" s="1"/>
  <c r="D31" i="15"/>
  <c r="D62" i="15" s="1"/>
  <c r="D93" i="15" s="1"/>
  <c r="D124" i="15" s="1"/>
  <c r="D156" i="15" s="1"/>
  <c r="F31" i="1"/>
  <c r="G31" i="1"/>
  <c r="B32" i="1"/>
  <c r="B65" i="1" s="1"/>
  <c r="D65" i="1"/>
  <c r="F32" i="1"/>
  <c r="G32" i="1"/>
  <c r="B33" i="1"/>
  <c r="B66" i="1" s="1"/>
  <c r="D99" i="1"/>
  <c r="D264" i="1" s="1"/>
  <c r="F33" i="1"/>
  <c r="G33" i="1"/>
  <c r="B34" i="1"/>
  <c r="B100" i="1" s="1"/>
  <c r="B133" i="1" s="1"/>
  <c r="B166" i="1" s="1"/>
  <c r="D100" i="1"/>
  <c r="D133" i="1" s="1"/>
  <c r="D166" i="1" s="1"/>
  <c r="F34" i="1"/>
  <c r="G34" i="1"/>
  <c r="I31" i="25"/>
  <c r="I32" i="25"/>
  <c r="I33" i="25"/>
  <c r="I34" i="25"/>
  <c r="E31" i="15"/>
  <c r="E62" i="15" s="1"/>
  <c r="E93" i="15" s="1"/>
  <c r="E124" i="15" s="1"/>
  <c r="E156" i="15" s="1"/>
  <c r="E30" i="15"/>
  <c r="E61" i="15" s="1"/>
  <c r="E92" i="15" s="1"/>
  <c r="E123" i="15" s="1"/>
  <c r="E155" i="15" s="1"/>
  <c r="E26" i="15"/>
  <c r="E57" i="15" s="1"/>
  <c r="E88" i="15" s="1"/>
  <c r="E119" i="15" s="1"/>
  <c r="E151" i="15" s="1"/>
  <c r="E27" i="15"/>
  <c r="E58" i="15" s="1"/>
  <c r="E89" i="15" s="1"/>
  <c r="E120" i="15" s="1"/>
  <c r="E152" i="15" s="1"/>
  <c r="E28" i="15"/>
  <c r="E59" i="15" s="1"/>
  <c r="E90" i="15" s="1"/>
  <c r="E121" i="15" s="1"/>
  <c r="E153" i="15" s="1"/>
  <c r="E29" i="15"/>
  <c r="E60" i="15" s="1"/>
  <c r="E91" i="15" s="1"/>
  <c r="E122" i="15" s="1"/>
  <c r="E154" i="15" s="1"/>
  <c r="E13" i="15"/>
  <c r="E44" i="15" s="1"/>
  <c r="E75" i="15" s="1"/>
  <c r="E106" i="15" s="1"/>
  <c r="E138" i="15" s="1"/>
  <c r="E14" i="15"/>
  <c r="E45" i="15" s="1"/>
  <c r="E76" i="15" s="1"/>
  <c r="E107" i="15" s="1"/>
  <c r="E139" i="15" s="1"/>
  <c r="E15" i="15"/>
  <c r="E46" i="15" s="1"/>
  <c r="E77" i="15" s="1"/>
  <c r="E108" i="15" s="1"/>
  <c r="E140" i="15" s="1"/>
  <c r="E16" i="15"/>
  <c r="E47" i="15" s="1"/>
  <c r="E78" i="15" s="1"/>
  <c r="E109" i="15" s="1"/>
  <c r="E141" i="15" s="1"/>
  <c r="E17" i="15"/>
  <c r="E48" i="15" s="1"/>
  <c r="E79" i="15" s="1"/>
  <c r="E110" i="15" s="1"/>
  <c r="E142" i="15" s="1"/>
  <c r="E18" i="15"/>
  <c r="E49" i="15" s="1"/>
  <c r="E80" i="15" s="1"/>
  <c r="E111" i="15" s="1"/>
  <c r="E143" i="15" s="1"/>
  <c r="E19" i="15"/>
  <c r="E50" i="15" s="1"/>
  <c r="E81" i="15" s="1"/>
  <c r="E112" i="15" s="1"/>
  <c r="E144" i="15" s="1"/>
  <c r="E20" i="15"/>
  <c r="E51" i="15" s="1"/>
  <c r="E82" i="15" s="1"/>
  <c r="E113" i="15" s="1"/>
  <c r="E145" i="15" s="1"/>
  <c r="E21" i="15"/>
  <c r="E52" i="15" s="1"/>
  <c r="E83" i="15" s="1"/>
  <c r="E114" i="15" s="1"/>
  <c r="E146" i="15" s="1"/>
  <c r="E22" i="15"/>
  <c r="E53" i="15" s="1"/>
  <c r="E84" i="15" s="1"/>
  <c r="E115" i="15" s="1"/>
  <c r="E147" i="15" s="1"/>
  <c r="E23" i="15"/>
  <c r="E54" i="15" s="1"/>
  <c r="E85" i="15" s="1"/>
  <c r="E116" i="15" s="1"/>
  <c r="E148" i="15" s="1"/>
  <c r="E24" i="15"/>
  <c r="E55" i="15" s="1"/>
  <c r="E86" i="15" s="1"/>
  <c r="E117" i="15" s="1"/>
  <c r="E149" i="15" s="1"/>
  <c r="E25" i="15"/>
  <c r="E56" i="15" s="1"/>
  <c r="E87" i="15" s="1"/>
  <c r="E118" i="15" s="1"/>
  <c r="E150" i="15" s="1"/>
  <c r="E79" i="1"/>
  <c r="E244" i="1" s="1"/>
  <c r="E80" i="1"/>
  <c r="E81" i="1"/>
  <c r="E82" i="1"/>
  <c r="E83" i="1"/>
  <c r="E84" i="1"/>
  <c r="E249" i="1" s="1"/>
  <c r="E85" i="1"/>
  <c r="E86" i="1"/>
  <c r="E87" i="1"/>
  <c r="E88" i="1"/>
  <c r="E253" i="1" s="1"/>
  <c r="E89" i="1"/>
  <c r="E254" i="1" s="1"/>
  <c r="E90" i="1"/>
  <c r="E255" i="1" s="1"/>
  <c r="E91" i="1"/>
  <c r="E256" i="1" s="1"/>
  <c r="E92" i="1"/>
  <c r="E257" i="1" s="1"/>
  <c r="E93" i="1"/>
  <c r="E258" i="1" s="1"/>
  <c r="E94" i="1"/>
  <c r="E259" i="1" s="1"/>
  <c r="E95" i="1"/>
  <c r="E260" i="1" s="1"/>
  <c r="E96" i="1"/>
  <c r="E97" i="1"/>
  <c r="E98" i="1"/>
  <c r="E263" i="1" s="1"/>
  <c r="E99" i="1"/>
  <c r="E264" i="1" s="1"/>
  <c r="E100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G23" i="1"/>
  <c r="G23" i="15" s="1"/>
  <c r="G24" i="1"/>
  <c r="G25" i="1"/>
  <c r="G26" i="1"/>
  <c r="G27" i="1"/>
  <c r="G28" i="1"/>
  <c r="G20" i="1"/>
  <c r="G21" i="1"/>
  <c r="G22" i="1"/>
  <c r="F20" i="1"/>
  <c r="F21" i="1"/>
  <c r="F22" i="1"/>
  <c r="F23" i="1"/>
  <c r="F24" i="1"/>
  <c r="F25" i="1"/>
  <c r="F26" i="1"/>
  <c r="F27" i="1"/>
  <c r="F28" i="1"/>
  <c r="B19" i="1"/>
  <c r="B52" i="1" s="1"/>
  <c r="D52" i="1"/>
  <c r="B20" i="1"/>
  <c r="B53" i="1" s="1"/>
  <c r="D53" i="1"/>
  <c r="B21" i="1"/>
  <c r="B54" i="1" s="1"/>
  <c r="D54" i="1"/>
  <c r="B22" i="1"/>
  <c r="B55" i="1" s="1"/>
  <c r="D55" i="1"/>
  <c r="B23" i="1"/>
  <c r="B56" i="1" s="1"/>
  <c r="D56" i="1"/>
  <c r="B24" i="1"/>
  <c r="B57" i="1" s="1"/>
  <c r="D57" i="1"/>
  <c r="B25" i="1"/>
  <c r="B58" i="1" s="1"/>
  <c r="D58" i="1"/>
  <c r="B26" i="1"/>
  <c r="B59" i="1" s="1"/>
  <c r="D59" i="1"/>
  <c r="B27" i="1"/>
  <c r="B60" i="1" s="1"/>
  <c r="D93" i="1"/>
  <c r="D126" i="1" s="1"/>
  <c r="D159" i="1" s="1"/>
  <c r="B28" i="1"/>
  <c r="B61" i="1" s="1"/>
  <c r="D61" i="1"/>
  <c r="F19" i="1"/>
  <c r="B18" i="1"/>
  <c r="B51" i="1" s="1"/>
  <c r="G11" i="1"/>
  <c r="G12" i="1"/>
  <c r="G13" i="1"/>
  <c r="G14" i="1"/>
  <c r="G15" i="1"/>
  <c r="G16" i="1"/>
  <c r="G17" i="1"/>
  <c r="G18" i="1"/>
  <c r="G19" i="1"/>
  <c r="G10" i="1"/>
  <c r="F11" i="1"/>
  <c r="F12" i="1"/>
  <c r="F13" i="1"/>
  <c r="F14" i="1"/>
  <c r="F15" i="1"/>
  <c r="F16" i="1"/>
  <c r="F17" i="1"/>
  <c r="F18" i="1"/>
  <c r="F10" i="1"/>
  <c r="D11" i="8"/>
  <c r="D12" i="8"/>
  <c r="D46" i="1"/>
  <c r="D47" i="1"/>
  <c r="D48" i="1"/>
  <c r="D49" i="1"/>
  <c r="D50" i="1"/>
  <c r="D51" i="1"/>
  <c r="D10" i="8"/>
  <c r="B11" i="1"/>
  <c r="B11" i="8" s="1"/>
  <c r="B12" i="1"/>
  <c r="B12" i="8" s="1"/>
  <c r="B13" i="1"/>
  <c r="B46" i="1" s="1"/>
  <c r="B14" i="1"/>
  <c r="B47" i="1" s="1"/>
  <c r="B15" i="1"/>
  <c r="B48" i="1" s="1"/>
  <c r="B16" i="1"/>
  <c r="B49" i="1" s="1"/>
  <c r="B17" i="1"/>
  <c r="B50" i="1" s="1"/>
  <c r="B10" i="1"/>
  <c r="B10" i="8" s="1"/>
  <c r="I19" i="25"/>
  <c r="I20" i="25"/>
  <c r="I65" i="24" l="1"/>
  <c r="K65" i="24"/>
  <c r="G65" i="24"/>
  <c r="J34" i="25"/>
  <c r="J33" i="25"/>
  <c r="J32" i="25"/>
  <c r="J31" i="25"/>
  <c r="J20" i="25"/>
  <c r="J19" i="25"/>
  <c r="F10" i="8"/>
  <c r="F54" i="1"/>
  <c r="F51" i="1"/>
  <c r="F53" i="1"/>
  <c r="F99" i="1"/>
  <c r="F264" i="1" s="1"/>
  <c r="F62" i="1"/>
  <c r="F50" i="1"/>
  <c r="F49" i="1"/>
  <c r="F55" i="1"/>
  <c r="F52" i="1"/>
  <c r="F56" i="1"/>
  <c r="F48" i="1"/>
  <c r="F47" i="1"/>
  <c r="F98" i="1"/>
  <c r="F263" i="1" s="1"/>
  <c r="F101" i="1"/>
  <c r="F200" i="1" s="1"/>
  <c r="F233" i="1" s="1"/>
  <c r="F46" i="1"/>
  <c r="F31" i="15"/>
  <c r="F62" i="15" s="1"/>
  <c r="F93" i="15" s="1"/>
  <c r="F124" i="15" s="1"/>
  <c r="F156" i="15" s="1"/>
  <c r="F12" i="8"/>
  <c r="F11" i="8"/>
  <c r="F61" i="1"/>
  <c r="F60" i="1"/>
  <c r="F59" i="1"/>
  <c r="F58" i="1"/>
  <c r="F57" i="1"/>
  <c r="F100" i="1"/>
  <c r="F199" i="1" s="1"/>
  <c r="F232" i="1" s="1"/>
  <c r="F63" i="1"/>
  <c r="G55" i="1"/>
  <c r="G54" i="1"/>
  <c r="G65" i="1"/>
  <c r="G68" i="1"/>
  <c r="G66" i="1"/>
  <c r="G62" i="1"/>
  <c r="G11" i="8"/>
  <c r="G61" i="1"/>
  <c r="G53" i="1"/>
  <c r="G58" i="1"/>
  <c r="G97" i="1"/>
  <c r="G196" i="1" s="1"/>
  <c r="G229" i="1" s="1"/>
  <c r="G12" i="8"/>
  <c r="G10" i="8"/>
  <c r="G57" i="1"/>
  <c r="G59" i="1"/>
  <c r="G56" i="1"/>
  <c r="G51" i="1"/>
  <c r="G50" i="1"/>
  <c r="G100" i="1"/>
  <c r="G199" i="1" s="1"/>
  <c r="G232" i="1" s="1"/>
  <c r="G63" i="1"/>
  <c r="G46" i="1"/>
  <c r="G52" i="1"/>
  <c r="G49" i="1"/>
  <c r="G60" i="1"/>
  <c r="G48" i="1"/>
  <c r="G47" i="1"/>
  <c r="D33" i="15"/>
  <c r="D64" i="15" s="1"/>
  <c r="D95" i="15" s="1"/>
  <c r="D126" i="15" s="1"/>
  <c r="D158" i="15" s="1"/>
  <c r="D32" i="15"/>
  <c r="D63" i="15" s="1"/>
  <c r="D94" i="15" s="1"/>
  <c r="D125" i="15" s="1"/>
  <c r="D157" i="15" s="1"/>
  <c r="B19" i="8"/>
  <c r="G32" i="8"/>
  <c r="E265" i="1"/>
  <c r="C32" i="5"/>
  <c r="C32" i="10" s="1"/>
  <c r="D31" i="8"/>
  <c r="F23" i="8"/>
  <c r="G16" i="8"/>
  <c r="E28" i="5"/>
  <c r="E28" i="10" s="1"/>
  <c r="G34" i="15"/>
  <c r="F34" i="15"/>
  <c r="F65" i="15" s="1"/>
  <c r="F96" i="15" s="1"/>
  <c r="F127" i="15" s="1"/>
  <c r="F159" i="15" s="1"/>
  <c r="E13" i="5"/>
  <c r="E13" i="10" s="1"/>
  <c r="D21" i="8"/>
  <c r="D34" i="15"/>
  <c r="D65" i="15" s="1"/>
  <c r="D96" i="15" s="1"/>
  <c r="D127" i="15" s="1"/>
  <c r="D159" i="15" s="1"/>
  <c r="D31" i="5"/>
  <c r="D31" i="10" s="1"/>
  <c r="G33" i="8"/>
  <c r="F33" i="8"/>
  <c r="G33" i="15"/>
  <c r="G64" i="15" s="1"/>
  <c r="G95" i="15" s="1"/>
  <c r="G126" i="15" s="1"/>
  <c r="G158" i="15" s="1"/>
  <c r="F33" i="15"/>
  <c r="F64" i="15" s="1"/>
  <c r="F95" i="15" s="1"/>
  <c r="F126" i="15" s="1"/>
  <c r="F158" i="15" s="1"/>
  <c r="D33" i="8"/>
  <c r="D265" i="1"/>
  <c r="B34" i="15"/>
  <c r="B33" i="8"/>
  <c r="G30" i="8"/>
  <c r="F21" i="8"/>
  <c r="D19" i="8"/>
  <c r="B17" i="8"/>
  <c r="G14" i="8"/>
  <c r="B32" i="15"/>
  <c r="B265" i="1"/>
  <c r="E21" i="5"/>
  <c r="E21" i="10" s="1"/>
  <c r="E14" i="5"/>
  <c r="E14" i="10" s="1"/>
  <c r="F30" i="8"/>
  <c r="D28" i="8"/>
  <c r="B26" i="8"/>
  <c r="G23" i="8"/>
  <c r="F14" i="8"/>
  <c r="B35" i="8"/>
  <c r="F32" i="8"/>
  <c r="D30" i="8"/>
  <c r="B28" i="8"/>
  <c r="G25" i="8"/>
  <c r="F16" i="8"/>
  <c r="D14" i="8"/>
  <c r="G35" i="15"/>
  <c r="E34" i="5"/>
  <c r="E34" i="10" s="1"/>
  <c r="E27" i="5"/>
  <c r="E27" i="10" s="1"/>
  <c r="E20" i="5"/>
  <c r="E20" i="10" s="1"/>
  <c r="G34" i="8"/>
  <c r="F25" i="8"/>
  <c r="D23" i="8"/>
  <c r="B21" i="8"/>
  <c r="G18" i="8"/>
  <c r="E35" i="5"/>
  <c r="E35" i="10" s="1"/>
  <c r="F34" i="8"/>
  <c r="D32" i="8"/>
  <c r="B30" i="8"/>
  <c r="G27" i="8"/>
  <c r="F18" i="8"/>
  <c r="D16" i="8"/>
  <c r="B14" i="8"/>
  <c r="C34" i="5"/>
  <c r="C34" i="10" s="1"/>
  <c r="E33" i="5"/>
  <c r="E33" i="10" s="1"/>
  <c r="E26" i="5"/>
  <c r="E26" i="10" s="1"/>
  <c r="E19" i="5"/>
  <c r="E19" i="10" s="1"/>
  <c r="F27" i="8"/>
  <c r="D25" i="8"/>
  <c r="B23" i="8"/>
  <c r="G20" i="8"/>
  <c r="E266" i="1"/>
  <c r="D35" i="15"/>
  <c r="B33" i="15"/>
  <c r="C35" i="5"/>
  <c r="C35" i="10" s="1"/>
  <c r="D34" i="8"/>
  <c r="B32" i="8"/>
  <c r="G29" i="8"/>
  <c r="F20" i="8"/>
  <c r="D18" i="8"/>
  <c r="B16" i="8"/>
  <c r="G13" i="8"/>
  <c r="F35" i="15"/>
  <c r="C33" i="5"/>
  <c r="C33" i="10" s="1"/>
  <c r="E25" i="5"/>
  <c r="E25" i="10" s="1"/>
  <c r="E18" i="5"/>
  <c r="E18" i="10" s="1"/>
  <c r="F29" i="8"/>
  <c r="D27" i="8"/>
  <c r="B25" i="8"/>
  <c r="G22" i="8"/>
  <c r="F13" i="8"/>
  <c r="B35" i="15"/>
  <c r="G32" i="15"/>
  <c r="E32" i="5"/>
  <c r="E32" i="10" s="1"/>
  <c r="B34" i="8"/>
  <c r="G31" i="8"/>
  <c r="F22" i="8"/>
  <c r="D20" i="8"/>
  <c r="B18" i="8"/>
  <c r="G15" i="8"/>
  <c r="B266" i="1"/>
  <c r="F32" i="15"/>
  <c r="E17" i="5"/>
  <c r="E17" i="10" s="1"/>
  <c r="F31" i="8"/>
  <c r="D29" i="8"/>
  <c r="B27" i="8"/>
  <c r="G24" i="8"/>
  <c r="F15" i="8"/>
  <c r="D13" i="8"/>
  <c r="E31" i="5"/>
  <c r="E31" i="10" s="1"/>
  <c r="E24" i="5"/>
  <c r="E24" i="10" s="1"/>
  <c r="F24" i="8"/>
  <c r="D22" i="8"/>
  <c r="B20" i="8"/>
  <c r="G17" i="8"/>
  <c r="B29" i="8"/>
  <c r="G26" i="8"/>
  <c r="F17" i="8"/>
  <c r="D15" i="8"/>
  <c r="B13" i="8"/>
  <c r="G35" i="8"/>
  <c r="E30" i="5"/>
  <c r="E30" i="10" s="1"/>
  <c r="E23" i="5"/>
  <c r="E23" i="10" s="1"/>
  <c r="E16" i="5"/>
  <c r="E16" i="10" s="1"/>
  <c r="F26" i="8"/>
  <c r="D24" i="8"/>
  <c r="B22" i="8"/>
  <c r="G19" i="8"/>
  <c r="F35" i="8"/>
  <c r="B31" i="8"/>
  <c r="G28" i="8"/>
  <c r="F19" i="8"/>
  <c r="D17" i="8"/>
  <c r="B15" i="8"/>
  <c r="E29" i="5"/>
  <c r="E29" i="10" s="1"/>
  <c r="E22" i="5"/>
  <c r="E22" i="10" s="1"/>
  <c r="E15" i="5"/>
  <c r="E15" i="10" s="1"/>
  <c r="F28" i="8"/>
  <c r="D26" i="8"/>
  <c r="B24" i="8"/>
  <c r="G21" i="8"/>
  <c r="D35" i="8"/>
  <c r="B199" i="1"/>
  <c r="B232" i="1" s="1"/>
  <c r="B167" i="1"/>
  <c r="B200" i="1"/>
  <c r="B233" i="1" s="1"/>
  <c r="D97" i="1"/>
  <c r="G101" i="1"/>
  <c r="G266" i="1" s="1"/>
  <c r="G67" i="1"/>
  <c r="B67" i="1"/>
  <c r="D132" i="1"/>
  <c r="D165" i="1" s="1"/>
  <c r="B68" i="1"/>
  <c r="D101" i="1"/>
  <c r="D266" i="1" s="1"/>
  <c r="F68" i="1"/>
  <c r="F65" i="1"/>
  <c r="D64" i="1"/>
  <c r="F67" i="1"/>
  <c r="G99" i="1"/>
  <c r="G198" i="1" s="1"/>
  <c r="G231" i="1" s="1"/>
  <c r="B99" i="1"/>
  <c r="G98" i="1"/>
  <c r="G263" i="1" s="1"/>
  <c r="F66" i="1"/>
  <c r="D66" i="1"/>
  <c r="E246" i="1"/>
  <c r="D67" i="1"/>
  <c r="G96" i="1"/>
  <c r="E129" i="1" s="1"/>
  <c r="E162" i="1" s="1"/>
  <c r="D96" i="1"/>
  <c r="G30" i="15"/>
  <c r="F30" i="15"/>
  <c r="D30" i="15"/>
  <c r="A14" i="25"/>
  <c r="C47" i="1"/>
  <c r="C46" i="1"/>
  <c r="F97" i="1"/>
  <c r="F262" i="1" s="1"/>
  <c r="E251" i="1"/>
  <c r="D21" i="15"/>
  <c r="E248" i="1"/>
  <c r="F96" i="1"/>
  <c r="F261" i="1" s="1"/>
  <c r="E245" i="1"/>
  <c r="F64" i="1"/>
  <c r="E262" i="1"/>
  <c r="G64" i="1"/>
  <c r="G31" i="15"/>
  <c r="D98" i="1"/>
  <c r="B98" i="1"/>
  <c r="G27" i="15"/>
  <c r="B22" i="15"/>
  <c r="G19" i="15"/>
  <c r="D15" i="15"/>
  <c r="B13" i="15"/>
  <c r="D24" i="15"/>
  <c r="B19" i="15"/>
  <c r="F29" i="15"/>
  <c r="B30" i="15"/>
  <c r="F23" i="15"/>
  <c r="G16" i="15"/>
  <c r="F27" i="15"/>
  <c r="F19" i="15"/>
  <c r="D17" i="15"/>
  <c r="B15" i="15"/>
  <c r="G29" i="15"/>
  <c r="B24" i="15"/>
  <c r="G21" i="15"/>
  <c r="D27" i="15"/>
  <c r="F21" i="15"/>
  <c r="D19" i="15"/>
  <c r="B17" i="15"/>
  <c r="G14" i="15"/>
  <c r="F17" i="15"/>
  <c r="F14" i="15"/>
  <c r="D29" i="15"/>
  <c r="B27" i="15"/>
  <c r="G25" i="15"/>
  <c r="F16" i="15"/>
  <c r="D14" i="15"/>
  <c r="B29" i="15"/>
  <c r="G26" i="15"/>
  <c r="F25" i="15"/>
  <c r="D23" i="15"/>
  <c r="B21" i="15"/>
  <c r="G18" i="15"/>
  <c r="F26" i="15"/>
  <c r="F18" i="15"/>
  <c r="D16" i="15"/>
  <c r="B14" i="15"/>
  <c r="G28" i="15"/>
  <c r="D25" i="15"/>
  <c r="B23" i="15"/>
  <c r="G20" i="15"/>
  <c r="F28" i="15"/>
  <c r="D26" i="15"/>
  <c r="B31" i="15"/>
  <c r="F20" i="15"/>
  <c r="D18" i="15"/>
  <c r="B16" i="15"/>
  <c r="G13" i="15"/>
  <c r="B25" i="15"/>
  <c r="G22" i="15"/>
  <c r="F13" i="15"/>
  <c r="D28" i="15"/>
  <c r="B26" i="15"/>
  <c r="D258" i="1"/>
  <c r="F22" i="15"/>
  <c r="D20" i="15"/>
  <c r="B18" i="15"/>
  <c r="G15" i="15"/>
  <c r="G24" i="15"/>
  <c r="F15" i="15"/>
  <c r="D13" i="15"/>
  <c r="B28" i="15"/>
  <c r="F24" i="15"/>
  <c r="D22" i="15"/>
  <c r="B20" i="15"/>
  <c r="G17" i="15"/>
  <c r="C13" i="15"/>
  <c r="B85" i="1"/>
  <c r="E250" i="1"/>
  <c r="E252" i="1"/>
  <c r="E247" i="1"/>
  <c r="E261" i="1"/>
  <c r="D85" i="1"/>
  <c r="D250" i="1" s="1"/>
  <c r="D95" i="1"/>
  <c r="D260" i="1" s="1"/>
  <c r="G83" i="1"/>
  <c r="G248" i="1" s="1"/>
  <c r="G37" i="1"/>
  <c r="B90" i="1"/>
  <c r="D88" i="1"/>
  <c r="D253" i="1" s="1"/>
  <c r="D79" i="1"/>
  <c r="D244" i="1" s="1"/>
  <c r="G79" i="1"/>
  <c r="G244" i="1" s="1"/>
  <c r="G95" i="1"/>
  <c r="G260" i="1" s="1"/>
  <c r="B88" i="1"/>
  <c r="F95" i="1"/>
  <c r="B79" i="1"/>
  <c r="F83" i="1"/>
  <c r="B93" i="1"/>
  <c r="G92" i="1"/>
  <c r="G257" i="1" s="1"/>
  <c r="G87" i="1"/>
  <c r="G252" i="1" s="1"/>
  <c r="F87" i="1"/>
  <c r="D92" i="1"/>
  <c r="D257" i="1" s="1"/>
  <c r="F81" i="1"/>
  <c r="F86" i="1"/>
  <c r="B91" i="1"/>
  <c r="D81" i="1"/>
  <c r="D246" i="1" s="1"/>
  <c r="F82" i="1"/>
  <c r="G90" i="1"/>
  <c r="G255" i="1" s="1"/>
  <c r="F90" i="1"/>
  <c r="B86" i="1"/>
  <c r="G80" i="1"/>
  <c r="G245" i="1" s="1"/>
  <c r="B95" i="1"/>
  <c r="F92" i="1"/>
  <c r="G85" i="1"/>
  <c r="G250" i="1" s="1"/>
  <c r="B97" i="1"/>
  <c r="F85" i="1"/>
  <c r="B81" i="1"/>
  <c r="F94" i="1"/>
  <c r="B83" i="1"/>
  <c r="D94" i="1"/>
  <c r="D259" i="1" s="1"/>
  <c r="B92" i="1"/>
  <c r="G89" i="1"/>
  <c r="G254" i="1" s="1"/>
  <c r="F80" i="1"/>
  <c r="D90" i="1"/>
  <c r="D255" i="1" s="1"/>
  <c r="F89" i="1"/>
  <c r="D87" i="1"/>
  <c r="D252" i="1" s="1"/>
  <c r="G82" i="1"/>
  <c r="G247" i="1" s="1"/>
  <c r="B94" i="1"/>
  <c r="D80" i="1"/>
  <c r="D245" i="1" s="1"/>
  <c r="D60" i="1"/>
  <c r="F91" i="1"/>
  <c r="D89" i="1"/>
  <c r="D254" i="1" s="1"/>
  <c r="B87" i="1"/>
  <c r="G84" i="1"/>
  <c r="G249" i="1" s="1"/>
  <c r="G91" i="1"/>
  <c r="G256" i="1" s="1"/>
  <c r="B96" i="1"/>
  <c r="G93" i="1"/>
  <c r="G258" i="1" s="1"/>
  <c r="F84" i="1"/>
  <c r="D82" i="1"/>
  <c r="D247" i="1" s="1"/>
  <c r="B80" i="1"/>
  <c r="G94" i="1"/>
  <c r="G259" i="1" s="1"/>
  <c r="D83" i="1"/>
  <c r="D248" i="1" s="1"/>
  <c r="F93" i="1"/>
  <c r="D91" i="1"/>
  <c r="D256" i="1" s="1"/>
  <c r="B89" i="1"/>
  <c r="G86" i="1"/>
  <c r="G251" i="1" s="1"/>
  <c r="D84" i="1"/>
  <c r="D249" i="1" s="1"/>
  <c r="B82" i="1"/>
  <c r="G88" i="1"/>
  <c r="G253" i="1" s="1"/>
  <c r="F79" i="1"/>
  <c r="F88" i="1"/>
  <c r="D86" i="1"/>
  <c r="D251" i="1" s="1"/>
  <c r="B84" i="1"/>
  <c r="G81" i="1"/>
  <c r="G246" i="1" s="1"/>
  <c r="I25" i="25"/>
  <c r="I26" i="25"/>
  <c r="I27" i="25"/>
  <c r="I28" i="25"/>
  <c r="I29" i="25"/>
  <c r="I30" i="25"/>
  <c r="I24" i="25"/>
  <c r="I21" i="25"/>
  <c r="I22" i="25"/>
  <c r="I23" i="25"/>
  <c r="I10" i="25"/>
  <c r="I11" i="25"/>
  <c r="I12" i="25"/>
  <c r="I13" i="25"/>
  <c r="I14" i="25"/>
  <c r="I15" i="25"/>
  <c r="I16" i="25"/>
  <c r="I17" i="25"/>
  <c r="J17" i="25" s="1"/>
  <c r="I18" i="25"/>
  <c r="A11" i="15"/>
  <c r="A42" i="15" s="1"/>
  <c r="A73" i="15" s="1"/>
  <c r="A104" i="15" s="1"/>
  <c r="A136" i="15" s="1"/>
  <c r="A10" i="15"/>
  <c r="A41" i="15" s="1"/>
  <c r="A72" i="15" s="1"/>
  <c r="A103" i="15" s="1"/>
  <c r="A135" i="15" s="1"/>
  <c r="D240" i="1"/>
  <c r="A77" i="1"/>
  <c r="A242" i="1" s="1"/>
  <c r="A76" i="1"/>
  <c r="A241" i="1" s="1"/>
  <c r="A44" i="1"/>
  <c r="A43" i="1"/>
  <c r="O65" i="24" l="1"/>
  <c r="M65" i="24"/>
  <c r="J18" i="25"/>
  <c r="J27" i="25"/>
  <c r="J26" i="25"/>
  <c r="J16" i="25"/>
  <c r="J25" i="25"/>
  <c r="J28" i="25"/>
  <c r="J14" i="25"/>
  <c r="J15" i="25"/>
  <c r="J13" i="25"/>
  <c r="J11" i="25"/>
  <c r="J10" i="25"/>
  <c r="J12" i="25"/>
  <c r="J22" i="25"/>
  <c r="J24" i="25"/>
  <c r="J21" i="25"/>
  <c r="J30" i="25"/>
  <c r="J23" i="25"/>
  <c r="J29" i="25"/>
  <c r="F197" i="1"/>
  <c r="F230" i="1" s="1"/>
  <c r="F31" i="5"/>
  <c r="F31" i="10" s="1"/>
  <c r="F198" i="1"/>
  <c r="F231" i="1" s="1"/>
  <c r="E15" i="24"/>
  <c r="F266" i="1"/>
  <c r="E130" i="1"/>
  <c r="E163" i="1" s="1"/>
  <c r="E133" i="1"/>
  <c r="E166" i="1" s="1"/>
  <c r="G262" i="1"/>
  <c r="F265" i="1"/>
  <c r="G265" i="1"/>
  <c r="D32" i="5"/>
  <c r="D32" i="10" s="1"/>
  <c r="D34" i="5"/>
  <c r="D34" i="10" s="1"/>
  <c r="D33" i="5"/>
  <c r="D33" i="10" s="1"/>
  <c r="F34" i="5"/>
  <c r="F34" i="10" s="1"/>
  <c r="F33" i="5"/>
  <c r="F33" i="10" s="1"/>
  <c r="G33" i="5"/>
  <c r="G33" i="10" s="1"/>
  <c r="G65" i="15"/>
  <c r="G96" i="15" s="1"/>
  <c r="G127" i="15" s="1"/>
  <c r="G159" i="15" s="1"/>
  <c r="G34" i="5"/>
  <c r="G34" i="10" s="1"/>
  <c r="B59" i="15"/>
  <c r="B90" i="15" s="1"/>
  <c r="B121" i="15" s="1"/>
  <c r="B153" i="15" s="1"/>
  <c r="B28" i="5"/>
  <c r="B28" i="10" s="1"/>
  <c r="D49" i="15"/>
  <c r="D80" i="15" s="1"/>
  <c r="D111" i="15" s="1"/>
  <c r="D143" i="15" s="1"/>
  <c r="D18" i="5"/>
  <c r="D18" i="10" s="1"/>
  <c r="F56" i="15"/>
  <c r="F87" i="15" s="1"/>
  <c r="F118" i="15" s="1"/>
  <c r="F150" i="15" s="1"/>
  <c r="F25" i="5"/>
  <c r="F25" i="10" s="1"/>
  <c r="G52" i="15"/>
  <c r="G83" i="15" s="1"/>
  <c r="G114" i="15" s="1"/>
  <c r="G146" i="15" s="1"/>
  <c r="G21" i="5"/>
  <c r="G21" i="10" s="1"/>
  <c r="B53" i="15"/>
  <c r="B84" i="15" s="1"/>
  <c r="B115" i="15" s="1"/>
  <c r="B147" i="15" s="1"/>
  <c r="B22" i="5"/>
  <c r="B22" i="10" s="1"/>
  <c r="B65" i="15"/>
  <c r="B96" i="15" s="1"/>
  <c r="B127" i="15" s="1"/>
  <c r="B159" i="15" s="1"/>
  <c r="B34" i="5"/>
  <c r="B34" i="10" s="1"/>
  <c r="D44" i="15"/>
  <c r="D75" i="15" s="1"/>
  <c r="D106" i="15" s="1"/>
  <c r="D138" i="15" s="1"/>
  <c r="D13" i="5"/>
  <c r="D13" i="10" s="1"/>
  <c r="F51" i="15"/>
  <c r="F82" i="15" s="1"/>
  <c r="F113" i="15" s="1"/>
  <c r="F145" i="15" s="1"/>
  <c r="F20" i="5"/>
  <c r="F20" i="10" s="1"/>
  <c r="G57" i="15"/>
  <c r="G88" i="15" s="1"/>
  <c r="G119" i="15" s="1"/>
  <c r="G151" i="15" s="1"/>
  <c r="G26" i="5"/>
  <c r="G26" i="10" s="1"/>
  <c r="B55" i="15"/>
  <c r="B86" i="15" s="1"/>
  <c r="B117" i="15" s="1"/>
  <c r="B149" i="15" s="1"/>
  <c r="B24" i="5"/>
  <c r="B24" i="10" s="1"/>
  <c r="G58" i="15"/>
  <c r="G89" i="15" s="1"/>
  <c r="G120" i="15" s="1"/>
  <c r="G152" i="15" s="1"/>
  <c r="G27" i="5"/>
  <c r="G27" i="10" s="1"/>
  <c r="D55" i="15"/>
  <c r="D86" i="15" s="1"/>
  <c r="D117" i="15" s="1"/>
  <c r="D149" i="15" s="1"/>
  <c r="D24" i="5"/>
  <c r="D24" i="10" s="1"/>
  <c r="B51" i="15"/>
  <c r="B82" i="15" s="1"/>
  <c r="B113" i="15" s="1"/>
  <c r="B145" i="15" s="1"/>
  <c r="B20" i="5"/>
  <c r="B20" i="10" s="1"/>
  <c r="B47" i="15"/>
  <c r="B78" i="15" s="1"/>
  <c r="B109" i="15" s="1"/>
  <c r="B141" i="15" s="1"/>
  <c r="B16" i="5"/>
  <c r="B16" i="10" s="1"/>
  <c r="B64" i="15"/>
  <c r="B95" i="15" s="1"/>
  <c r="B126" i="15" s="1"/>
  <c r="B158" i="15" s="1"/>
  <c r="B33" i="5"/>
  <c r="B33" i="10" s="1"/>
  <c r="G55" i="15"/>
  <c r="G86" i="15" s="1"/>
  <c r="G117" i="15" s="1"/>
  <c r="G149" i="15" s="1"/>
  <c r="G24" i="5"/>
  <c r="G24" i="10" s="1"/>
  <c r="D57" i="15"/>
  <c r="D88" i="15" s="1"/>
  <c r="D119" i="15" s="1"/>
  <c r="D151" i="15" s="1"/>
  <c r="D26" i="5"/>
  <c r="D26" i="10" s="1"/>
  <c r="D45" i="15"/>
  <c r="D76" i="15" s="1"/>
  <c r="D107" i="15" s="1"/>
  <c r="D139" i="15" s="1"/>
  <c r="D14" i="5"/>
  <c r="D14" i="10" s="1"/>
  <c r="B46" i="15"/>
  <c r="B77" i="15" s="1"/>
  <c r="B108" i="15" s="1"/>
  <c r="B140" i="15" s="1"/>
  <c r="B15" i="5"/>
  <c r="B15" i="10" s="1"/>
  <c r="D66" i="15"/>
  <c r="D97" i="15" s="1"/>
  <c r="D128" i="15" s="1"/>
  <c r="D160" i="15" s="1"/>
  <c r="D35" i="5"/>
  <c r="D35" i="10" s="1"/>
  <c r="B48" i="15"/>
  <c r="B79" i="15" s="1"/>
  <c r="B110" i="15" s="1"/>
  <c r="B142" i="15" s="1"/>
  <c r="B17" i="5"/>
  <c r="B17" i="10" s="1"/>
  <c r="B56" i="15"/>
  <c r="B87" i="15" s="1"/>
  <c r="B118" i="15" s="1"/>
  <c r="B150" i="15" s="1"/>
  <c r="B25" i="5"/>
  <c r="B25" i="10" s="1"/>
  <c r="D54" i="15"/>
  <c r="D85" i="15" s="1"/>
  <c r="D116" i="15" s="1"/>
  <c r="D148" i="15" s="1"/>
  <c r="D23" i="5"/>
  <c r="D23" i="10" s="1"/>
  <c r="G50" i="15"/>
  <c r="G81" i="15" s="1"/>
  <c r="G112" i="15" s="1"/>
  <c r="G144" i="15" s="1"/>
  <c r="G19" i="5"/>
  <c r="G19" i="10" s="1"/>
  <c r="F46" i="15"/>
  <c r="F77" i="15" s="1"/>
  <c r="F108" i="15" s="1"/>
  <c r="F140" i="15" s="1"/>
  <c r="F15" i="5"/>
  <c r="F15" i="10" s="1"/>
  <c r="G60" i="15"/>
  <c r="G91" i="15" s="1"/>
  <c r="G122" i="15" s="1"/>
  <c r="G154" i="15" s="1"/>
  <c r="G29" i="5"/>
  <c r="G29" i="10" s="1"/>
  <c r="F59" i="15"/>
  <c r="F90" i="15" s="1"/>
  <c r="F121" i="15" s="1"/>
  <c r="F153" i="15" s="1"/>
  <c r="F28" i="5"/>
  <c r="F28" i="10" s="1"/>
  <c r="F47" i="15"/>
  <c r="F78" i="15" s="1"/>
  <c r="F109" i="15" s="1"/>
  <c r="F141" i="15" s="1"/>
  <c r="F16" i="5"/>
  <c r="F16" i="10" s="1"/>
  <c r="G56" i="15"/>
  <c r="G87" i="15" s="1"/>
  <c r="G118" i="15" s="1"/>
  <c r="G150" i="15" s="1"/>
  <c r="G25" i="5"/>
  <c r="G25" i="10" s="1"/>
  <c r="F50" i="15"/>
  <c r="F81" i="15" s="1"/>
  <c r="F112" i="15" s="1"/>
  <c r="F144" i="15" s="1"/>
  <c r="F19" i="5"/>
  <c r="F19" i="10" s="1"/>
  <c r="D51" i="15"/>
  <c r="D82" i="15" s="1"/>
  <c r="D113" i="15" s="1"/>
  <c r="D145" i="15" s="1"/>
  <c r="D20" i="5"/>
  <c r="D20" i="10" s="1"/>
  <c r="B54" i="15"/>
  <c r="B85" i="15" s="1"/>
  <c r="B116" i="15" s="1"/>
  <c r="B148" i="15" s="1"/>
  <c r="B23" i="5"/>
  <c r="B23" i="10" s="1"/>
  <c r="B58" i="15"/>
  <c r="B89" i="15" s="1"/>
  <c r="B120" i="15" s="1"/>
  <c r="B152" i="15" s="1"/>
  <c r="B27" i="5"/>
  <c r="B27" i="10" s="1"/>
  <c r="F58" i="15"/>
  <c r="F89" i="15" s="1"/>
  <c r="F120" i="15" s="1"/>
  <c r="F152" i="15" s="1"/>
  <c r="F27" i="5"/>
  <c r="F27" i="10" s="1"/>
  <c r="D61" i="15"/>
  <c r="D92" i="15" s="1"/>
  <c r="D123" i="15" s="1"/>
  <c r="D155" i="15" s="1"/>
  <c r="D30" i="5"/>
  <c r="D30" i="10" s="1"/>
  <c r="B66" i="15"/>
  <c r="B97" i="15" s="1"/>
  <c r="B128" i="15" s="1"/>
  <c r="B160" i="15" s="1"/>
  <c r="B35" i="5"/>
  <c r="B35" i="10" s="1"/>
  <c r="F66" i="15"/>
  <c r="F97" i="15" s="1"/>
  <c r="F128" i="15" s="1"/>
  <c r="F160" i="15" s="1"/>
  <c r="F35" i="5"/>
  <c r="F35" i="10" s="1"/>
  <c r="G48" i="15"/>
  <c r="G79" i="15" s="1"/>
  <c r="G110" i="15" s="1"/>
  <c r="G142" i="15" s="1"/>
  <c r="G17" i="5"/>
  <c r="G17" i="10" s="1"/>
  <c r="F55" i="15"/>
  <c r="F86" i="15" s="1"/>
  <c r="F117" i="15" s="1"/>
  <c r="F149" i="15" s="1"/>
  <c r="F24" i="5"/>
  <c r="F24" i="10" s="1"/>
  <c r="D48" i="15"/>
  <c r="D79" i="15" s="1"/>
  <c r="D110" i="15" s="1"/>
  <c r="D142" i="15" s="1"/>
  <c r="D17" i="5"/>
  <c r="D17" i="10" s="1"/>
  <c r="G51" i="15"/>
  <c r="G82" i="15" s="1"/>
  <c r="G113" i="15" s="1"/>
  <c r="G145" i="15" s="1"/>
  <c r="G20" i="5"/>
  <c r="G20" i="10" s="1"/>
  <c r="G62" i="15"/>
  <c r="G93" i="15" s="1"/>
  <c r="G124" i="15" s="1"/>
  <c r="G156" i="15" s="1"/>
  <c r="G31" i="5"/>
  <c r="G31" i="10" s="1"/>
  <c r="G63" i="15"/>
  <c r="G94" i="15" s="1"/>
  <c r="G125" i="15" s="1"/>
  <c r="G157" i="15" s="1"/>
  <c r="G32" i="5"/>
  <c r="G32" i="10" s="1"/>
  <c r="D56" i="15"/>
  <c r="D87" i="15" s="1"/>
  <c r="D118" i="15" s="1"/>
  <c r="D150" i="15" s="1"/>
  <c r="D25" i="5"/>
  <c r="D25" i="10" s="1"/>
  <c r="G47" i="15"/>
  <c r="G78" i="15" s="1"/>
  <c r="G109" i="15" s="1"/>
  <c r="G141" i="15" s="1"/>
  <c r="G16" i="5"/>
  <c r="G16" i="10" s="1"/>
  <c r="F61" i="15"/>
  <c r="F92" i="15" s="1"/>
  <c r="F123" i="15" s="1"/>
  <c r="F155" i="15" s="1"/>
  <c r="F30" i="5"/>
  <c r="F30" i="10" s="1"/>
  <c r="G53" i="15"/>
  <c r="G84" i="15" s="1"/>
  <c r="G115" i="15" s="1"/>
  <c r="G147" i="15" s="1"/>
  <c r="G22" i="5"/>
  <c r="G22" i="10" s="1"/>
  <c r="G49" i="15"/>
  <c r="G80" i="15" s="1"/>
  <c r="G111" i="15" s="1"/>
  <c r="G143" i="15" s="1"/>
  <c r="G18" i="5"/>
  <c r="G18" i="10" s="1"/>
  <c r="B62" i="15"/>
  <c r="B93" i="15" s="1"/>
  <c r="B124" i="15" s="1"/>
  <c r="B156" i="15" s="1"/>
  <c r="B31" i="5"/>
  <c r="B31" i="10" s="1"/>
  <c r="B60" i="15"/>
  <c r="B91" i="15" s="1"/>
  <c r="B122" i="15" s="1"/>
  <c r="B154" i="15" s="1"/>
  <c r="B29" i="5"/>
  <c r="B29" i="10" s="1"/>
  <c r="G46" i="15"/>
  <c r="G77" i="15" s="1"/>
  <c r="G108" i="15" s="1"/>
  <c r="G140" i="15" s="1"/>
  <c r="G15" i="5"/>
  <c r="G15" i="10" s="1"/>
  <c r="B49" i="15"/>
  <c r="B80" i="15" s="1"/>
  <c r="B111" i="15" s="1"/>
  <c r="B143" i="15" s="1"/>
  <c r="B18" i="5"/>
  <c r="B18" i="10" s="1"/>
  <c r="F53" i="15"/>
  <c r="F84" i="15" s="1"/>
  <c r="F115" i="15" s="1"/>
  <c r="F147" i="15" s="1"/>
  <c r="F22" i="5"/>
  <c r="F22" i="10" s="1"/>
  <c r="D60" i="15"/>
  <c r="D91" i="15" s="1"/>
  <c r="D122" i="15" s="1"/>
  <c r="D154" i="15" s="1"/>
  <c r="D29" i="5"/>
  <c r="D29" i="10" s="1"/>
  <c r="G59" i="15"/>
  <c r="G90" i="15" s="1"/>
  <c r="G121" i="15" s="1"/>
  <c r="G153" i="15" s="1"/>
  <c r="G28" i="5"/>
  <c r="G28" i="10" s="1"/>
  <c r="F45" i="15"/>
  <c r="F76" i="15" s="1"/>
  <c r="F107" i="15" s="1"/>
  <c r="F139" i="15" s="1"/>
  <c r="F14" i="5"/>
  <c r="F14" i="10" s="1"/>
  <c r="F54" i="15"/>
  <c r="F85" i="15" s="1"/>
  <c r="F116" i="15" s="1"/>
  <c r="F148" i="15" s="1"/>
  <c r="F23" i="5"/>
  <c r="F23" i="10" s="1"/>
  <c r="G61" i="15"/>
  <c r="G92" i="15" s="1"/>
  <c r="G123" i="15" s="1"/>
  <c r="G155" i="15" s="1"/>
  <c r="G30" i="5"/>
  <c r="G30" i="10" s="1"/>
  <c r="B44" i="15"/>
  <c r="B75" i="15" s="1"/>
  <c r="B106" i="15" s="1"/>
  <c r="B138" i="15" s="1"/>
  <c r="B13" i="5"/>
  <c r="B13" i="10" s="1"/>
  <c r="D58" i="15"/>
  <c r="D89" i="15" s="1"/>
  <c r="D120" i="15" s="1"/>
  <c r="D152" i="15" s="1"/>
  <c r="D27" i="5"/>
  <c r="D27" i="10" s="1"/>
  <c r="B57" i="15"/>
  <c r="B88" i="15" s="1"/>
  <c r="B119" i="15" s="1"/>
  <c r="B151" i="15" s="1"/>
  <c r="B26" i="5"/>
  <c r="B26" i="10" s="1"/>
  <c r="D50" i="15"/>
  <c r="D81" i="15" s="1"/>
  <c r="D112" i="15" s="1"/>
  <c r="D144" i="15" s="1"/>
  <c r="D19" i="5"/>
  <c r="D19" i="10" s="1"/>
  <c r="B45" i="15"/>
  <c r="B76" i="15" s="1"/>
  <c r="B107" i="15" s="1"/>
  <c r="B139" i="15" s="1"/>
  <c r="B14" i="5"/>
  <c r="B14" i="10" s="1"/>
  <c r="G54" i="15"/>
  <c r="G85" i="15" s="1"/>
  <c r="G116" i="15" s="1"/>
  <c r="G148" i="15" s="1"/>
  <c r="G23" i="5"/>
  <c r="G23" i="10" s="1"/>
  <c r="B61" i="15"/>
  <c r="B92" i="15" s="1"/>
  <c r="B123" i="15" s="1"/>
  <c r="B155" i="15" s="1"/>
  <c r="B30" i="5"/>
  <c r="B30" i="10" s="1"/>
  <c r="F63" i="15"/>
  <c r="F94" i="15" s="1"/>
  <c r="F125" i="15" s="1"/>
  <c r="F157" i="15" s="1"/>
  <c r="F32" i="5"/>
  <c r="F32" i="10" s="1"/>
  <c r="D59" i="15"/>
  <c r="D90" i="15" s="1"/>
  <c r="D121" i="15" s="1"/>
  <c r="D153" i="15" s="1"/>
  <c r="D28" i="5"/>
  <c r="D28" i="10" s="1"/>
  <c r="D47" i="15"/>
  <c r="D78" i="15" s="1"/>
  <c r="D109" i="15" s="1"/>
  <c r="D141" i="15" s="1"/>
  <c r="D16" i="5"/>
  <c r="D16" i="10" s="1"/>
  <c r="F48" i="15"/>
  <c r="F79" i="15" s="1"/>
  <c r="F110" i="15" s="1"/>
  <c r="F142" i="15" s="1"/>
  <c r="F17" i="5"/>
  <c r="F17" i="10" s="1"/>
  <c r="F60" i="15"/>
  <c r="F91" i="15" s="1"/>
  <c r="F122" i="15" s="1"/>
  <c r="F154" i="15" s="1"/>
  <c r="F29" i="5"/>
  <c r="F29" i="10" s="1"/>
  <c r="G66" i="15"/>
  <c r="G97" i="15" s="1"/>
  <c r="G128" i="15" s="1"/>
  <c r="G160" i="15" s="1"/>
  <c r="G35" i="5"/>
  <c r="G35" i="10" s="1"/>
  <c r="C44" i="15"/>
  <c r="C75" i="15" s="1"/>
  <c r="C106" i="15" s="1"/>
  <c r="C138" i="15" s="1"/>
  <c r="C13" i="5"/>
  <c r="C13" i="10" s="1"/>
  <c r="F44" i="15"/>
  <c r="F75" i="15" s="1"/>
  <c r="F106" i="15" s="1"/>
  <c r="F138" i="15" s="1"/>
  <c r="F13" i="5"/>
  <c r="F13" i="10" s="1"/>
  <c r="F49" i="15"/>
  <c r="F80" i="15" s="1"/>
  <c r="F111" i="15" s="1"/>
  <c r="F143" i="15" s="1"/>
  <c r="F18" i="5"/>
  <c r="F18" i="10" s="1"/>
  <c r="G45" i="15"/>
  <c r="G76" i="15" s="1"/>
  <c r="G107" i="15" s="1"/>
  <c r="G139" i="15" s="1"/>
  <c r="G14" i="5"/>
  <c r="G14" i="10" s="1"/>
  <c r="B50" i="15"/>
  <c r="B81" i="15" s="1"/>
  <c r="B112" i="15" s="1"/>
  <c r="B144" i="15" s="1"/>
  <c r="B19" i="5"/>
  <c r="B19" i="10" s="1"/>
  <c r="B63" i="15"/>
  <c r="B94" i="15" s="1"/>
  <c r="B125" i="15" s="1"/>
  <c r="B157" i="15" s="1"/>
  <c r="B32" i="5"/>
  <c r="B32" i="10" s="1"/>
  <c r="F57" i="15"/>
  <c r="F88" i="15" s="1"/>
  <c r="F119" i="15" s="1"/>
  <c r="F151" i="15" s="1"/>
  <c r="F26" i="5"/>
  <c r="F26" i="10" s="1"/>
  <c r="D53" i="15"/>
  <c r="D84" i="15" s="1"/>
  <c r="D115" i="15" s="1"/>
  <c r="D147" i="15" s="1"/>
  <c r="D22" i="5"/>
  <c r="D22" i="10" s="1"/>
  <c r="G44" i="15"/>
  <c r="G75" i="15" s="1"/>
  <c r="G106" i="15" s="1"/>
  <c r="G138" i="15" s="1"/>
  <c r="G13" i="5"/>
  <c r="G13" i="10" s="1"/>
  <c r="B52" i="15"/>
  <c r="B83" i="15" s="1"/>
  <c r="B114" i="15" s="1"/>
  <c r="B146" i="15" s="1"/>
  <c r="B21" i="5"/>
  <c r="B21" i="10" s="1"/>
  <c r="F52" i="15"/>
  <c r="F83" i="15" s="1"/>
  <c r="F114" i="15" s="1"/>
  <c r="F146" i="15" s="1"/>
  <c r="F21" i="5"/>
  <c r="F21" i="10" s="1"/>
  <c r="D46" i="15"/>
  <c r="D77" i="15" s="1"/>
  <c r="D108" i="15" s="1"/>
  <c r="D140" i="15" s="1"/>
  <c r="D15" i="5"/>
  <c r="D15" i="10" s="1"/>
  <c r="D52" i="15"/>
  <c r="D83" i="15" s="1"/>
  <c r="D114" i="15" s="1"/>
  <c r="D146" i="15" s="1"/>
  <c r="D21" i="5"/>
  <c r="D21" i="10" s="1"/>
  <c r="D134" i="1"/>
  <c r="D167" i="1" s="1"/>
  <c r="D130" i="1"/>
  <c r="D163" i="1" s="1"/>
  <c r="E134" i="1"/>
  <c r="E167" i="1" s="1"/>
  <c r="G200" i="1"/>
  <c r="G233" i="1" s="1"/>
  <c r="E131" i="1"/>
  <c r="E164" i="1" s="1"/>
  <c r="G197" i="1"/>
  <c r="G230" i="1" s="1"/>
  <c r="D131" i="1"/>
  <c r="D164" i="1" s="1"/>
  <c r="D262" i="1"/>
  <c r="B264" i="1"/>
  <c r="B132" i="1"/>
  <c r="G264" i="1"/>
  <c r="E132" i="1"/>
  <c r="E165" i="1" s="1"/>
  <c r="G195" i="1"/>
  <c r="G228" i="1" s="1"/>
  <c r="C79" i="1"/>
  <c r="C244" i="1" s="1"/>
  <c r="D261" i="1"/>
  <c r="D129" i="1"/>
  <c r="D162" i="1" s="1"/>
  <c r="F196" i="1"/>
  <c r="F229" i="1" s="1"/>
  <c r="G261" i="1"/>
  <c r="F195" i="1"/>
  <c r="F228" i="1" s="1"/>
  <c r="A15" i="25"/>
  <c r="C14" i="15"/>
  <c r="C80" i="1"/>
  <c r="C113" i="1" s="1"/>
  <c r="C146" i="1" s="1"/>
  <c r="D263" i="1"/>
  <c r="B263" i="1"/>
  <c r="B131" i="1"/>
  <c r="F179" i="1"/>
  <c r="F212" i="1" s="1"/>
  <c r="F245" i="1"/>
  <c r="B126" i="1"/>
  <c r="B192" i="1" s="1"/>
  <c r="B225" i="1" s="1"/>
  <c r="B258" i="1"/>
  <c r="B116" i="1"/>
  <c r="B149" i="1" s="1"/>
  <c r="B248" i="1"/>
  <c r="B121" i="1"/>
  <c r="B154" i="1" s="1"/>
  <c r="B253" i="1"/>
  <c r="B124" i="1"/>
  <c r="B157" i="1" s="1"/>
  <c r="B256" i="1"/>
  <c r="F192" i="1"/>
  <c r="F225" i="1" s="1"/>
  <c r="F258" i="1"/>
  <c r="F190" i="1"/>
  <c r="F223" i="1" s="1"/>
  <c r="F256" i="1"/>
  <c r="F193" i="1"/>
  <c r="F226" i="1" s="1"/>
  <c r="F259" i="1"/>
  <c r="F185" i="1"/>
  <c r="F218" i="1" s="1"/>
  <c r="F251" i="1"/>
  <c r="B114" i="1"/>
  <c r="B180" i="1" s="1"/>
  <c r="B213" i="1" s="1"/>
  <c r="B246" i="1"/>
  <c r="F184" i="1"/>
  <c r="F217" i="1" s="1"/>
  <c r="F250" i="1"/>
  <c r="F180" i="1"/>
  <c r="F213" i="1" s="1"/>
  <c r="F246" i="1"/>
  <c r="B130" i="1"/>
  <c r="B196" i="1" s="1"/>
  <c r="B229" i="1" s="1"/>
  <c r="B262" i="1"/>
  <c r="B113" i="1"/>
  <c r="B179" i="1" s="1"/>
  <c r="B212" i="1" s="1"/>
  <c r="B245" i="1"/>
  <c r="F178" i="1"/>
  <c r="F211" i="1" s="1"/>
  <c r="F244" i="1"/>
  <c r="B119" i="1"/>
  <c r="B152" i="1" s="1"/>
  <c r="B251" i="1"/>
  <c r="B122" i="1"/>
  <c r="B188" i="1" s="1"/>
  <c r="B221" i="1" s="1"/>
  <c r="B254" i="1"/>
  <c r="B120" i="1"/>
  <c r="B153" i="1" s="1"/>
  <c r="B252" i="1"/>
  <c r="B127" i="1"/>
  <c r="B193" i="1" s="1"/>
  <c r="B226" i="1" s="1"/>
  <c r="B259" i="1"/>
  <c r="B123" i="1"/>
  <c r="B156" i="1" s="1"/>
  <c r="B255" i="1"/>
  <c r="B117" i="1"/>
  <c r="B150" i="1" s="1"/>
  <c r="B249" i="1"/>
  <c r="F191" i="1"/>
  <c r="F224" i="1" s="1"/>
  <c r="F257" i="1"/>
  <c r="F186" i="1"/>
  <c r="F219" i="1" s="1"/>
  <c r="F252" i="1"/>
  <c r="F183" i="1"/>
  <c r="F216" i="1" s="1"/>
  <c r="F249" i="1"/>
  <c r="B128" i="1"/>
  <c r="B161" i="1" s="1"/>
  <c r="B260" i="1"/>
  <c r="F187" i="1"/>
  <c r="F220" i="1" s="1"/>
  <c r="F253" i="1"/>
  <c r="F188" i="1"/>
  <c r="F221" i="1" s="1"/>
  <c r="F254" i="1"/>
  <c r="B129" i="1"/>
  <c r="B162" i="1" s="1"/>
  <c r="B261" i="1"/>
  <c r="F189" i="1"/>
  <c r="F222" i="1" s="1"/>
  <c r="F255" i="1"/>
  <c r="B115" i="1"/>
  <c r="B181" i="1" s="1"/>
  <c r="B214" i="1" s="1"/>
  <c r="B247" i="1"/>
  <c r="F182" i="1"/>
  <c r="F215" i="1" s="1"/>
  <c r="F248" i="1"/>
  <c r="B112" i="1"/>
  <c r="B145" i="1" s="1"/>
  <c r="B244" i="1"/>
  <c r="B125" i="1"/>
  <c r="B191" i="1" s="1"/>
  <c r="B224" i="1" s="1"/>
  <c r="B257" i="1"/>
  <c r="F194" i="1"/>
  <c r="F227" i="1" s="1"/>
  <c r="F260" i="1"/>
  <c r="F181" i="1"/>
  <c r="F214" i="1" s="1"/>
  <c r="F247" i="1"/>
  <c r="B118" i="1"/>
  <c r="B250" i="1"/>
  <c r="D127" i="1"/>
  <c r="D160" i="1" s="1"/>
  <c r="D122" i="1"/>
  <c r="D155" i="1" s="1"/>
  <c r="D112" i="1"/>
  <c r="D145" i="1" s="1"/>
  <c r="D124" i="1"/>
  <c r="D157" i="1" s="1"/>
  <c r="D114" i="1"/>
  <c r="D147" i="1" s="1"/>
  <c r="E112" i="1"/>
  <c r="E145" i="1" s="1"/>
  <c r="G178" i="1"/>
  <c r="G211" i="1" s="1"/>
  <c r="D113" i="1"/>
  <c r="D146" i="1" s="1"/>
  <c r="D121" i="1"/>
  <c r="D154" i="1" s="1"/>
  <c r="E123" i="1"/>
  <c r="E156" i="1" s="1"/>
  <c r="G189" i="1"/>
  <c r="G222" i="1" s="1"/>
  <c r="E117" i="1"/>
  <c r="E150" i="1" s="1"/>
  <c r="G183" i="1"/>
  <c r="G216" i="1" s="1"/>
  <c r="E128" i="1"/>
  <c r="E161" i="1" s="1"/>
  <c r="G194" i="1"/>
  <c r="G227" i="1" s="1"/>
  <c r="D116" i="1"/>
  <c r="D149" i="1" s="1"/>
  <c r="E127" i="1"/>
  <c r="E160" i="1" s="1"/>
  <c r="G193" i="1"/>
  <c r="G226" i="1" s="1"/>
  <c r="E114" i="1"/>
  <c r="E147" i="1" s="1"/>
  <c r="G180" i="1"/>
  <c r="G213" i="1" s="1"/>
  <c r="E118" i="1"/>
  <c r="E151" i="1" s="1"/>
  <c r="G184" i="1"/>
  <c r="G217" i="1" s="1"/>
  <c r="D125" i="1"/>
  <c r="D158" i="1" s="1"/>
  <c r="D118" i="1"/>
  <c r="D151" i="1" s="1"/>
  <c r="D115" i="1"/>
  <c r="D148" i="1" s="1"/>
  <c r="E115" i="1"/>
  <c r="E148" i="1" s="1"/>
  <c r="G181" i="1"/>
  <c r="G214" i="1" s="1"/>
  <c r="D119" i="1"/>
  <c r="D152" i="1" s="1"/>
  <c r="D120" i="1"/>
  <c r="D153" i="1" s="1"/>
  <c r="E119" i="1"/>
  <c r="E152" i="1" s="1"/>
  <c r="G185" i="1"/>
  <c r="G218" i="1" s="1"/>
  <c r="E113" i="1"/>
  <c r="E146" i="1" s="1"/>
  <c r="G179" i="1"/>
  <c r="G212" i="1" s="1"/>
  <c r="E120" i="1"/>
  <c r="E153" i="1" s="1"/>
  <c r="G186" i="1"/>
  <c r="G219" i="1" s="1"/>
  <c r="E116" i="1"/>
  <c r="E149" i="1" s="1"/>
  <c r="G182" i="1"/>
  <c r="G215" i="1" s="1"/>
  <c r="E126" i="1"/>
  <c r="E159" i="1" s="1"/>
  <c r="G192" i="1"/>
  <c r="G225" i="1" s="1"/>
  <c r="D128" i="1"/>
  <c r="D161" i="1" s="1"/>
  <c r="D123" i="1"/>
  <c r="D156" i="1" s="1"/>
  <c r="E125" i="1"/>
  <c r="E158" i="1" s="1"/>
  <c r="G191" i="1"/>
  <c r="G224" i="1" s="1"/>
  <c r="E121" i="1"/>
  <c r="E154" i="1" s="1"/>
  <c r="G187" i="1"/>
  <c r="G220" i="1" s="1"/>
  <c r="D117" i="1"/>
  <c r="D150" i="1" s="1"/>
  <c r="E124" i="1"/>
  <c r="E157" i="1" s="1"/>
  <c r="G190" i="1"/>
  <c r="G223" i="1" s="1"/>
  <c r="E122" i="1"/>
  <c r="E155" i="1" s="1"/>
  <c r="G188" i="1"/>
  <c r="G221" i="1" s="1"/>
  <c r="A11" i="5"/>
  <c r="A11" i="10" s="1"/>
  <c r="A10" i="5"/>
  <c r="A10" i="10" s="1"/>
  <c r="A110" i="1"/>
  <c r="A143" i="1" s="1"/>
  <c r="A176" i="1"/>
  <c r="A209" i="1" s="1"/>
  <c r="A175" i="1"/>
  <c r="A208" i="1" s="1"/>
  <c r="A109" i="1"/>
  <c r="A142" i="1" s="1"/>
  <c r="D10" i="15"/>
  <c r="C12" i="15"/>
  <c r="C43" i="15" s="1"/>
  <c r="C74" i="15" s="1"/>
  <c r="C105" i="15" s="1"/>
  <c r="C137" i="15" s="1"/>
  <c r="F12" i="15"/>
  <c r="G12" i="15"/>
  <c r="D12" i="15"/>
  <c r="B12" i="15"/>
  <c r="B43" i="15" s="1"/>
  <c r="B74" i="15" s="1"/>
  <c r="B105" i="15" s="1"/>
  <c r="B137" i="15" s="1"/>
  <c r="C11" i="15"/>
  <c r="C42" i="15" s="1"/>
  <c r="C73" i="15" s="1"/>
  <c r="C104" i="15" s="1"/>
  <c r="C136" i="15" s="1"/>
  <c r="D11" i="15"/>
  <c r="D42" i="15" s="1"/>
  <c r="D73" i="15" s="1"/>
  <c r="D104" i="15" s="1"/>
  <c r="D136" i="15" s="1"/>
  <c r="G15" i="24" l="1"/>
  <c r="K15" i="24"/>
  <c r="I15" i="24"/>
  <c r="C45" i="15"/>
  <c r="C76" i="15" s="1"/>
  <c r="C107" i="15" s="1"/>
  <c r="C139" i="15" s="1"/>
  <c r="C14" i="5"/>
  <c r="C14" i="10" s="1"/>
  <c r="B165" i="1"/>
  <c r="B198" i="1"/>
  <c r="B231" i="1" s="1"/>
  <c r="B164" i="1"/>
  <c r="B197" i="1"/>
  <c r="B230" i="1" s="1"/>
  <c r="B163" i="1"/>
  <c r="B155" i="1"/>
  <c r="C112" i="1"/>
  <c r="C145" i="1" s="1"/>
  <c r="B159" i="1"/>
  <c r="B147" i="1"/>
  <c r="C245" i="1"/>
  <c r="B182" i="1"/>
  <c r="B215" i="1" s="1"/>
  <c r="A16" i="25"/>
  <c r="C48" i="1"/>
  <c r="C15" i="15"/>
  <c r="C81" i="1"/>
  <c r="B187" i="1"/>
  <c r="B220" i="1" s="1"/>
  <c r="B160" i="1"/>
  <c r="B158" i="1"/>
  <c r="B194" i="1"/>
  <c r="B227" i="1" s="1"/>
  <c r="B146" i="1"/>
  <c r="B186" i="1"/>
  <c r="B219" i="1" s="1"/>
  <c r="B195" i="1"/>
  <c r="B228" i="1" s="1"/>
  <c r="B183" i="1"/>
  <c r="B216" i="1" s="1"/>
  <c r="B178" i="1"/>
  <c r="B211" i="1" s="1"/>
  <c r="B148" i="1"/>
  <c r="B189" i="1"/>
  <c r="B222" i="1" s="1"/>
  <c r="B151" i="1"/>
  <c r="B184" i="1"/>
  <c r="B217" i="1" s="1"/>
  <c r="B185" i="1"/>
  <c r="B218" i="1" s="1"/>
  <c r="B190" i="1"/>
  <c r="B223" i="1" s="1"/>
  <c r="G11" i="15"/>
  <c r="G11" i="5" s="1"/>
  <c r="G11" i="10" s="1"/>
  <c r="G43" i="15"/>
  <c r="G74" i="15" s="1"/>
  <c r="G105" i="15" s="1"/>
  <c r="G137" i="15" s="1"/>
  <c r="G12" i="5"/>
  <c r="G12" i="10" s="1"/>
  <c r="B77" i="1"/>
  <c r="B242" i="1" s="1"/>
  <c r="B11" i="15"/>
  <c r="C11" i="5"/>
  <c r="C11" i="10" s="1"/>
  <c r="D11" i="5"/>
  <c r="D11" i="10" s="1"/>
  <c r="D43" i="15"/>
  <c r="D74" i="15" s="1"/>
  <c r="D105" i="15" s="1"/>
  <c r="D137" i="15" s="1"/>
  <c r="D12" i="5"/>
  <c r="D12" i="10" s="1"/>
  <c r="D41" i="15"/>
  <c r="D72" i="15" s="1"/>
  <c r="D103" i="15" s="1"/>
  <c r="D135" i="15" s="1"/>
  <c r="D10" i="5"/>
  <c r="D10" i="10" s="1"/>
  <c r="B12" i="5"/>
  <c r="B12" i="10" s="1"/>
  <c r="B76" i="1"/>
  <c r="B109" i="1" s="1"/>
  <c r="B10" i="15"/>
  <c r="F43" i="15"/>
  <c r="F74" i="15" s="1"/>
  <c r="F105" i="15" s="1"/>
  <c r="F137" i="15" s="1"/>
  <c r="F12" i="5"/>
  <c r="F12" i="10" s="1"/>
  <c r="C12" i="5"/>
  <c r="C12" i="10" s="1"/>
  <c r="F11" i="15"/>
  <c r="D44" i="1"/>
  <c r="D77" i="1"/>
  <c r="B45" i="1"/>
  <c r="B78" i="1"/>
  <c r="D43" i="1"/>
  <c r="D76" i="1"/>
  <c r="D45" i="1"/>
  <c r="D78" i="1"/>
  <c r="F45" i="1"/>
  <c r="F78" i="1"/>
  <c r="G45" i="1"/>
  <c r="G78" i="1"/>
  <c r="C44" i="1"/>
  <c r="C77" i="1"/>
  <c r="C45" i="1"/>
  <c r="C78" i="1"/>
  <c r="E11" i="15"/>
  <c r="B44" i="1"/>
  <c r="E12" i="15"/>
  <c r="E10" i="15"/>
  <c r="B43" i="1"/>
  <c r="F10" i="15"/>
  <c r="F41" i="15" s="1"/>
  <c r="F72" i="15" s="1"/>
  <c r="F103" i="15" s="1"/>
  <c r="F135" i="15" s="1"/>
  <c r="G10" i="15"/>
  <c r="G41" i="15" s="1"/>
  <c r="G72" i="15" s="1"/>
  <c r="G103" i="15" s="1"/>
  <c r="G135" i="15" s="1"/>
  <c r="C10" i="15"/>
  <c r="M15" i="24" l="1"/>
  <c r="O15" i="24"/>
  <c r="C46" i="15"/>
  <c r="C77" i="15" s="1"/>
  <c r="C108" i="15" s="1"/>
  <c r="C140" i="15" s="1"/>
  <c r="C15" i="5"/>
  <c r="C15" i="10" s="1"/>
  <c r="C114" i="1"/>
  <c r="C147" i="1" s="1"/>
  <c r="C246" i="1"/>
  <c r="A17" i="25"/>
  <c r="C49" i="1"/>
  <c r="C16" i="15"/>
  <c r="C82" i="1"/>
  <c r="B110" i="1"/>
  <c r="B143" i="1" s="1"/>
  <c r="G44" i="1"/>
  <c r="G42" i="15"/>
  <c r="G73" i="15" s="1"/>
  <c r="G104" i="15" s="1"/>
  <c r="G136" i="15" s="1"/>
  <c r="F10" i="5"/>
  <c r="F10" i="10" s="1"/>
  <c r="G77" i="1"/>
  <c r="G242" i="1" s="1"/>
  <c r="G76" i="1"/>
  <c r="G241" i="1" s="1"/>
  <c r="G43" i="1"/>
  <c r="G10" i="5"/>
  <c r="G10" i="10" s="1"/>
  <c r="F76" i="1"/>
  <c r="F175" i="1" s="1"/>
  <c r="F208" i="1" s="1"/>
  <c r="F43" i="1"/>
  <c r="F77" i="1"/>
  <c r="F242" i="1" s="1"/>
  <c r="B10" i="5"/>
  <c r="B10" i="10" s="1"/>
  <c r="B41" i="15"/>
  <c r="B72" i="15" s="1"/>
  <c r="B103" i="15" s="1"/>
  <c r="B135" i="15" s="1"/>
  <c r="E42" i="15"/>
  <c r="E73" i="15" s="1"/>
  <c r="E104" i="15" s="1"/>
  <c r="E136" i="15" s="1"/>
  <c r="E11" i="5"/>
  <c r="E11" i="10" s="1"/>
  <c r="C41" i="15"/>
  <c r="C72" i="15" s="1"/>
  <c r="C103" i="15" s="1"/>
  <c r="C135" i="15" s="1"/>
  <c r="C10" i="5"/>
  <c r="C10" i="10" s="1"/>
  <c r="B241" i="1"/>
  <c r="B42" i="15"/>
  <c r="B73" i="15" s="1"/>
  <c r="B104" i="15" s="1"/>
  <c r="B136" i="15" s="1"/>
  <c r="B11" i="5"/>
  <c r="B11" i="10" s="1"/>
  <c r="E41" i="15"/>
  <c r="E72" i="15" s="1"/>
  <c r="E103" i="15" s="1"/>
  <c r="E135" i="15" s="1"/>
  <c r="E10" i="5"/>
  <c r="E10" i="10" s="1"/>
  <c r="F11" i="5"/>
  <c r="F11" i="10" s="1"/>
  <c r="F42" i="15"/>
  <c r="F73" i="15" s="1"/>
  <c r="F104" i="15" s="1"/>
  <c r="F136" i="15" s="1"/>
  <c r="E43" i="15"/>
  <c r="E74" i="15" s="1"/>
  <c r="E105" i="15" s="1"/>
  <c r="E137" i="15" s="1"/>
  <c r="E12" i="5"/>
  <c r="E12" i="10" s="1"/>
  <c r="F44" i="1"/>
  <c r="D111" i="1"/>
  <c r="D144" i="1" s="1"/>
  <c r="D243" i="1"/>
  <c r="E43" i="1"/>
  <c r="E76" i="1"/>
  <c r="D241" i="1"/>
  <c r="D109" i="1"/>
  <c r="D142" i="1" s="1"/>
  <c r="E45" i="1"/>
  <c r="E78" i="1"/>
  <c r="C242" i="1"/>
  <c r="C110" i="1"/>
  <c r="C143" i="1" s="1"/>
  <c r="E111" i="1"/>
  <c r="E144" i="1" s="1"/>
  <c r="G177" i="1"/>
  <c r="G210" i="1" s="1"/>
  <c r="G243" i="1"/>
  <c r="B111" i="1"/>
  <c r="B243" i="1"/>
  <c r="E44" i="1"/>
  <c r="E77" i="1"/>
  <c r="C111" i="1"/>
  <c r="C144" i="1" s="1"/>
  <c r="C243" i="1"/>
  <c r="C43" i="1"/>
  <c r="C76" i="1"/>
  <c r="D242" i="1"/>
  <c r="D110" i="1"/>
  <c r="D143" i="1" s="1"/>
  <c r="F177" i="1"/>
  <c r="F210" i="1" s="1"/>
  <c r="F243" i="1"/>
  <c r="B142" i="1"/>
  <c r="B175" i="1"/>
  <c r="B208" i="1" s="1"/>
  <c r="F9" i="15"/>
  <c r="A12" i="1"/>
  <c r="A12" i="8" s="1"/>
  <c r="C47" i="15" l="1"/>
  <c r="C78" i="15" s="1"/>
  <c r="C109" i="15" s="1"/>
  <c r="C141" i="15" s="1"/>
  <c r="C16" i="5"/>
  <c r="C16" i="10" s="1"/>
  <c r="C50" i="1"/>
  <c r="C83" i="1"/>
  <c r="C17" i="15"/>
  <c r="A18" i="25"/>
  <c r="C115" i="1"/>
  <c r="C148" i="1" s="1"/>
  <c r="C247" i="1"/>
  <c r="E110" i="1"/>
  <c r="E143" i="1" s="1"/>
  <c r="G176" i="1"/>
  <c r="G209" i="1" s="1"/>
  <c r="A78" i="1"/>
  <c r="A177" i="1" s="1"/>
  <c r="A210" i="1" s="1"/>
  <c r="A13" i="1"/>
  <c r="A13" i="8" s="1"/>
  <c r="A12" i="15"/>
  <c r="B176" i="1"/>
  <c r="B209" i="1" s="1"/>
  <c r="G175" i="1"/>
  <c r="E109" i="1"/>
  <c r="E142" i="1" s="1"/>
  <c r="F241" i="1"/>
  <c r="F176" i="1"/>
  <c r="F209" i="1" s="1"/>
  <c r="E242" i="1"/>
  <c r="E241" i="1"/>
  <c r="C241" i="1"/>
  <c r="C109" i="1"/>
  <c r="C142" i="1" s="1"/>
  <c r="E243" i="1"/>
  <c r="B177" i="1"/>
  <c r="B210" i="1" s="1"/>
  <c r="B144" i="1"/>
  <c r="G268" i="1"/>
  <c r="A45" i="1"/>
  <c r="G208" i="1" l="1"/>
  <c r="G202" i="1"/>
  <c r="G235" i="1"/>
  <c r="C48" i="15"/>
  <c r="C79" i="15" s="1"/>
  <c r="C110" i="15" s="1"/>
  <c r="C142" i="15" s="1"/>
  <c r="C17" i="5"/>
  <c r="C17" i="10" s="1"/>
  <c r="A79" i="1"/>
  <c r="A244" i="1" s="1"/>
  <c r="A13" i="15"/>
  <c r="C51" i="1"/>
  <c r="C84" i="1"/>
  <c r="C18" i="15"/>
  <c r="C248" i="1"/>
  <c r="C116" i="1"/>
  <c r="C149" i="1" s="1"/>
  <c r="A19" i="25"/>
  <c r="A243" i="1"/>
  <c r="A111" i="1"/>
  <c r="A144" i="1" s="1"/>
  <c r="A43" i="15"/>
  <c r="A74" i="15" s="1"/>
  <c r="A105" i="15" s="1"/>
  <c r="A137" i="15" s="1"/>
  <c r="A12" i="5"/>
  <c r="A12" i="10" s="1"/>
  <c r="A14" i="1"/>
  <c r="A14" i="8" s="1"/>
  <c r="A46" i="1"/>
  <c r="K31" i="16"/>
  <c r="N39" i="16"/>
  <c r="G22" i="26"/>
  <c r="F22" i="26" s="1"/>
  <c r="G21" i="26"/>
  <c r="K23" i="26"/>
  <c r="W267" i="1"/>
  <c r="W266" i="1"/>
  <c r="G53" i="16"/>
  <c r="A53" i="16"/>
  <c r="A29" i="16"/>
  <c r="I37" i="16"/>
  <c r="B91" i="16"/>
  <c r="B115" i="16"/>
  <c r="O39" i="16"/>
  <c r="O36" i="16"/>
  <c r="P36" i="16" s="1"/>
  <c r="Q36" i="16" s="1"/>
  <c r="O20" i="16"/>
  <c r="F19" i="16"/>
  <c r="I18" i="16"/>
  <c r="P198" i="16"/>
  <c r="P199" i="16"/>
  <c r="P200" i="16"/>
  <c r="P201" i="16"/>
  <c r="P202" i="16"/>
  <c r="P203" i="16"/>
  <c r="P209" i="16"/>
  <c r="P210" i="16"/>
  <c r="P211" i="16"/>
  <c r="P212" i="16"/>
  <c r="P213" i="16"/>
  <c r="Q213" i="16" s="1"/>
  <c r="P214" i="16"/>
  <c r="C18" i="16"/>
  <c r="P18" i="16" s="1"/>
  <c r="Q18" i="16" s="1"/>
  <c r="J10" i="16"/>
  <c r="P10" i="16"/>
  <c r="F10" i="16"/>
  <c r="M10" i="16"/>
  <c r="G10" i="16"/>
  <c r="A10" i="16"/>
  <c r="B10" i="16"/>
  <c r="A6" i="8"/>
  <c r="A6" i="10"/>
  <c r="A6" i="15"/>
  <c r="P357" i="16"/>
  <c r="Q357" i="16"/>
  <c r="P355" i="16"/>
  <c r="Q355" i="16"/>
  <c r="P352" i="16"/>
  <c r="Q352" i="16"/>
  <c r="P351" i="16"/>
  <c r="Q351" i="16"/>
  <c r="P350" i="16"/>
  <c r="Q350" i="16"/>
  <c r="P349" i="16"/>
  <c r="Q349" i="16"/>
  <c r="A342" i="16"/>
  <c r="P338" i="16"/>
  <c r="Q338" i="16" s="1"/>
  <c r="P336" i="16"/>
  <c r="Q336" i="16" s="1"/>
  <c r="P333" i="16"/>
  <c r="Q333" i="16" s="1"/>
  <c r="P332" i="16"/>
  <c r="Q332" i="16" s="1"/>
  <c r="P331" i="16"/>
  <c r="Q331" i="16" s="1"/>
  <c r="P330" i="16"/>
  <c r="Q330" i="16" s="1"/>
  <c r="A323" i="16"/>
  <c r="P319" i="16"/>
  <c r="Q319" i="16"/>
  <c r="P317" i="16"/>
  <c r="Q317" i="16"/>
  <c r="P316" i="16"/>
  <c r="Q316" i="16"/>
  <c r="P314" i="16"/>
  <c r="Q314" i="16"/>
  <c r="P308" i="16"/>
  <c r="Q308" i="16"/>
  <c r="P307" i="16"/>
  <c r="Q307" i="16"/>
  <c r="P306" i="16"/>
  <c r="Q306" i="16"/>
  <c r="A299" i="16"/>
  <c r="P295" i="16"/>
  <c r="Q295" i="16" s="1"/>
  <c r="P293" i="16"/>
  <c r="Q293" i="16" s="1"/>
  <c r="P289" i="16"/>
  <c r="Q289" i="16" s="1"/>
  <c r="P288" i="16"/>
  <c r="Q288" i="16" s="1"/>
  <c r="P287" i="16"/>
  <c r="Q287" i="16" s="1"/>
  <c r="A280" i="16"/>
  <c r="P276" i="16"/>
  <c r="Q276" i="16"/>
  <c r="P274" i="16"/>
  <c r="Q274" i="16"/>
  <c r="P272" i="16"/>
  <c r="Q272" i="16"/>
  <c r="P270" i="16"/>
  <c r="Q270" i="16"/>
  <c r="P269" i="16"/>
  <c r="Q269" i="16"/>
  <c r="P268" i="16"/>
  <c r="Q268" i="16"/>
  <c r="P266" i="16"/>
  <c r="Q266" i="16"/>
  <c r="A261" i="16"/>
  <c r="P252" i="16"/>
  <c r="Q252" i="16" s="1"/>
  <c r="P250" i="16"/>
  <c r="Q250" i="16"/>
  <c r="P246" i="16"/>
  <c r="Q246" i="16" s="1"/>
  <c r="P245" i="16"/>
  <c r="Q245" i="16"/>
  <c r="P244" i="16"/>
  <c r="Q244" i="16" s="1"/>
  <c r="P242" i="16"/>
  <c r="Q242" i="16"/>
  <c r="A237" i="16"/>
  <c r="P233" i="16"/>
  <c r="Q233" i="16"/>
  <c r="P231" i="16"/>
  <c r="Q231" i="16"/>
  <c r="P227" i="16"/>
  <c r="Q227" i="16"/>
  <c r="P226" i="16"/>
  <c r="Q226" i="16"/>
  <c r="P225" i="16"/>
  <c r="Q225" i="16"/>
  <c r="P223" i="16"/>
  <c r="Q223" i="16"/>
  <c r="A218" i="16"/>
  <c r="Q214" i="16"/>
  <c r="Q212" i="16"/>
  <c r="Q203" i="16"/>
  <c r="Q202" i="16"/>
  <c r="Q201" i="16"/>
  <c r="Q199" i="16"/>
  <c r="A194" i="16"/>
  <c r="A6" i="5"/>
  <c r="P190" i="16"/>
  <c r="Q190" i="16"/>
  <c r="P188" i="16"/>
  <c r="Q188" i="16" s="1"/>
  <c r="P184" i="16"/>
  <c r="Q184" i="16"/>
  <c r="P183" i="16"/>
  <c r="Q183" i="16" s="1"/>
  <c r="P182" i="16"/>
  <c r="Q182" i="16"/>
  <c r="A175" i="16"/>
  <c r="P171" i="16"/>
  <c r="Q171" i="16"/>
  <c r="P169" i="16"/>
  <c r="Q169" i="16"/>
  <c r="P165" i="16"/>
  <c r="Q165" i="16"/>
  <c r="P164" i="16"/>
  <c r="Q164" i="16"/>
  <c r="P163" i="16"/>
  <c r="Q163" i="16"/>
  <c r="A156" i="16"/>
  <c r="P147" i="16"/>
  <c r="Q147" i="16" s="1"/>
  <c r="P145" i="16"/>
  <c r="Q145" i="16" s="1"/>
  <c r="P142" i="16"/>
  <c r="Q142" i="16" s="1"/>
  <c r="P141" i="16"/>
  <c r="Q141" i="16" s="1"/>
  <c r="P140" i="16"/>
  <c r="Q140" i="16" s="1"/>
  <c r="P139" i="16"/>
  <c r="Q139" i="16" s="1"/>
  <c r="A132" i="16"/>
  <c r="P128" i="16"/>
  <c r="Q128" i="16"/>
  <c r="P126" i="16"/>
  <c r="Q126" i="16"/>
  <c r="P122" i="16"/>
  <c r="Q122" i="16"/>
  <c r="P121" i="16"/>
  <c r="Q121" i="16"/>
  <c r="P120" i="16"/>
  <c r="Q120" i="16"/>
  <c r="A113" i="16"/>
  <c r="P109" i="16"/>
  <c r="Q109" i="16" s="1"/>
  <c r="P107" i="16"/>
  <c r="Q107" i="16"/>
  <c r="P105" i="16"/>
  <c r="Q105" i="16" s="1"/>
  <c r="P98" i="16"/>
  <c r="Q98" i="16"/>
  <c r="P97" i="16"/>
  <c r="Q97" i="16" s="1"/>
  <c r="P96" i="16"/>
  <c r="Q96" i="16"/>
  <c r="A89" i="16"/>
  <c r="P85" i="16"/>
  <c r="Q85" i="16"/>
  <c r="P83" i="16"/>
  <c r="Q83" i="16"/>
  <c r="P81" i="16"/>
  <c r="Q81" i="16"/>
  <c r="P79" i="16"/>
  <c r="Q79" i="16"/>
  <c r="P78" i="16"/>
  <c r="Q78" i="16"/>
  <c r="P77" i="16"/>
  <c r="Q77" i="16"/>
  <c r="A70" i="16"/>
  <c r="P66" i="16"/>
  <c r="Q66" i="16" s="1"/>
  <c r="P64" i="16"/>
  <c r="Q64" i="16" s="1"/>
  <c r="P60" i="16"/>
  <c r="Q60" i="16" s="1"/>
  <c r="P59" i="16"/>
  <c r="Q59" i="16" s="1"/>
  <c r="P58" i="16"/>
  <c r="Q58" i="16" s="1"/>
  <c r="A51" i="16"/>
  <c r="P35" i="16"/>
  <c r="Q35" i="16"/>
  <c r="A27" i="16"/>
  <c r="M1" i="16"/>
  <c r="A8" i="16"/>
  <c r="P123" i="16"/>
  <c r="Q123" i="16"/>
  <c r="P125" i="16"/>
  <c r="Q125" i="16" s="1"/>
  <c r="P136" i="16"/>
  <c r="Q136" i="16"/>
  <c r="P138" i="16"/>
  <c r="Q138" i="16" s="1"/>
  <c r="P146" i="16"/>
  <c r="Q146" i="16"/>
  <c r="P166" i="16"/>
  <c r="Q166" i="16" s="1"/>
  <c r="P185" i="16"/>
  <c r="Q185" i="16"/>
  <c r="Q200" i="16"/>
  <c r="P224" i="16"/>
  <c r="Q224" i="16"/>
  <c r="P232" i="16"/>
  <c r="Q232" i="16" s="1"/>
  <c r="P243" i="16"/>
  <c r="Q243" i="16"/>
  <c r="P251" i="16"/>
  <c r="Q251" i="16" s="1"/>
  <c r="P267" i="16"/>
  <c r="Q267" i="16"/>
  <c r="P275" i="16"/>
  <c r="Q275" i="16" s="1"/>
  <c r="P170" i="16"/>
  <c r="Q170" i="16"/>
  <c r="P181" i="16"/>
  <c r="Q181" i="16" s="1"/>
  <c r="P189" i="16"/>
  <c r="Q189" i="16"/>
  <c r="Q210" i="16"/>
  <c r="P229" i="16"/>
  <c r="Q229" i="16"/>
  <c r="P248" i="16"/>
  <c r="Q248" i="16"/>
  <c r="P285" i="16"/>
  <c r="Q285" i="16"/>
  <c r="P290" i="16"/>
  <c r="Q290" i="16"/>
  <c r="P292" i="16"/>
  <c r="Q292" i="16"/>
  <c r="P76" i="16"/>
  <c r="Q76" i="16"/>
  <c r="P84" i="16"/>
  <c r="Q84" i="16"/>
  <c r="P95" i="16"/>
  <c r="Q95" i="16"/>
  <c r="P108" i="16"/>
  <c r="Q108" i="16"/>
  <c r="P119" i="16"/>
  <c r="Q119" i="16"/>
  <c r="P337" i="16"/>
  <c r="Q337" i="16"/>
  <c r="P348" i="16"/>
  <c r="Q348" i="16"/>
  <c r="P356" i="16"/>
  <c r="Q356" i="16"/>
  <c r="P56" i="16"/>
  <c r="Q56" i="16"/>
  <c r="P75" i="16"/>
  <c r="Q75" i="16"/>
  <c r="P179" i="16"/>
  <c r="Q179" i="16"/>
  <c r="P304" i="16"/>
  <c r="Q304" i="16"/>
  <c r="P328" i="16"/>
  <c r="Q328" i="16"/>
  <c r="P61" i="16"/>
  <c r="Q61" i="16"/>
  <c r="P63" i="16"/>
  <c r="Q63" i="16"/>
  <c r="P347" i="16"/>
  <c r="Q347" i="16"/>
  <c r="P94" i="16"/>
  <c r="Q94" i="16"/>
  <c r="P118" i="16"/>
  <c r="Q118" i="16"/>
  <c r="P161" i="16"/>
  <c r="Q161" i="16"/>
  <c r="P180" i="16"/>
  <c r="Q180" i="16"/>
  <c r="P346" i="16"/>
  <c r="Q346" i="16"/>
  <c r="P74" i="16"/>
  <c r="Q74" i="16"/>
  <c r="P143" i="16"/>
  <c r="Q143" i="16"/>
  <c r="P187" i="16"/>
  <c r="Q187" i="16"/>
  <c r="Q198" i="16"/>
  <c r="P222" i="16"/>
  <c r="Q222" i="16" s="1"/>
  <c r="P241" i="16"/>
  <c r="Q241" i="16"/>
  <c r="Q253" i="16" s="1"/>
  <c r="P265" i="16"/>
  <c r="Q265" i="16" s="1"/>
  <c r="P335" i="16"/>
  <c r="Q335" i="16"/>
  <c r="P354" i="16"/>
  <c r="Q354" i="16" s="1"/>
  <c r="P62" i="16"/>
  <c r="Q62" i="16"/>
  <c r="P80" i="16"/>
  <c r="Q80" i="16" s="1"/>
  <c r="Q86" i="16" s="1"/>
  <c r="P82" i="16"/>
  <c r="Q82" i="16"/>
  <c r="P99" i="16"/>
  <c r="Q99" i="16" s="1"/>
  <c r="P106" i="16"/>
  <c r="Q106" i="16"/>
  <c r="P124" i="16"/>
  <c r="Q124" i="16" s="1"/>
  <c r="P137" i="16"/>
  <c r="Q137" i="16"/>
  <c r="Q209" i="16"/>
  <c r="Q211" i="16"/>
  <c r="P228" i="16"/>
  <c r="Q228" i="16"/>
  <c r="P230" i="16"/>
  <c r="Q230" i="16" s="1"/>
  <c r="P247" i="16"/>
  <c r="Q247" i="16"/>
  <c r="P249" i="16"/>
  <c r="Q249" i="16" s="1"/>
  <c r="P271" i="16"/>
  <c r="Q271" i="16"/>
  <c r="P273" i="16"/>
  <c r="Q273" i="16" s="1"/>
  <c r="P284" i="16"/>
  <c r="Q284" i="16"/>
  <c r="Q296" i="16" s="1"/>
  <c r="P286" i="16"/>
  <c r="Q286" i="16" s="1"/>
  <c r="P291" i="16"/>
  <c r="Q291" i="16"/>
  <c r="P315" i="16"/>
  <c r="Q315" i="16" s="1"/>
  <c r="P93" i="16"/>
  <c r="Q93" i="16"/>
  <c r="P117" i="16"/>
  <c r="Q117" i="16" s="1"/>
  <c r="Q129" i="16" s="1"/>
  <c r="P168" i="16"/>
  <c r="Q168" i="16"/>
  <c r="P55" i="16"/>
  <c r="Q55" i="16" s="1"/>
  <c r="P57" i="16"/>
  <c r="Q57" i="16"/>
  <c r="P65" i="16"/>
  <c r="Q65" i="16" s="1"/>
  <c r="P127" i="16"/>
  <c r="Q127" i="16"/>
  <c r="P144" i="16"/>
  <c r="Q144" i="16" s="1"/>
  <c r="P160" i="16"/>
  <c r="Q160" i="16"/>
  <c r="P162" i="16"/>
  <c r="Q162" i="16" s="1"/>
  <c r="P167" i="16"/>
  <c r="Q167" i="16"/>
  <c r="P186" i="16"/>
  <c r="Q186" i="16" s="1"/>
  <c r="P294" i="16"/>
  <c r="Q294" i="16"/>
  <c r="P303" i="16"/>
  <c r="Q303" i="16" s="1"/>
  <c r="P305" i="16"/>
  <c r="Q305" i="16" s="1"/>
  <c r="P318" i="16"/>
  <c r="Q318" i="16" s="1"/>
  <c r="P327" i="16"/>
  <c r="Q327" i="16" s="1"/>
  <c r="Q339" i="16" s="1"/>
  <c r="P329" i="16"/>
  <c r="Q329" i="16" s="1"/>
  <c r="P334" i="16"/>
  <c r="Q334" i="16" s="1"/>
  <c r="P353" i="16"/>
  <c r="Q353" i="16" s="1"/>
  <c r="A106" i="1"/>
  <c r="O17" i="16"/>
  <c r="P17" i="16" s="1"/>
  <c r="Q17" i="16" s="1"/>
  <c r="AC14" i="16"/>
  <c r="P16" i="16"/>
  <c r="Q16" i="16" s="1"/>
  <c r="AD33" i="16"/>
  <c r="AA32" i="16"/>
  <c r="AA31" i="16"/>
  <c r="F22" i="16" s="1"/>
  <c r="Z31" i="16"/>
  <c r="Y30" i="16"/>
  <c r="D21" i="16" s="1"/>
  <c r="P21" i="16" s="1"/>
  <c r="Q21" i="16" s="1"/>
  <c r="AC29" i="16"/>
  <c r="AJ28" i="16"/>
  <c r="AA25" i="16"/>
  <c r="AF23" i="16"/>
  <c r="AG23" i="16" s="1"/>
  <c r="AC23" i="16"/>
  <c r="AA17" i="16"/>
  <c r="AA16" i="16"/>
  <c r="Z16" i="16"/>
  <c r="Y15" i="16"/>
  <c r="AJ14" i="16"/>
  <c r="AI14" i="16"/>
  <c r="AF14" i="16"/>
  <c r="AH14" i="16"/>
  <c r="AJ13" i="16"/>
  <c r="AA11" i="16"/>
  <c r="F15" i="16" s="1"/>
  <c r="P15" i="16" s="1"/>
  <c r="Q15" i="16" s="1"/>
  <c r="AA10" i="16"/>
  <c r="Z10" i="16"/>
  <c r="AD9" i="16"/>
  <c r="Y9" i="16"/>
  <c r="AJ8" i="16"/>
  <c r="AI8" i="16"/>
  <c r="N12" i="16" s="1"/>
  <c r="AH8" i="16"/>
  <c r="AF8" i="16"/>
  <c r="AG8" i="16" s="1"/>
  <c r="AC8" i="16"/>
  <c r="H12" i="16" s="1"/>
  <c r="P12" i="16" s="1"/>
  <c r="Q12" i="16" s="1"/>
  <c r="Q24" i="16" s="1"/>
  <c r="C1" i="16"/>
  <c r="I13" i="16"/>
  <c r="F23" i="16"/>
  <c r="P23" i="16" s="1"/>
  <c r="Q23" i="16" s="1"/>
  <c r="O12" i="16"/>
  <c r="O31" i="16"/>
  <c r="F14" i="16"/>
  <c r="AG14" i="16"/>
  <c r="M20" i="16"/>
  <c r="M12" i="16"/>
  <c r="AH4" i="15"/>
  <c r="A238" i="1"/>
  <c r="A172" i="1"/>
  <c r="A73" i="1"/>
  <c r="A40" i="1"/>
  <c r="L39" i="16"/>
  <c r="D13" i="16"/>
  <c r="P13" i="16" s="1"/>
  <c r="Q13" i="16" s="1"/>
  <c r="D19" i="16"/>
  <c r="P19" i="16" s="1"/>
  <c r="Q19" i="16" s="1"/>
  <c r="K12" i="16"/>
  <c r="K20" i="16"/>
  <c r="N20" i="16"/>
  <c r="E22" i="16"/>
  <c r="P22" i="16" s="1"/>
  <c r="Q22" i="16" s="1"/>
  <c r="E14" i="16"/>
  <c r="P14" i="16" s="1"/>
  <c r="Q14" i="16" s="1"/>
  <c r="H20" i="16"/>
  <c r="P20" i="16" s="1"/>
  <c r="Q20" i="16" s="1"/>
  <c r="L20" i="16"/>
  <c r="AF4" i="15"/>
  <c r="Y4" i="15"/>
  <c r="X4" i="15"/>
  <c r="W4" i="15"/>
  <c r="AG4" i="15"/>
  <c r="AE4" i="15"/>
  <c r="AC4" i="15"/>
  <c r="AD4" i="15" s="1"/>
  <c r="AB4" i="15"/>
  <c r="Z4" i="15"/>
  <c r="V4" i="15"/>
  <c r="AH5" i="10"/>
  <c r="AG5" i="10"/>
  <c r="AF5" i="10"/>
  <c r="AD5" i="10"/>
  <c r="AE5" i="10" s="1"/>
  <c r="AC5" i="10"/>
  <c r="AA5" i="10"/>
  <c r="Z5" i="10"/>
  <c r="Y5" i="10"/>
  <c r="X5" i="10"/>
  <c r="G42" i="1"/>
  <c r="G9" i="15"/>
  <c r="G9" i="8"/>
  <c r="G174" i="1"/>
  <c r="G134" i="15"/>
  <c r="G9" i="5"/>
  <c r="G102" i="15"/>
  <c r="G240" i="1"/>
  <c r="G9" i="10"/>
  <c r="G40" i="15"/>
  <c r="G71" i="15"/>
  <c r="F42" i="1"/>
  <c r="F9" i="8"/>
  <c r="F174" i="1"/>
  <c r="F207" i="1" s="1"/>
  <c r="F134" i="15"/>
  <c r="F9" i="5"/>
  <c r="F9" i="10"/>
  <c r="F40" i="15"/>
  <c r="F71" i="15"/>
  <c r="F240" i="1"/>
  <c r="F102" i="15"/>
  <c r="E240" i="1"/>
  <c r="E42" i="1"/>
  <c r="E9" i="15"/>
  <c r="E9" i="8"/>
  <c r="E134" i="15"/>
  <c r="E9" i="5"/>
  <c r="E102" i="15"/>
  <c r="E40" i="15"/>
  <c r="E71" i="15"/>
  <c r="D102" i="15"/>
  <c r="C240" i="1"/>
  <c r="D9" i="15"/>
  <c r="D9" i="8"/>
  <c r="D134" i="15"/>
  <c r="D71" i="15"/>
  <c r="D40" i="15"/>
  <c r="D9" i="5"/>
  <c r="D9" i="10"/>
  <c r="C40" i="15"/>
  <c r="C102" i="15"/>
  <c r="C134" i="15"/>
  <c r="C9" i="15"/>
  <c r="C9" i="8"/>
  <c r="C42" i="1"/>
  <c r="C71" i="15"/>
  <c r="C9" i="5"/>
  <c r="C9" i="10"/>
  <c r="B9" i="8"/>
  <c r="B9" i="5"/>
  <c r="B9" i="10"/>
  <c r="G207" i="1"/>
  <c r="E75" i="1"/>
  <c r="C75" i="1"/>
  <c r="D141" i="1"/>
  <c r="D75" i="1"/>
  <c r="C141" i="1"/>
  <c r="E141" i="1"/>
  <c r="D108" i="1"/>
  <c r="C108" i="1"/>
  <c r="E108" i="1"/>
  <c r="F75" i="1"/>
  <c r="G75" i="1"/>
  <c r="L31" i="16" l="1"/>
  <c r="L12" i="16"/>
  <c r="Q358" i="16"/>
  <c r="Q172" i="16"/>
  <c r="Q215" i="16"/>
  <c r="Q67" i="16"/>
  <c r="Q110" i="16"/>
  <c r="Q191" i="16"/>
  <c r="Q234" i="16"/>
  <c r="Q320" i="16"/>
  <c r="Q277" i="16"/>
  <c r="Q148" i="16"/>
  <c r="AH23" i="16"/>
  <c r="E88" i="24"/>
  <c r="J23" i="26"/>
  <c r="C49" i="15"/>
  <c r="C80" i="15" s="1"/>
  <c r="C111" i="15" s="1"/>
  <c r="C143" i="15" s="1"/>
  <c r="C18" i="5"/>
  <c r="C18" i="10" s="1"/>
  <c r="A44" i="15"/>
  <c r="A75" i="15" s="1"/>
  <c r="A106" i="15" s="1"/>
  <c r="A138" i="15" s="1"/>
  <c r="A13" i="5"/>
  <c r="A13" i="10" s="1"/>
  <c r="A178" i="1"/>
  <c r="A211" i="1" s="1"/>
  <c r="A112" i="1"/>
  <c r="A145" i="1" s="1"/>
  <c r="A80" i="1"/>
  <c r="A245" i="1" s="1"/>
  <c r="A14" i="15"/>
  <c r="A20" i="25"/>
  <c r="C52" i="1"/>
  <c r="C19" i="15"/>
  <c r="C85" i="1"/>
  <c r="C249" i="1"/>
  <c r="C117" i="1"/>
  <c r="C150" i="1" s="1"/>
  <c r="A15" i="1"/>
  <c r="A15" i="8" s="1"/>
  <c r="A47" i="1"/>
  <c r="F38" i="16"/>
  <c r="F33" i="16"/>
  <c r="F42" i="16"/>
  <c r="P42" i="16" s="1"/>
  <c r="Q42" i="16" s="1"/>
  <c r="F34" i="16"/>
  <c r="P34" i="16" s="1"/>
  <c r="Q34" i="16" s="1"/>
  <c r="F41" i="16"/>
  <c r="F29" i="16"/>
  <c r="F53" i="16"/>
  <c r="M53" i="16"/>
  <c r="B29" i="16"/>
  <c r="I32" i="16"/>
  <c r="B72" i="16"/>
  <c r="D32" i="16"/>
  <c r="D38" i="16"/>
  <c r="D40" i="16"/>
  <c r="P40" i="16" s="1"/>
  <c r="Q40" i="16" s="1"/>
  <c r="E33" i="16"/>
  <c r="E41" i="16"/>
  <c r="B53" i="16"/>
  <c r="N31" i="16"/>
  <c r="M31" i="16"/>
  <c r="M39" i="16"/>
  <c r="K39" i="16"/>
  <c r="E48" i="24"/>
  <c r="H39" i="16"/>
  <c r="H31" i="16"/>
  <c r="M29" i="16"/>
  <c r="C37" i="16"/>
  <c r="P37" i="16" s="1"/>
  <c r="Q37" i="16" s="1"/>
  <c r="I22" i="26"/>
  <c r="K22" i="26" s="1"/>
  <c r="J22" i="26" s="1"/>
  <c r="I21" i="26"/>
  <c r="F21" i="26"/>
  <c r="M23" i="26"/>
  <c r="M41" i="26"/>
  <c r="K41" i="26"/>
  <c r="G46" i="24" l="1"/>
  <c r="K46" i="24"/>
  <c r="I46" i="24"/>
  <c r="I40" i="24"/>
  <c r="K40" i="24"/>
  <c r="G40" i="24"/>
  <c r="G34" i="24"/>
  <c r="K34" i="24"/>
  <c r="I34" i="24"/>
  <c r="I49" i="24"/>
  <c r="K49" i="24"/>
  <c r="G49" i="24"/>
  <c r="G52" i="24"/>
  <c r="K52" i="24"/>
  <c r="I52" i="24"/>
  <c r="G48" i="24"/>
  <c r="K48" i="24"/>
  <c r="I48" i="24"/>
  <c r="G43" i="24"/>
  <c r="K43" i="24"/>
  <c r="I43" i="24"/>
  <c r="I60" i="24"/>
  <c r="K60" i="24"/>
  <c r="G60" i="24"/>
  <c r="G21" i="24"/>
  <c r="K21" i="24"/>
  <c r="I21" i="24"/>
  <c r="E19" i="24"/>
  <c r="G29" i="24"/>
  <c r="K29" i="24"/>
  <c r="I29" i="24"/>
  <c r="G88" i="24"/>
  <c r="K88" i="24"/>
  <c r="I88" i="24"/>
  <c r="H23" i="26"/>
  <c r="H41" i="26"/>
  <c r="J41" i="26"/>
  <c r="L41" i="26"/>
  <c r="E75" i="24"/>
  <c r="E30" i="24"/>
  <c r="C50" i="15"/>
  <c r="C81" i="15" s="1"/>
  <c r="C112" i="15" s="1"/>
  <c r="C144" i="15" s="1"/>
  <c r="C19" i="5"/>
  <c r="C19" i="10" s="1"/>
  <c r="A45" i="15"/>
  <c r="A76" i="15" s="1"/>
  <c r="A107" i="15" s="1"/>
  <c r="A139" i="15" s="1"/>
  <c r="A14" i="5"/>
  <c r="A14" i="10" s="1"/>
  <c r="A81" i="1"/>
  <c r="A246" i="1" s="1"/>
  <c r="A15" i="15"/>
  <c r="A179" i="1"/>
  <c r="A212" i="1" s="1"/>
  <c r="A113" i="1"/>
  <c r="A146" i="1" s="1"/>
  <c r="C250" i="1"/>
  <c r="C118" i="1"/>
  <c r="C151" i="1" s="1"/>
  <c r="A21" i="25"/>
  <c r="C53" i="1"/>
  <c r="C86" i="1"/>
  <c r="C20" i="15"/>
  <c r="A16" i="1"/>
  <c r="A16" i="8" s="1"/>
  <c r="A48" i="1"/>
  <c r="P38" i="16"/>
  <c r="Q38" i="16" s="1"/>
  <c r="P33" i="16"/>
  <c r="Q33" i="16" s="1"/>
  <c r="P41" i="16"/>
  <c r="Q41" i="16" s="1"/>
  <c r="G29" i="16"/>
  <c r="J53" i="16"/>
  <c r="P32" i="16"/>
  <c r="Q32" i="16" s="1"/>
  <c r="P31" i="16"/>
  <c r="Q31" i="16" s="1"/>
  <c r="E72" i="24"/>
  <c r="P53" i="16"/>
  <c r="P39" i="16"/>
  <c r="Q39" i="16" s="1"/>
  <c r="E27" i="24"/>
  <c r="E92" i="24"/>
  <c r="E90" i="24"/>
  <c r="E42" i="24"/>
  <c r="E51" i="24"/>
  <c r="E89" i="24"/>
  <c r="E25" i="24"/>
  <c r="P29" i="16"/>
  <c r="E91" i="24"/>
  <c r="E39" i="24"/>
  <c r="M22" i="26"/>
  <c r="O22" i="26" s="1"/>
  <c r="H22" i="26"/>
  <c r="H21" i="26"/>
  <c r="K21" i="26"/>
  <c r="O41" i="26"/>
  <c r="L23" i="26"/>
  <c r="O23" i="26"/>
  <c r="G19" i="24" l="1"/>
  <c r="G22" i="24" s="1"/>
  <c r="K19" i="24"/>
  <c r="I19" i="24"/>
  <c r="I22" i="24" s="1"/>
  <c r="D13" i="26" s="1"/>
  <c r="M48" i="24"/>
  <c r="O48" i="24"/>
  <c r="O34" i="24"/>
  <c r="M34" i="24"/>
  <c r="I25" i="24"/>
  <c r="K25" i="24"/>
  <c r="G25" i="24"/>
  <c r="M21" i="24"/>
  <c r="O21" i="24"/>
  <c r="M40" i="24"/>
  <c r="O40" i="24"/>
  <c r="O52" i="24"/>
  <c r="M52" i="24"/>
  <c r="M60" i="24"/>
  <c r="O60" i="24"/>
  <c r="O46" i="24"/>
  <c r="M46" i="24"/>
  <c r="G42" i="24"/>
  <c r="K42" i="24"/>
  <c r="I42" i="24"/>
  <c r="G28" i="24"/>
  <c r="K28" i="24"/>
  <c r="I28" i="24"/>
  <c r="I51" i="24"/>
  <c r="K51" i="24"/>
  <c r="G51" i="24"/>
  <c r="G32" i="24"/>
  <c r="K32" i="24"/>
  <c r="I32" i="24"/>
  <c r="G30" i="24"/>
  <c r="K30" i="24"/>
  <c r="I30" i="24"/>
  <c r="I50" i="24"/>
  <c r="K50" i="24"/>
  <c r="G50" i="24"/>
  <c r="G31" i="24"/>
  <c r="K31" i="24"/>
  <c r="I31" i="24"/>
  <c r="M43" i="24"/>
  <c r="O43" i="24"/>
  <c r="G44" i="24"/>
  <c r="K44" i="24"/>
  <c r="I44" i="24"/>
  <c r="G39" i="24"/>
  <c r="K39" i="24"/>
  <c r="I39" i="24"/>
  <c r="G35" i="24"/>
  <c r="K35" i="24"/>
  <c r="I35" i="24"/>
  <c r="O49" i="24"/>
  <c r="M49" i="24"/>
  <c r="G27" i="24"/>
  <c r="K27" i="24"/>
  <c r="I27" i="24"/>
  <c r="G33" i="24"/>
  <c r="K33" i="24"/>
  <c r="I33" i="24"/>
  <c r="O29" i="24"/>
  <c r="M29" i="24"/>
  <c r="I72" i="24"/>
  <c r="K72" i="24"/>
  <c r="G72" i="24"/>
  <c r="G75" i="24"/>
  <c r="K75" i="24"/>
  <c r="I75" i="24"/>
  <c r="I91" i="24"/>
  <c r="K91" i="24"/>
  <c r="G91" i="24"/>
  <c r="I92" i="24"/>
  <c r="K92" i="24"/>
  <c r="G92" i="24"/>
  <c r="I89" i="24"/>
  <c r="K89" i="24"/>
  <c r="G89" i="24"/>
  <c r="M88" i="24"/>
  <c r="O88" i="24"/>
  <c r="I90" i="24"/>
  <c r="K90" i="24"/>
  <c r="G90" i="24"/>
  <c r="A46" i="15"/>
  <c r="A77" i="15" s="1"/>
  <c r="A108" i="15" s="1"/>
  <c r="A140" i="15" s="1"/>
  <c r="A15" i="5"/>
  <c r="A15" i="10" s="1"/>
  <c r="A180" i="1"/>
  <c r="A213" i="1" s="1"/>
  <c r="C51" i="15"/>
  <c r="C82" i="15" s="1"/>
  <c r="C113" i="15" s="1"/>
  <c r="C145" i="15" s="1"/>
  <c r="C20" i="5"/>
  <c r="C20" i="10" s="1"/>
  <c r="A114" i="1"/>
  <c r="A147" i="1" s="1"/>
  <c r="A82" i="1"/>
  <c r="A247" i="1" s="1"/>
  <c r="A16" i="15"/>
  <c r="C119" i="1"/>
  <c r="C152" i="1" s="1"/>
  <c r="C251" i="1"/>
  <c r="A22" i="25"/>
  <c r="C54" i="1"/>
  <c r="C87" i="1"/>
  <c r="C21" i="15"/>
  <c r="A17" i="1"/>
  <c r="A17" i="8" s="1"/>
  <c r="A49" i="1"/>
  <c r="J29" i="16"/>
  <c r="E45" i="24"/>
  <c r="E73" i="24"/>
  <c r="Q43" i="16"/>
  <c r="G70" i="1"/>
  <c r="E26" i="24"/>
  <c r="G37" i="8"/>
  <c r="G99" i="15"/>
  <c r="E136" i="1"/>
  <c r="G130" i="15"/>
  <c r="G37" i="15"/>
  <c r="G162" i="15"/>
  <c r="G103" i="1"/>
  <c r="E169" i="1"/>
  <c r="G37" i="10"/>
  <c r="L22" i="26"/>
  <c r="J21" i="26"/>
  <c r="M21" i="26"/>
  <c r="Q22" i="26"/>
  <c r="N22" i="26"/>
  <c r="N23" i="26"/>
  <c r="Q23" i="26"/>
  <c r="P41" i="26"/>
  <c r="N41" i="26"/>
  <c r="I93" i="24" l="1"/>
  <c r="D20" i="26" s="1"/>
  <c r="G20" i="26" s="1"/>
  <c r="F20" i="26" s="1"/>
  <c r="G93" i="24"/>
  <c r="O39" i="24"/>
  <c r="M39" i="24"/>
  <c r="O51" i="24"/>
  <c r="M51" i="24"/>
  <c r="O32" i="24"/>
  <c r="M32" i="24"/>
  <c r="O33" i="24"/>
  <c r="M33" i="24"/>
  <c r="M28" i="24"/>
  <c r="O28" i="24"/>
  <c r="M25" i="24"/>
  <c r="O25" i="24"/>
  <c r="M44" i="24"/>
  <c r="O44" i="24"/>
  <c r="O27" i="24"/>
  <c r="M27" i="24"/>
  <c r="G45" i="24"/>
  <c r="K45" i="24"/>
  <c r="I45" i="24"/>
  <c r="O42" i="24"/>
  <c r="M42" i="24"/>
  <c r="O31" i="24"/>
  <c r="M31" i="24"/>
  <c r="O50" i="24"/>
  <c r="M50" i="24"/>
  <c r="G53" i="24"/>
  <c r="K53" i="24"/>
  <c r="I53" i="24"/>
  <c r="M35" i="24"/>
  <c r="O35" i="24"/>
  <c r="D31" i="26"/>
  <c r="G13" i="26"/>
  <c r="O30" i="24"/>
  <c r="M30" i="24"/>
  <c r="M19" i="24"/>
  <c r="M22" i="24" s="1"/>
  <c r="O19" i="24"/>
  <c r="I26" i="24"/>
  <c r="I36" i="24" s="1"/>
  <c r="D14" i="26" s="1"/>
  <c r="D32" i="26" s="1"/>
  <c r="K26" i="24"/>
  <c r="G26" i="24"/>
  <c r="G36" i="24" s="1"/>
  <c r="G73" i="24"/>
  <c r="K73" i="24"/>
  <c r="I73" i="24"/>
  <c r="M75" i="24"/>
  <c r="O75" i="24"/>
  <c r="M72" i="24"/>
  <c r="O72" i="24"/>
  <c r="O89" i="24"/>
  <c r="M89" i="24"/>
  <c r="M92" i="24"/>
  <c r="O92" i="24"/>
  <c r="M91" i="24"/>
  <c r="O91" i="24"/>
  <c r="O90" i="24"/>
  <c r="M90" i="24"/>
  <c r="A47" i="15"/>
  <c r="A78" i="15" s="1"/>
  <c r="A109" i="15" s="1"/>
  <c r="A141" i="15" s="1"/>
  <c r="A16" i="5"/>
  <c r="A16" i="10" s="1"/>
  <c r="A181" i="1"/>
  <c r="A214" i="1" s="1"/>
  <c r="A115" i="1"/>
  <c r="A148" i="1" s="1"/>
  <c r="C52" i="15"/>
  <c r="C83" i="15" s="1"/>
  <c r="C114" i="15" s="1"/>
  <c r="C146" i="15" s="1"/>
  <c r="C21" i="5"/>
  <c r="C21" i="10" s="1"/>
  <c r="A83" i="1"/>
  <c r="A248" i="1" s="1"/>
  <c r="A17" i="15"/>
  <c r="C252" i="1"/>
  <c r="C120" i="1"/>
  <c r="C153" i="1" s="1"/>
  <c r="C55" i="1"/>
  <c r="C22" i="15"/>
  <c r="C88" i="1"/>
  <c r="A23" i="25"/>
  <c r="A18" i="1"/>
  <c r="A18" i="8" s="1"/>
  <c r="A50" i="1"/>
  <c r="E14" i="24"/>
  <c r="L21" i="26"/>
  <c r="O21" i="26"/>
  <c r="G40" i="26"/>
  <c r="P22" i="26"/>
  <c r="P23" i="26"/>
  <c r="G41" i="26"/>
  <c r="F41" i="26" s="1"/>
  <c r="D38" i="26" l="1"/>
  <c r="I20" i="26"/>
  <c r="H20" i="26" s="1"/>
  <c r="O22" i="24"/>
  <c r="M93" i="24"/>
  <c r="O93" i="24"/>
  <c r="G14" i="24"/>
  <c r="K14" i="24"/>
  <c r="I14" i="24"/>
  <c r="G14" i="26"/>
  <c r="I14" i="26" s="1"/>
  <c r="H14" i="26" s="1"/>
  <c r="M53" i="24"/>
  <c r="O53" i="24"/>
  <c r="M26" i="24"/>
  <c r="M36" i="24" s="1"/>
  <c r="O26" i="24"/>
  <c r="M45" i="24"/>
  <c r="O45" i="24"/>
  <c r="I13" i="26"/>
  <c r="F13" i="26"/>
  <c r="M73" i="24"/>
  <c r="O73" i="24"/>
  <c r="A48" i="15"/>
  <c r="A79" i="15" s="1"/>
  <c r="A110" i="15" s="1"/>
  <c r="A142" i="15" s="1"/>
  <c r="A17" i="5"/>
  <c r="A17" i="10" s="1"/>
  <c r="C53" i="15"/>
  <c r="C84" i="15" s="1"/>
  <c r="C115" i="15" s="1"/>
  <c r="C147" i="15" s="1"/>
  <c r="C22" i="5"/>
  <c r="C22" i="10" s="1"/>
  <c r="A182" i="1"/>
  <c r="A215" i="1" s="1"/>
  <c r="A116" i="1"/>
  <c r="A149" i="1" s="1"/>
  <c r="A84" i="1"/>
  <c r="A249" i="1" s="1"/>
  <c r="A18" i="15"/>
  <c r="C56" i="1"/>
  <c r="C89" i="1"/>
  <c r="C23" i="15"/>
  <c r="A24" i="25"/>
  <c r="A25" i="25" s="1"/>
  <c r="C121" i="1"/>
  <c r="C154" i="1" s="1"/>
  <c r="C253" i="1"/>
  <c r="A19" i="1"/>
  <c r="A19" i="8" s="1"/>
  <c r="A51" i="1"/>
  <c r="E74" i="24"/>
  <c r="Q21" i="26"/>
  <c r="N21" i="26"/>
  <c r="I40" i="26"/>
  <c r="F40" i="26"/>
  <c r="O36" i="24" l="1"/>
  <c r="K20" i="26"/>
  <c r="J20" i="26" s="1"/>
  <c r="K14" i="26"/>
  <c r="J14" i="26" s="1"/>
  <c r="M14" i="24"/>
  <c r="O14" i="24"/>
  <c r="F14" i="26"/>
  <c r="H13" i="26"/>
  <c r="K13" i="26"/>
  <c r="G47" i="24"/>
  <c r="K47" i="24"/>
  <c r="I47" i="24"/>
  <c r="G41" i="24"/>
  <c r="K41" i="24"/>
  <c r="I41" i="24"/>
  <c r="G74" i="24"/>
  <c r="K74" i="24"/>
  <c r="I74" i="24"/>
  <c r="A49" i="15"/>
  <c r="A80" i="15" s="1"/>
  <c r="A111" i="15" s="1"/>
  <c r="A143" i="15" s="1"/>
  <c r="A18" i="5"/>
  <c r="A18" i="10" s="1"/>
  <c r="C54" i="15"/>
  <c r="C85" i="15" s="1"/>
  <c r="C116" i="15" s="1"/>
  <c r="C148" i="15" s="1"/>
  <c r="C23" i="5"/>
  <c r="C23" i="10" s="1"/>
  <c r="A183" i="1"/>
  <c r="A216" i="1" s="1"/>
  <c r="A117" i="1"/>
  <c r="A150" i="1" s="1"/>
  <c r="A85" i="1"/>
  <c r="A250" i="1" s="1"/>
  <c r="A19" i="15"/>
  <c r="C122" i="1"/>
  <c r="C155" i="1" s="1"/>
  <c r="C254" i="1"/>
  <c r="C57" i="1"/>
  <c r="C24" i="15"/>
  <c r="C90" i="1"/>
  <c r="A20" i="1"/>
  <c r="A20" i="8" s="1"/>
  <c r="A52" i="1"/>
  <c r="P21" i="26"/>
  <c r="G39" i="26"/>
  <c r="H40" i="26"/>
  <c r="K40" i="26"/>
  <c r="M20" i="26" l="1"/>
  <c r="O20" i="26" s="1"/>
  <c r="G54" i="24"/>
  <c r="M14" i="26"/>
  <c r="O14" i="26" s="1"/>
  <c r="I54" i="24"/>
  <c r="D15" i="26" s="1"/>
  <c r="D33" i="26" s="1"/>
  <c r="O47" i="24"/>
  <c r="M47" i="24"/>
  <c r="M13" i="26"/>
  <c r="J13" i="26"/>
  <c r="M41" i="24"/>
  <c r="O41" i="24"/>
  <c r="M74" i="24"/>
  <c r="O74" i="24"/>
  <c r="A50" i="15"/>
  <c r="A81" i="15" s="1"/>
  <c r="A112" i="15" s="1"/>
  <c r="A144" i="15" s="1"/>
  <c r="A19" i="5"/>
  <c r="A19" i="10" s="1"/>
  <c r="A184" i="1"/>
  <c r="A217" i="1" s="1"/>
  <c r="A118" i="1"/>
  <c r="A151" i="1" s="1"/>
  <c r="C55" i="15"/>
  <c r="C86" i="15" s="1"/>
  <c r="C117" i="15" s="1"/>
  <c r="C149" i="15" s="1"/>
  <c r="C24" i="5"/>
  <c r="C24" i="10" s="1"/>
  <c r="A86" i="1"/>
  <c r="A251" i="1" s="1"/>
  <c r="A20" i="15"/>
  <c r="C123" i="1"/>
  <c r="C156" i="1" s="1"/>
  <c r="C255" i="1"/>
  <c r="A26" i="25"/>
  <c r="C58" i="1"/>
  <c r="C25" i="15"/>
  <c r="C91" i="1"/>
  <c r="A21" i="1"/>
  <c r="A21" i="8" s="1"/>
  <c r="A53" i="1"/>
  <c r="L20" i="26"/>
  <c r="N20" i="26"/>
  <c r="Q20" i="26"/>
  <c r="I39" i="26"/>
  <c r="F39" i="26"/>
  <c r="M40" i="26"/>
  <c r="J40" i="26"/>
  <c r="L14" i="26" l="1"/>
  <c r="M54" i="24"/>
  <c r="O54" i="24"/>
  <c r="G15" i="26"/>
  <c r="O13" i="26"/>
  <c r="L13" i="26"/>
  <c r="A51" i="15"/>
  <c r="A82" i="15" s="1"/>
  <c r="A113" i="15" s="1"/>
  <c r="A145" i="15" s="1"/>
  <c r="A20" i="5"/>
  <c r="A20" i="10" s="1"/>
  <c r="C56" i="15"/>
  <c r="C87" i="15" s="1"/>
  <c r="C118" i="15" s="1"/>
  <c r="C150" i="15" s="1"/>
  <c r="C25" i="5"/>
  <c r="C25" i="10" s="1"/>
  <c r="A185" i="1"/>
  <c r="A218" i="1" s="1"/>
  <c r="A119" i="1"/>
  <c r="A152" i="1" s="1"/>
  <c r="A87" i="1"/>
  <c r="A252" i="1" s="1"/>
  <c r="A21" i="15"/>
  <c r="C124" i="1"/>
  <c r="C157" i="1" s="1"/>
  <c r="C256" i="1"/>
  <c r="C59" i="1"/>
  <c r="C26" i="15"/>
  <c r="C92" i="1"/>
  <c r="A27" i="25"/>
  <c r="A22" i="1"/>
  <c r="A22" i="8" s="1"/>
  <c r="A54" i="1"/>
  <c r="Q14" i="26"/>
  <c r="N14" i="26"/>
  <c r="P20" i="26"/>
  <c r="G38" i="26"/>
  <c r="H39" i="26"/>
  <c r="K39" i="26"/>
  <c r="O40" i="26"/>
  <c r="L40" i="26"/>
  <c r="F15" i="26" l="1"/>
  <c r="I15" i="26"/>
  <c r="Q13" i="26"/>
  <c r="N13" i="26"/>
  <c r="A52" i="15"/>
  <c r="A83" i="15" s="1"/>
  <c r="A114" i="15" s="1"/>
  <c r="A146" i="15" s="1"/>
  <c r="A21" i="5"/>
  <c r="A21" i="10" s="1"/>
  <c r="A186" i="1"/>
  <c r="A219" i="1" s="1"/>
  <c r="A120" i="1"/>
  <c r="A153" i="1" s="1"/>
  <c r="C57" i="15"/>
  <c r="C88" i="15" s="1"/>
  <c r="C119" i="15" s="1"/>
  <c r="C151" i="15" s="1"/>
  <c r="C26" i="5"/>
  <c r="C26" i="10" s="1"/>
  <c r="A88" i="1"/>
  <c r="A253" i="1" s="1"/>
  <c r="A22" i="15"/>
  <c r="A28" i="25"/>
  <c r="C93" i="1"/>
  <c r="C27" i="15"/>
  <c r="C60" i="1"/>
  <c r="C125" i="1"/>
  <c r="C158" i="1" s="1"/>
  <c r="C257" i="1"/>
  <c r="A23" i="1"/>
  <c r="A23" i="8" s="1"/>
  <c r="A55" i="1"/>
  <c r="E59" i="24"/>
  <c r="G32" i="26"/>
  <c r="P14" i="26"/>
  <c r="F38" i="26"/>
  <c r="I38" i="26"/>
  <c r="M39" i="26"/>
  <c r="J39" i="26"/>
  <c r="Q40" i="26"/>
  <c r="P40" i="26" s="1"/>
  <c r="N40" i="26"/>
  <c r="H15" i="26" l="1"/>
  <c r="K15" i="26"/>
  <c r="I59" i="24"/>
  <c r="K59" i="24"/>
  <c r="G59" i="24"/>
  <c r="G31" i="26"/>
  <c r="P13" i="26"/>
  <c r="A53" i="15"/>
  <c r="A84" i="15" s="1"/>
  <c r="A115" i="15" s="1"/>
  <c r="A147" i="15" s="1"/>
  <c r="A22" i="5"/>
  <c r="A22" i="10" s="1"/>
  <c r="C58" i="15"/>
  <c r="C89" i="15" s="1"/>
  <c r="C120" i="15" s="1"/>
  <c r="C152" i="15" s="1"/>
  <c r="C27" i="5"/>
  <c r="C27" i="10" s="1"/>
  <c r="A187" i="1"/>
  <c r="A220" i="1" s="1"/>
  <c r="A121" i="1"/>
  <c r="A154" i="1" s="1"/>
  <c r="A89" i="1"/>
  <c r="A254" i="1" s="1"/>
  <c r="A23" i="15"/>
  <c r="C61" i="1"/>
  <c r="C28" i="15"/>
  <c r="C94" i="1"/>
  <c r="C126" i="1"/>
  <c r="C159" i="1" s="1"/>
  <c r="C258" i="1"/>
  <c r="A29" i="25"/>
  <c r="A24" i="1"/>
  <c r="A24" i="8" s="1"/>
  <c r="A56" i="1"/>
  <c r="E13" i="24"/>
  <c r="F32" i="26"/>
  <c r="I32" i="26"/>
  <c r="K38" i="26"/>
  <c r="H38" i="26"/>
  <c r="L39" i="26"/>
  <c r="O39" i="26"/>
  <c r="J15" i="26" l="1"/>
  <c r="M15" i="26"/>
  <c r="K13" i="24"/>
  <c r="I13" i="24"/>
  <c r="I16" i="24" s="1"/>
  <c r="D12" i="26" s="1"/>
  <c r="D30" i="26" s="1"/>
  <c r="G13" i="24"/>
  <c r="G16" i="24" s="1"/>
  <c r="G61" i="24"/>
  <c r="K61" i="24"/>
  <c r="I61" i="24"/>
  <c r="F31" i="26"/>
  <c r="I31" i="26"/>
  <c r="M59" i="24"/>
  <c r="O59" i="24"/>
  <c r="E66" i="24"/>
  <c r="A188" i="1"/>
  <c r="A221" i="1" s="1"/>
  <c r="A54" i="15"/>
  <c r="A85" i="15" s="1"/>
  <c r="A116" i="15" s="1"/>
  <c r="A148" i="15" s="1"/>
  <c r="A23" i="5"/>
  <c r="A23" i="10" s="1"/>
  <c r="C59" i="15"/>
  <c r="C90" i="15" s="1"/>
  <c r="C121" i="15" s="1"/>
  <c r="C153" i="15" s="1"/>
  <c r="C28" i="5"/>
  <c r="C28" i="10" s="1"/>
  <c r="A122" i="1"/>
  <c r="A155" i="1" s="1"/>
  <c r="A90" i="1"/>
  <c r="A255" i="1" s="1"/>
  <c r="A24" i="15"/>
  <c r="A30" i="25"/>
  <c r="C62" i="1"/>
  <c r="C29" i="15"/>
  <c r="C95" i="1"/>
  <c r="C127" i="1"/>
  <c r="C160" i="1" s="1"/>
  <c r="C259" i="1"/>
  <c r="A25" i="1"/>
  <c r="A25" i="8" s="1"/>
  <c r="A57" i="1"/>
  <c r="E57" i="24"/>
  <c r="E67" i="24"/>
  <c r="M38" i="26"/>
  <c r="J38" i="26"/>
  <c r="H32" i="26"/>
  <c r="K32" i="26"/>
  <c r="N39" i="26"/>
  <c r="Q39" i="26"/>
  <c r="P39" i="26" s="1"/>
  <c r="G12" i="26" l="1"/>
  <c r="F12" i="26" s="1"/>
  <c r="O15" i="26"/>
  <c r="L15" i="26"/>
  <c r="G57" i="24"/>
  <c r="K57" i="24"/>
  <c r="I57" i="24"/>
  <c r="M13" i="24"/>
  <c r="M16" i="24" s="1"/>
  <c r="O13" i="24"/>
  <c r="G71" i="24"/>
  <c r="G77" i="24" s="1"/>
  <c r="K71" i="24"/>
  <c r="I71" i="24"/>
  <c r="I77" i="24" s="1"/>
  <c r="D18" i="26" s="1"/>
  <c r="D36" i="26" s="1"/>
  <c r="M61" i="24"/>
  <c r="O61" i="24"/>
  <c r="H31" i="26"/>
  <c r="K31" i="26"/>
  <c r="G67" i="24"/>
  <c r="K67" i="24"/>
  <c r="I67" i="24"/>
  <c r="I66" i="24"/>
  <c r="K66" i="24"/>
  <c r="G66" i="24"/>
  <c r="C60" i="15"/>
  <c r="C91" i="15" s="1"/>
  <c r="C122" i="15" s="1"/>
  <c r="C154" i="15" s="1"/>
  <c r="C29" i="5"/>
  <c r="C29" i="10" s="1"/>
  <c r="A189" i="1"/>
  <c r="A222" i="1" s="1"/>
  <c r="A55" i="15"/>
  <c r="A86" i="15" s="1"/>
  <c r="A117" i="15" s="1"/>
  <c r="A149" i="15" s="1"/>
  <c r="A24" i="5"/>
  <c r="A24" i="10" s="1"/>
  <c r="A123" i="1"/>
  <c r="A156" i="1" s="1"/>
  <c r="A91" i="1"/>
  <c r="A256" i="1" s="1"/>
  <c r="A25" i="15"/>
  <c r="C260" i="1"/>
  <c r="C128" i="1"/>
  <c r="C161" i="1" s="1"/>
  <c r="C63" i="1"/>
  <c r="C30" i="15"/>
  <c r="C96" i="1"/>
  <c r="A31" i="25"/>
  <c r="A26" i="1"/>
  <c r="A26" i="8" s="1"/>
  <c r="A58" i="1"/>
  <c r="E58" i="24"/>
  <c r="J32" i="26"/>
  <c r="M32" i="26"/>
  <c r="O38" i="26"/>
  <c r="L38" i="26"/>
  <c r="I12" i="26" l="1"/>
  <c r="H12" i="26" s="1"/>
  <c r="O16" i="24"/>
  <c r="Q15" i="26"/>
  <c r="N15" i="26"/>
  <c r="G58" i="24"/>
  <c r="G62" i="24" s="1"/>
  <c r="K58" i="24"/>
  <c r="I58" i="24"/>
  <c r="I62" i="24" s="1"/>
  <c r="D16" i="26" s="1"/>
  <c r="D34" i="26" s="1"/>
  <c r="G68" i="24"/>
  <c r="O57" i="24"/>
  <c r="M57" i="24"/>
  <c r="M71" i="24"/>
  <c r="M77" i="24" s="1"/>
  <c r="O71" i="24"/>
  <c r="J31" i="26"/>
  <c r="M31" i="26"/>
  <c r="M67" i="24"/>
  <c r="O67" i="24"/>
  <c r="O66" i="24"/>
  <c r="M66" i="24"/>
  <c r="I68" i="24"/>
  <c r="G18" i="26"/>
  <c r="C61" i="15"/>
  <c r="C92" i="15" s="1"/>
  <c r="C123" i="15" s="1"/>
  <c r="C155" i="15" s="1"/>
  <c r="C30" i="5"/>
  <c r="C30" i="10" s="1"/>
  <c r="A190" i="1"/>
  <c r="A223" i="1" s="1"/>
  <c r="A56" i="15"/>
  <c r="A87" i="15" s="1"/>
  <c r="A118" i="15" s="1"/>
  <c r="A150" i="15" s="1"/>
  <c r="A25" i="5"/>
  <c r="A25" i="10" s="1"/>
  <c r="A124" i="1"/>
  <c r="A157" i="1" s="1"/>
  <c r="A92" i="1"/>
  <c r="A257" i="1" s="1"/>
  <c r="A26" i="15"/>
  <c r="C97" i="1"/>
  <c r="C64" i="1"/>
  <c r="C31" i="15"/>
  <c r="A32" i="25"/>
  <c r="C261" i="1"/>
  <c r="C129" i="1"/>
  <c r="C162" i="1" s="1"/>
  <c r="A27" i="1"/>
  <c r="A27" i="8" s="1"/>
  <c r="A59" i="1"/>
  <c r="N38" i="26"/>
  <c r="Q38" i="26"/>
  <c r="P38" i="26" s="1"/>
  <c r="L32" i="26"/>
  <c r="O32" i="26"/>
  <c r="K12" i="26" l="1"/>
  <c r="G108" i="24"/>
  <c r="P15" i="26"/>
  <c r="G33" i="26"/>
  <c r="O77" i="24"/>
  <c r="M68" i="24"/>
  <c r="M58" i="24"/>
  <c r="M62" i="24" s="1"/>
  <c r="O58" i="24"/>
  <c r="G16" i="26"/>
  <c r="I16" i="26" s="1"/>
  <c r="O31" i="26"/>
  <c r="L31" i="26"/>
  <c r="D17" i="26"/>
  <c r="I108" i="24"/>
  <c r="J20" i="24" s="1"/>
  <c r="O68" i="24"/>
  <c r="C62" i="15"/>
  <c r="C93" i="15" s="1"/>
  <c r="C124" i="15" s="1"/>
  <c r="C156" i="15" s="1"/>
  <c r="C31" i="5"/>
  <c r="C31" i="10" s="1"/>
  <c r="A57" i="15"/>
  <c r="A88" i="15" s="1"/>
  <c r="A119" i="15" s="1"/>
  <c r="A151" i="15" s="1"/>
  <c r="A26" i="5"/>
  <c r="A26" i="10" s="1"/>
  <c r="A191" i="1"/>
  <c r="A224" i="1" s="1"/>
  <c r="A125" i="1"/>
  <c r="A158" i="1" s="1"/>
  <c r="A93" i="1"/>
  <c r="A258" i="1" s="1"/>
  <c r="A27" i="15"/>
  <c r="A33" i="25"/>
  <c r="C65" i="1"/>
  <c r="C98" i="1"/>
  <c r="C130" i="1"/>
  <c r="C163" i="1" s="1"/>
  <c r="C262" i="1"/>
  <c r="A28" i="1"/>
  <c r="A28" i="8" s="1"/>
  <c r="A60" i="1"/>
  <c r="J12" i="26"/>
  <c r="M12" i="26"/>
  <c r="I18" i="26"/>
  <c r="F18" i="26"/>
  <c r="N32" i="26"/>
  <c r="Q32" i="26"/>
  <c r="P32" i="26" s="1"/>
  <c r="F16" i="26" l="1"/>
  <c r="M108" i="24"/>
  <c r="O62" i="24"/>
  <c r="F33" i="26"/>
  <c r="I33" i="26"/>
  <c r="Q31" i="26"/>
  <c r="P31" i="26" s="1"/>
  <c r="N31" i="26"/>
  <c r="J84" i="24"/>
  <c r="J92" i="24"/>
  <c r="J35" i="24"/>
  <c r="J47" i="24"/>
  <c r="J44" i="24"/>
  <c r="J76" i="24"/>
  <c r="J19" i="24"/>
  <c r="J15" i="24"/>
  <c r="J46" i="24"/>
  <c r="J60" i="24"/>
  <c r="J53" i="24"/>
  <c r="J100" i="24"/>
  <c r="J72" i="24"/>
  <c r="J83" i="24"/>
  <c r="J57" i="24"/>
  <c r="J58" i="24"/>
  <c r="J61" i="24"/>
  <c r="J96" i="24"/>
  <c r="J75" i="24"/>
  <c r="J30" i="24"/>
  <c r="J50" i="24"/>
  <c r="J14" i="24"/>
  <c r="J65" i="24"/>
  <c r="J59" i="24"/>
  <c r="J74" i="24"/>
  <c r="J13" i="24"/>
  <c r="J21" i="24"/>
  <c r="J43" i="24"/>
  <c r="J48" i="24"/>
  <c r="J41" i="24"/>
  <c r="J105" i="24"/>
  <c r="J88" i="24"/>
  <c r="J104" i="24"/>
  <c r="J73" i="24"/>
  <c r="J106" i="24"/>
  <c r="J67" i="24"/>
  <c r="J28" i="24"/>
  <c r="J81" i="24"/>
  <c r="J89" i="24"/>
  <c r="J42" i="24"/>
  <c r="J27" i="24"/>
  <c r="J80" i="24"/>
  <c r="J49" i="24"/>
  <c r="J51" i="24"/>
  <c r="J52" i="24"/>
  <c r="J33" i="24"/>
  <c r="J71" i="24"/>
  <c r="J91" i="24"/>
  <c r="J90" i="24"/>
  <c r="J31" i="24"/>
  <c r="J29" i="24"/>
  <c r="J45" i="24"/>
  <c r="J82" i="24"/>
  <c r="J26" i="24"/>
  <c r="J40" i="24"/>
  <c r="J39" i="24"/>
  <c r="J25" i="24"/>
  <c r="J34" i="24"/>
  <c r="J32" i="24"/>
  <c r="J66" i="24"/>
  <c r="D35" i="26"/>
  <c r="D42" i="26" s="1"/>
  <c r="G17" i="26"/>
  <c r="A58" i="15"/>
  <c r="A89" i="15" s="1"/>
  <c r="A120" i="15" s="1"/>
  <c r="A152" i="15" s="1"/>
  <c r="A27" i="5"/>
  <c r="A27" i="10" s="1"/>
  <c r="A192" i="1"/>
  <c r="A225" i="1" s="1"/>
  <c r="A126" i="1"/>
  <c r="A159" i="1" s="1"/>
  <c r="C99" i="1"/>
  <c r="C66" i="1"/>
  <c r="A94" i="1"/>
  <c r="A259" i="1" s="1"/>
  <c r="A29" i="1"/>
  <c r="A29" i="8" s="1"/>
  <c r="A28" i="15"/>
  <c r="C263" i="1"/>
  <c r="C131" i="1"/>
  <c r="C164" i="1" s="1"/>
  <c r="A34" i="25"/>
  <c r="A61" i="1"/>
  <c r="K18" i="26"/>
  <c r="H18" i="26"/>
  <c r="L12" i="26"/>
  <c r="O12" i="26"/>
  <c r="K16" i="26"/>
  <c r="H16" i="26"/>
  <c r="O108" i="24" l="1"/>
  <c r="P84" i="24" s="1"/>
  <c r="K33" i="26"/>
  <c r="H33" i="26"/>
  <c r="J108" i="24"/>
  <c r="I17" i="26"/>
  <c r="F17" i="26"/>
  <c r="A59" i="15"/>
  <c r="A90" i="15" s="1"/>
  <c r="A121" i="15" s="1"/>
  <c r="A153" i="15" s="1"/>
  <c r="A28" i="5"/>
  <c r="A28" i="10" s="1"/>
  <c r="A193" i="1"/>
  <c r="A226" i="1" s="1"/>
  <c r="A95" i="1"/>
  <c r="A260" i="1" s="1"/>
  <c r="A127" i="1"/>
  <c r="A160" i="1" s="1"/>
  <c r="C264" i="1"/>
  <c r="C132" i="1"/>
  <c r="C165" i="1" s="1"/>
  <c r="C100" i="1"/>
  <c r="C67" i="1"/>
  <c r="C101" i="1"/>
  <c r="C68" i="1"/>
  <c r="A29" i="15"/>
  <c r="A30" i="1"/>
  <c r="A30" i="8" s="1"/>
  <c r="A62" i="1"/>
  <c r="N12" i="26"/>
  <c r="Q12" i="26"/>
  <c r="M16" i="26"/>
  <c r="J16" i="26"/>
  <c r="M18" i="26"/>
  <c r="J18" i="26"/>
  <c r="P73" i="24" l="1"/>
  <c r="P92" i="24"/>
  <c r="P51" i="24"/>
  <c r="P66" i="24"/>
  <c r="P31" i="24"/>
  <c r="P60" i="24"/>
  <c r="P42" i="24"/>
  <c r="P74" i="24"/>
  <c r="P33" i="24"/>
  <c r="P52" i="24"/>
  <c r="P34" i="24"/>
  <c r="P65" i="24"/>
  <c r="P105" i="24"/>
  <c r="P104" i="24"/>
  <c r="P67" i="24"/>
  <c r="P47" i="24"/>
  <c r="P25" i="24"/>
  <c r="P19" i="24"/>
  <c r="P89" i="24"/>
  <c r="P29" i="24"/>
  <c r="P43" i="24"/>
  <c r="P106" i="24"/>
  <c r="P82" i="24"/>
  <c r="P61" i="24"/>
  <c r="P45" i="24"/>
  <c r="P90" i="24"/>
  <c r="P44" i="24"/>
  <c r="P32" i="24"/>
  <c r="P35" i="24"/>
  <c r="P91" i="24"/>
  <c r="P49" i="24"/>
  <c r="P48" i="24"/>
  <c r="P21" i="24"/>
  <c r="P96" i="24"/>
  <c r="P100" i="24"/>
  <c r="P76" i="24"/>
  <c r="P13" i="24"/>
  <c r="P26" i="24"/>
  <c r="P50" i="24"/>
  <c r="P30" i="24"/>
  <c r="P40" i="24"/>
  <c r="P80" i="24"/>
  <c r="P20" i="24"/>
  <c r="P58" i="24"/>
  <c r="P57" i="24"/>
  <c r="P41" i="24"/>
  <c r="P71" i="24"/>
  <c r="P59" i="24"/>
  <c r="P14" i="24"/>
  <c r="P53" i="24"/>
  <c r="P72" i="24"/>
  <c r="P75" i="24"/>
  <c r="P28" i="24"/>
  <c r="P39" i="24"/>
  <c r="P27" i="24"/>
  <c r="P46" i="24"/>
  <c r="P88" i="24"/>
  <c r="P15" i="24"/>
  <c r="P83" i="24"/>
  <c r="P81" i="24"/>
  <c r="M33" i="26"/>
  <c r="J33" i="26"/>
  <c r="H17" i="26"/>
  <c r="K17" i="26"/>
  <c r="A128" i="1"/>
  <c r="A161" i="1" s="1"/>
  <c r="C134" i="1"/>
  <c r="C167" i="1" s="1"/>
  <c r="C266" i="1"/>
  <c r="A60" i="15"/>
  <c r="A91" i="15" s="1"/>
  <c r="A122" i="15" s="1"/>
  <c r="A154" i="15" s="1"/>
  <c r="A29" i="5"/>
  <c r="A29" i="10" s="1"/>
  <c r="A96" i="1"/>
  <c r="A261" i="1" s="1"/>
  <c r="C133" i="1"/>
  <c r="C166" i="1" s="1"/>
  <c r="C265" i="1"/>
  <c r="A194" i="1"/>
  <c r="A227" i="1" s="1"/>
  <c r="A30" i="15"/>
  <c r="A31" i="1"/>
  <c r="A31" i="8" s="1"/>
  <c r="A63" i="1"/>
  <c r="G30" i="26"/>
  <c r="P12" i="26"/>
  <c r="L18" i="26"/>
  <c r="O18" i="26"/>
  <c r="L16" i="26"/>
  <c r="O16" i="26"/>
  <c r="P108" i="24" l="1"/>
  <c r="A195" i="1"/>
  <c r="A228" i="1" s="1"/>
  <c r="A129" i="1"/>
  <c r="A162" i="1" s="1"/>
  <c r="L33" i="26"/>
  <c r="O33" i="26"/>
  <c r="M17" i="26"/>
  <c r="J17" i="26"/>
  <c r="A61" i="15"/>
  <c r="A92" i="15" s="1"/>
  <c r="A123" i="15" s="1"/>
  <c r="A155" i="15" s="1"/>
  <c r="A30" i="5"/>
  <c r="A30" i="10" s="1"/>
  <c r="A32" i="1"/>
  <c r="A31" i="15"/>
  <c r="A64" i="1"/>
  <c r="A97" i="1"/>
  <c r="A262" i="1" s="1"/>
  <c r="N16" i="26"/>
  <c r="Q16" i="26"/>
  <c r="N18" i="26"/>
  <c r="Q18" i="26"/>
  <c r="F30" i="26"/>
  <c r="I30" i="26"/>
  <c r="Q33" i="26" l="1"/>
  <c r="P33" i="26" s="1"/>
  <c r="N33" i="26"/>
  <c r="O17" i="26"/>
  <c r="L17" i="26"/>
  <c r="A62" i="15"/>
  <c r="A93" i="15" s="1"/>
  <c r="A124" i="15" s="1"/>
  <c r="A156" i="15" s="1"/>
  <c r="A31" i="5"/>
  <c r="A31" i="10" s="1"/>
  <c r="A32" i="15"/>
  <c r="A32" i="8"/>
  <c r="A98" i="1"/>
  <c r="A197" i="1" s="1"/>
  <c r="A230" i="1" s="1"/>
  <c r="A65" i="1"/>
  <c r="A33" i="1"/>
  <c r="A130" i="1"/>
  <c r="A163" i="1" s="1"/>
  <c r="A196" i="1"/>
  <c r="A229" i="1" s="1"/>
  <c r="G36" i="26"/>
  <c r="P18" i="26"/>
  <c r="P16" i="26"/>
  <c r="G34" i="26"/>
  <c r="H30" i="26"/>
  <c r="K30" i="26"/>
  <c r="N17" i="26" l="1"/>
  <c r="Q17" i="26"/>
  <c r="A66" i="1"/>
  <c r="A33" i="15"/>
  <c r="A33" i="8"/>
  <c r="A63" i="15"/>
  <c r="A94" i="15" s="1"/>
  <c r="A125" i="15" s="1"/>
  <c r="A157" i="15" s="1"/>
  <c r="A32" i="5"/>
  <c r="A32" i="10" s="1"/>
  <c r="A99" i="1"/>
  <c r="A198" i="1" s="1"/>
  <c r="A231" i="1" s="1"/>
  <c r="A34" i="1"/>
  <c r="A131" i="1"/>
  <c r="A164" i="1" s="1"/>
  <c r="A263" i="1"/>
  <c r="F36" i="26"/>
  <c r="I36" i="26"/>
  <c r="I34" i="26"/>
  <c r="F34" i="26"/>
  <c r="J30" i="26"/>
  <c r="M30" i="26"/>
  <c r="P17" i="26" l="1"/>
  <c r="G35" i="26"/>
  <c r="A67" i="1"/>
  <c r="A34" i="8"/>
  <c r="A34" i="15"/>
  <c r="A64" i="15"/>
  <c r="A95" i="15" s="1"/>
  <c r="A126" i="15" s="1"/>
  <c r="A158" i="15" s="1"/>
  <c r="A33" i="5"/>
  <c r="A33" i="10" s="1"/>
  <c r="A264" i="1"/>
  <c r="A132" i="1"/>
  <c r="A165" i="1" s="1"/>
  <c r="A100" i="1"/>
  <c r="A265" i="1" s="1"/>
  <c r="A35" i="1"/>
  <c r="L30" i="26"/>
  <c r="O30" i="26"/>
  <c r="H36" i="26"/>
  <c r="K36" i="26"/>
  <c r="K34" i="26"/>
  <c r="H34" i="26"/>
  <c r="F35" i="26" l="1"/>
  <c r="I35" i="26"/>
  <c r="A35" i="15"/>
  <c r="A35" i="8"/>
  <c r="A65" i="15"/>
  <c r="A96" i="15" s="1"/>
  <c r="A127" i="15" s="1"/>
  <c r="A159" i="15" s="1"/>
  <c r="A34" i="5"/>
  <c r="A34" i="10" s="1"/>
  <c r="A133" i="1"/>
  <c r="A166" i="1" s="1"/>
  <c r="A199" i="1"/>
  <c r="A232" i="1" s="1"/>
  <c r="A101" i="1"/>
  <c r="A266" i="1" s="1"/>
  <c r="A68" i="1"/>
  <c r="J34" i="26"/>
  <c r="M34" i="26"/>
  <c r="J36" i="26"/>
  <c r="M36" i="26"/>
  <c r="Q30" i="26"/>
  <c r="N30" i="26"/>
  <c r="H35" i="26" l="1"/>
  <c r="K35" i="26"/>
  <c r="A66" i="15"/>
  <c r="A97" i="15" s="1"/>
  <c r="A128" i="15" s="1"/>
  <c r="A160" i="15" s="1"/>
  <c r="A35" i="5"/>
  <c r="A35" i="10" s="1"/>
  <c r="A134" i="1"/>
  <c r="A167" i="1" s="1"/>
  <c r="A200" i="1"/>
  <c r="A233" i="1" s="1"/>
  <c r="P30" i="26"/>
  <c r="L36" i="26"/>
  <c r="O36" i="26"/>
  <c r="O34" i="26"/>
  <c r="L34" i="26"/>
  <c r="M35" i="26" l="1"/>
  <c r="J35" i="26"/>
  <c r="N34" i="26"/>
  <c r="Q34" i="26"/>
  <c r="Q36" i="26"/>
  <c r="P36" i="26" s="1"/>
  <c r="N36" i="26"/>
  <c r="L35" i="26" l="1"/>
  <c r="O35" i="26"/>
  <c r="P34" i="26"/>
  <c r="N35" i="26" l="1"/>
  <c r="Q35" i="26"/>
  <c r="P35" i="26" s="1"/>
  <c r="G19" i="26"/>
  <c r="D24" i="26"/>
  <c r="E22" i="26" l="1"/>
  <c r="E40" i="26" s="1"/>
  <c r="E23" i="26"/>
  <c r="E41" i="26" s="1"/>
  <c r="E12" i="26"/>
  <c r="E30" i="26" s="1"/>
  <c r="E13" i="26"/>
  <c r="E31" i="26" s="1"/>
  <c r="E21" i="26"/>
  <c r="E39" i="26" s="1"/>
  <c r="E20" i="26"/>
  <c r="E38" i="26" s="1"/>
  <c r="E14" i="26"/>
  <c r="E32" i="26" s="1"/>
  <c r="E15" i="26"/>
  <c r="E33" i="26" s="1"/>
  <c r="E16" i="26"/>
  <c r="E34" i="26" s="1"/>
  <c r="E18" i="26"/>
  <c r="E36" i="26" s="1"/>
  <c r="E19" i="26"/>
  <c r="E37" i="26" s="1"/>
  <c r="E17" i="26"/>
  <c r="E35" i="26" s="1"/>
  <c r="G24" i="26"/>
  <c r="F19" i="26"/>
  <c r="I19" i="26"/>
  <c r="E42" i="26" l="1"/>
  <c r="E24" i="26"/>
  <c r="I24" i="26"/>
  <c r="K19" i="26"/>
  <c r="H19" i="26"/>
  <c r="F24" i="26"/>
  <c r="G25" i="26"/>
  <c r="F25" i="26" l="1"/>
  <c r="I25" i="26"/>
  <c r="J19" i="26"/>
  <c r="K24" i="26"/>
  <c r="J24" i="26" s="1"/>
  <c r="M19" i="26"/>
  <c r="H24" i="26"/>
  <c r="L19" i="26" l="1"/>
  <c r="M24" i="26"/>
  <c r="L24" i="26" s="1"/>
  <c r="O19" i="26"/>
  <c r="H25" i="26"/>
  <c r="K25" i="26"/>
  <c r="J25" i="26" l="1"/>
  <c r="M25" i="26"/>
  <c r="Q19" i="26"/>
  <c r="O24" i="26"/>
  <c r="N24" i="26" s="1"/>
  <c r="N19" i="26"/>
  <c r="G37" i="26" l="1"/>
  <c r="Q24" i="26"/>
  <c r="P19" i="26"/>
  <c r="L25" i="26"/>
  <c r="O25" i="26"/>
  <c r="N25" i="26" s="1"/>
  <c r="P24" i="26" l="1"/>
  <c r="Q25" i="26"/>
  <c r="P25" i="26" s="1"/>
  <c r="G42" i="26"/>
  <c r="I37" i="26"/>
  <c r="F37" i="26"/>
  <c r="I42" i="26" l="1"/>
  <c r="K37" i="26"/>
  <c r="H37" i="26"/>
  <c r="G43" i="26"/>
  <c r="F43" i="26" s="1"/>
  <c r="F42" i="26"/>
  <c r="K42" i="26" l="1"/>
  <c r="J37" i="26"/>
  <c r="M37" i="26"/>
  <c r="I43" i="26"/>
  <c r="H43" i="26" s="1"/>
  <c r="H42" i="26"/>
  <c r="L37" i="26" l="1"/>
  <c r="O37" i="26"/>
  <c r="M42" i="26"/>
  <c r="K43" i="26"/>
  <c r="J43" i="26" s="1"/>
  <c r="J42" i="26"/>
  <c r="L42" i="26" l="1"/>
  <c r="M43" i="26"/>
  <c r="L43" i="26" s="1"/>
  <c r="Q37" i="26"/>
  <c r="N37" i="26"/>
  <c r="O42" i="26"/>
  <c r="O43" i="26" l="1"/>
  <c r="N43" i="26" s="1"/>
  <c r="N42" i="26"/>
  <c r="Q42" i="26"/>
  <c r="P37" i="26"/>
  <c r="P42" i="26" l="1"/>
  <c r="Q43" i="26"/>
  <c r="P43" i="26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Autor</author>
  </authors>
  <commentList>
    <comment ref="AK11" authorId="0" shapeId="0" xr:uid="{00000000-0006-0000-0300-000001000000}">
      <text>
        <r>
          <rPr>
            <sz val="9"/>
            <color indexed="81"/>
            <rFont val="Segoe UI"/>
            <family val="2"/>
          </rPr>
          <t>kg por emenda</t>
        </r>
      </text>
    </comment>
    <comment ref="AE12" authorId="0" shapeId="0" xr:uid="{00000000-0006-0000-0300-000002000000}">
      <text>
        <r>
          <rPr>
            <sz val="9"/>
            <color indexed="81"/>
            <rFont val="Segoe UI"/>
            <family val="2"/>
          </rPr>
          <t>kg por Cx</t>
        </r>
      </text>
    </comment>
    <comment ref="AK15" authorId="0" shapeId="0" xr:uid="{00000000-0006-0000-0300-000003000000}">
      <text>
        <r>
          <rPr>
            <sz val="9"/>
            <color indexed="81"/>
            <rFont val="Segoe UI"/>
            <family val="2"/>
          </rPr>
          <t>kg por emenda</t>
        </r>
      </text>
    </comment>
    <comment ref="AE18" authorId="0" shapeId="0" xr:uid="{00000000-0006-0000-0300-000004000000}">
      <text>
        <r>
          <rPr>
            <sz val="9"/>
            <color indexed="81"/>
            <rFont val="Segoe UI"/>
            <family val="2"/>
          </rPr>
          <t>kg/m²</t>
        </r>
      </text>
    </comment>
    <comment ref="AK23" authorId="0" shapeId="0" xr:uid="{00000000-0006-0000-0300-000005000000}">
      <text>
        <r>
          <rPr>
            <sz val="9"/>
            <color indexed="81"/>
            <rFont val="Segoe UI"/>
            <family val="2"/>
          </rPr>
          <t>Unidade por emenda</t>
        </r>
      </text>
    </comment>
    <comment ref="AE24" authorId="0" shapeId="0" xr:uid="{00000000-0006-0000-0300-000006000000}">
      <text>
        <r>
          <rPr>
            <sz val="9"/>
            <color indexed="81"/>
            <rFont val="Segoe UI"/>
            <family val="2"/>
          </rPr>
          <t>Barra por Cx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Autor</author>
  </authors>
  <commentList>
    <comment ref="AJ8" authorId="0" shapeId="0" xr:uid="{00000000-0006-0000-0400-000001000000}">
      <text>
        <r>
          <rPr>
            <sz val="9"/>
            <color indexed="81"/>
            <rFont val="Segoe UI"/>
            <family val="2"/>
          </rPr>
          <t>kg por emenda</t>
        </r>
      </text>
    </comment>
    <comment ref="AD9" authorId="0" shapeId="0" xr:uid="{00000000-0006-0000-0400-000002000000}">
      <text>
        <r>
          <rPr>
            <sz val="9"/>
            <color indexed="81"/>
            <rFont val="Segoe UI"/>
            <family val="2"/>
          </rPr>
          <t>kg por Cx</t>
        </r>
      </text>
    </comment>
    <comment ref="AJ14" authorId="0" shapeId="0" xr:uid="{00000000-0006-0000-0400-000003000000}">
      <text>
        <r>
          <rPr>
            <sz val="9"/>
            <color indexed="81"/>
            <rFont val="Segoe UI"/>
            <family val="2"/>
          </rPr>
          <t>kg por emenda</t>
        </r>
      </text>
    </comment>
    <comment ref="AD18" authorId="0" shapeId="0" xr:uid="{00000000-0006-0000-0400-000004000000}">
      <text>
        <r>
          <rPr>
            <sz val="9"/>
            <color indexed="81"/>
            <rFont val="Segoe UI"/>
            <family val="2"/>
          </rPr>
          <t>kg/m²</t>
        </r>
      </text>
    </comment>
    <comment ref="AJ23" authorId="0" shapeId="0" xr:uid="{00000000-0006-0000-0400-000005000000}">
      <text>
        <r>
          <rPr>
            <sz val="9"/>
            <color indexed="81"/>
            <rFont val="Segoe UI"/>
            <family val="2"/>
          </rPr>
          <t>Unidade por emenda</t>
        </r>
      </text>
    </comment>
    <comment ref="AD24" authorId="0" shapeId="0" xr:uid="{00000000-0006-0000-0400-000006000000}">
      <text>
        <r>
          <rPr>
            <sz val="9"/>
            <color indexed="81"/>
            <rFont val="Segoe UI"/>
            <family val="2"/>
          </rPr>
          <t>Barra por Cx</t>
        </r>
      </text>
    </comment>
  </commentList>
</comments>
</file>

<file path=xl/sharedStrings.xml><?xml version="1.0" encoding="utf-8"?>
<sst xmlns="http://schemas.openxmlformats.org/spreadsheetml/2006/main" count="1894" uniqueCount="556">
  <si>
    <t>Item</t>
  </si>
  <si>
    <t>Descrição / Local</t>
  </si>
  <si>
    <t>Assoalho (m)</t>
  </si>
  <si>
    <t>Rodeiro (m)</t>
  </si>
  <si>
    <t>Guia de Rodas (m)</t>
  </si>
  <si>
    <t>Extensão (m)</t>
  </si>
  <si>
    <t>Montagem</t>
  </si>
  <si>
    <t>Construção</t>
  </si>
  <si>
    <t>Assoalho</t>
  </si>
  <si>
    <t>Rodeiro</t>
  </si>
  <si>
    <t>G.Rodas</t>
  </si>
  <si>
    <t>V. Simples</t>
  </si>
  <si>
    <t>S.Viga</t>
  </si>
  <si>
    <t>C.Aterro</t>
  </si>
  <si>
    <t>Esteio</t>
  </si>
  <si>
    <t>Contrav.</t>
  </si>
  <si>
    <t>Fundação</t>
  </si>
  <si>
    <t>Total</t>
  </si>
  <si>
    <t>G. Rodas</t>
  </si>
  <si>
    <t>Sub. Vigas</t>
  </si>
  <si>
    <t>Cx. Aterro</t>
  </si>
  <si>
    <t>Trav. Sup</t>
  </si>
  <si>
    <t>Trav.Interm</t>
  </si>
  <si>
    <t>Trav. Infe</t>
  </si>
  <si>
    <t>Contra.</t>
  </si>
  <si>
    <t>Aquisição de ferro mecanico redondo 1"</t>
  </si>
  <si>
    <t>Aquisição de ferro mecanico redondo 1/2"</t>
  </si>
  <si>
    <t>Aquisição de ferro mecanico redondo 3/8"</t>
  </si>
  <si>
    <t>Aquisição de chapa metálica ASTM A-36 3/8"</t>
  </si>
  <si>
    <t>Aquisição de chapa metálica ASTM A-36 1/2"</t>
  </si>
  <si>
    <t>Aquisição de porca e arruela lisa 1"</t>
  </si>
  <si>
    <t>Aquisição de porca e arruela lisa 1/2"</t>
  </si>
  <si>
    <t>Aquisição de porca e arruela lisa 3/8"</t>
  </si>
  <si>
    <t>Desmonte</t>
  </si>
  <si>
    <t>Ferragem (kg)</t>
  </si>
  <si>
    <t>Madeira de Lei - Abaixo de 6,00m (m³)</t>
  </si>
  <si>
    <t>SEÇÃO DAS PEÇAS</t>
  </si>
  <si>
    <t>Esteios</t>
  </si>
  <si>
    <t>Trav. Sup.</t>
  </si>
  <si>
    <t>Trav. Int.</t>
  </si>
  <si>
    <t>Trav. Inf</t>
  </si>
  <si>
    <t>Trav. Interm.</t>
  </si>
  <si>
    <t>Placa em aço - película I + III</t>
  </si>
  <si>
    <t>Limpeza de Ponte</t>
  </si>
  <si>
    <t>Quantidade</t>
  </si>
  <si>
    <t>Área / Unid</t>
  </si>
  <si>
    <t>Área (m²)</t>
  </si>
  <si>
    <t>Caixão (un)</t>
  </si>
  <si>
    <t>Altura (m)</t>
  </si>
  <si>
    <t>Vol. Esc. (m³)</t>
  </si>
  <si>
    <t>Vol. Reaterro (m³)</t>
  </si>
  <si>
    <t>Guarda-Corpo (m)</t>
  </si>
  <si>
    <t>Serviços: Assoalho - Rodeiro - Guia de Rodas (Desmont, Mont e Const.)</t>
  </si>
  <si>
    <t xml:space="preserve">Serviços: Guarda Corpo - Vigam. Simples (Desmont, Mont. e Const.) </t>
  </si>
  <si>
    <t>Largura (m)</t>
  </si>
  <si>
    <t>Volume (m³)</t>
  </si>
  <si>
    <t>Área Desmont. (m²)</t>
  </si>
  <si>
    <t>Vol. Madeira (m³)</t>
  </si>
  <si>
    <t>Vigas</t>
  </si>
  <si>
    <t>Alas (m)</t>
  </si>
  <si>
    <t>Cabeceira (m)</t>
  </si>
  <si>
    <t>Madeiramento</t>
  </si>
  <si>
    <t>Placa em aço - película III + III</t>
  </si>
  <si>
    <t>Ferro Mec. 1"</t>
  </si>
  <si>
    <t>Ferro Mec. 1/2"</t>
  </si>
  <si>
    <t>Ferro Mec. 3/8"</t>
  </si>
  <si>
    <t>Chapa 1/2"</t>
  </si>
  <si>
    <t>Porca e Arruela 1"</t>
  </si>
  <si>
    <t>Porca e Arruela 1/2"</t>
  </si>
  <si>
    <t>Porca e Arruela 3/8"</t>
  </si>
  <si>
    <t>FERRAGENS (kg/metro de peça)</t>
  </si>
  <si>
    <t xml:space="preserve">FERRAGENS (un/metro de peça) </t>
  </si>
  <si>
    <t>G. Corpo</t>
  </si>
  <si>
    <t>Aquisição de ferro mecanico redondo 1/4"</t>
  </si>
  <si>
    <t>Aquisição de porca e arruela lisa 1/4"</t>
  </si>
  <si>
    <t>Serviços: Placa de Obra - Delineadores - Placas de Sinalização - Suporte e Tacha - Sapata de Concreto</t>
  </si>
  <si>
    <t>Prego 26x72</t>
  </si>
  <si>
    <t>Prego 24x60</t>
  </si>
  <si>
    <t>Latitude</t>
  </si>
  <si>
    <t>Longitude</t>
  </si>
  <si>
    <t>ITEM</t>
  </si>
  <si>
    <t>TOTAL</t>
  </si>
  <si>
    <t>%</t>
  </si>
  <si>
    <t>01.01</t>
  </si>
  <si>
    <t>01.02</t>
  </si>
  <si>
    <t>01.03</t>
  </si>
  <si>
    <t>un</t>
  </si>
  <si>
    <t>03.01</t>
  </si>
  <si>
    <t xml:space="preserve">Infraestrutura - Desmontagem parcial de Pilar/Esteio em madeira de lei (0,25 x 0,30m)                                                                                                                   </t>
  </si>
  <si>
    <t>03.02</t>
  </si>
  <si>
    <t>03.03</t>
  </si>
  <si>
    <t>03.04</t>
  </si>
  <si>
    <t>03.05</t>
  </si>
  <si>
    <t>03.06</t>
  </si>
  <si>
    <t>03.07</t>
  </si>
  <si>
    <t>03.08</t>
  </si>
  <si>
    <t>03.09</t>
  </si>
  <si>
    <t>04.01</t>
  </si>
  <si>
    <t xml:space="preserve">Superestrutura - Desmontagem de Assoalho em madeira de lei (0,16 x 0,07m)                                                                                                                               </t>
  </si>
  <si>
    <t>04.02</t>
  </si>
  <si>
    <t xml:space="preserve">Superestrutura - Montagem c/ reaprov de Assoalho em madeira de lei (0,16 x 0,07m)                                                                                                                       </t>
  </si>
  <si>
    <t>04.03</t>
  </si>
  <si>
    <t xml:space="preserve">Superestrutura - Construção de Assoalho em madeira de lei (0,16 x 0,07m)                                                                                                                                </t>
  </si>
  <si>
    <t xml:space="preserve">Superestrutura - Desmontagem de Rodeiro em madeira de lei (0,30 x 0,08m)                                                                                                                                </t>
  </si>
  <si>
    <t>04.05</t>
  </si>
  <si>
    <t xml:space="preserve">Superestrutura - Montagem c/ reaprov de Rodeiro em madeira de lei (0,30 x 0,08m)                                                                                                                        </t>
  </si>
  <si>
    <t>04.06</t>
  </si>
  <si>
    <t>04.07</t>
  </si>
  <si>
    <t xml:space="preserve">Superestrutura - Desmontagem de Guia de rodas em madeira de lei (0,15 x 0,15m)                                                                                                                          </t>
  </si>
  <si>
    <t>04.08</t>
  </si>
  <si>
    <t xml:space="preserve">Superestrutura - Montagem c/ reaprov de Guia de rodas em madeira de lei (0,15 x 0,15m)                                                                                                                  </t>
  </si>
  <si>
    <t>04.09</t>
  </si>
  <si>
    <t xml:space="preserve">Superestrutura - Construção de Guia de rodas em madeira de lei (0,15 x 0,15m)                                                                                                                           </t>
  </si>
  <si>
    <t>04.11</t>
  </si>
  <si>
    <t xml:space="preserve">Superestrutura - Desmontagem de Longarina em madeira de lei (0,25 x 0,30m)                                                                                                                              </t>
  </si>
  <si>
    <t xml:space="preserve">Superestrutura - Montagem c/ reaprov de Longarina em madeira de lei (0,25 x 0,30m)                                                                                                                      </t>
  </si>
  <si>
    <t xml:space="preserve">Superestrutura - Construção de Longarina em madeira de lei (0,25 x 0,30m)                                                                                                                               </t>
  </si>
  <si>
    <t xml:space="preserve">Superestrutura - Desmontagem de Sub-viga em madeira de lei (0,25 x 0,30m)                                                                                                                               </t>
  </si>
  <si>
    <t xml:space="preserve">Superestrutura - Montagem c/ reaprov de Sub-viga em madeira de lei (0,25 x 0,30m)                                                                                                                       </t>
  </si>
  <si>
    <t xml:space="preserve">Superestrutura - Construção de Sub-viga em madeira de lei (0,25 x 0,30m)                                                                                                                                </t>
  </si>
  <si>
    <t>05.01</t>
  </si>
  <si>
    <t>05.02</t>
  </si>
  <si>
    <t>05.03</t>
  </si>
  <si>
    <t>07.01</t>
  </si>
  <si>
    <t xml:space="preserve">Aquisição de madeira de lei (serrada, até 6,0m)                                                                                                                                                         </t>
  </si>
  <si>
    <t>07.03</t>
  </si>
  <si>
    <t xml:space="preserve">Aquisição de ferro mecanico redondo 1/2"                                                                                                                                                                </t>
  </si>
  <si>
    <t>07.04</t>
  </si>
  <si>
    <t>07.05</t>
  </si>
  <si>
    <t>08.01</t>
  </si>
  <si>
    <t>08.02</t>
  </si>
  <si>
    <t>08.03</t>
  </si>
  <si>
    <t>08.04</t>
  </si>
  <si>
    <t>08.05</t>
  </si>
  <si>
    <t xml:space="preserve">Transporte de Emulsão Asfáltica RL-1C                                                                                                                                                                   </t>
  </si>
  <si>
    <t>09.01</t>
  </si>
  <si>
    <t>09.02</t>
  </si>
  <si>
    <t>09.03</t>
  </si>
  <si>
    <t>09.04</t>
  </si>
  <si>
    <t>09.05</t>
  </si>
  <si>
    <t>10.01</t>
  </si>
  <si>
    <t>11.01</t>
  </si>
  <si>
    <t>12.01</t>
  </si>
  <si>
    <t>12.02</t>
  </si>
  <si>
    <t>12.03</t>
  </si>
  <si>
    <t>Total (kg)</t>
  </si>
  <si>
    <t>Item. Código</t>
  </si>
  <si>
    <t>Descrição</t>
  </si>
  <si>
    <t>Unid</t>
  </si>
  <si>
    <t xml:space="preserve">SERVIÇOS DE LIMPEZA DA FAIXA DE DOMÍNIO     </t>
  </si>
  <si>
    <t>Roçada com roçadeira costal</t>
  </si>
  <si>
    <t>m²</t>
  </si>
  <si>
    <t>Limpeza de ponte</t>
  </si>
  <si>
    <t>m</t>
  </si>
  <si>
    <t>FUNDAÇÃO</t>
  </si>
  <si>
    <t>Infraestrutura - Cravação de Estaca/Pilar em madeira de lei (0,25 x 0,30m)</t>
  </si>
  <si>
    <t>Infraestrutura - Emenda metálica em estaca de madeira (furação e fixação de 2 chapas metálicas, parafusos e porcas)</t>
  </si>
  <si>
    <t>kg</t>
  </si>
  <si>
    <t>m³</t>
  </si>
  <si>
    <t>ELEMENTOS DE APOIO</t>
  </si>
  <si>
    <t>SUPERESTRUTURA</t>
  </si>
  <si>
    <t>ALAS</t>
  </si>
  <si>
    <t>Escavação mecânica de vala em material de 1ª categoria</t>
  </si>
  <si>
    <t>Reaterro e compactação com soquete vibratório</t>
  </si>
  <si>
    <t xml:space="preserve">Encontro - Desmontagem de Caixão de aterro em madeira de lei (0,20 x 0,06m) - Testeira de 4,50m, duas alas de 4,00m e esteios acima do solo, exceto as estacas cravadas)                                               </t>
  </si>
  <si>
    <t>SERVIÇOS COMPLEMENTARES</t>
  </si>
  <si>
    <t>Plataforma de trabalho em madeira apoiada no solo - altura de até 6 m - utilização de 5 vezes - confecção, instalação e retirada</t>
  </si>
  <si>
    <t>Pintura da ponte com emulsão RL-1C</t>
  </si>
  <si>
    <t>Instalação de ferragem, inclusive corte, dobramento, solda, furação e rosca de peças metálicas</t>
  </si>
  <si>
    <t>AQUISIÇÃO</t>
  </si>
  <si>
    <t>t</t>
  </si>
  <si>
    <t>TRANSPORTE</t>
  </si>
  <si>
    <t>tkm</t>
  </si>
  <si>
    <t>SINALIZAÇÃO</t>
  </si>
  <si>
    <t>Fornecimento e implantação de placa em aço - película I + III</t>
  </si>
  <si>
    <t>Fornecimento e implantação de placa em aço - película III + III</t>
  </si>
  <si>
    <t>Fornecimento e implantação de placa delineador em aço - 0,50 x 0,60 m - película retrorrefletiva tipo I + IV</t>
  </si>
  <si>
    <t>Fornecimento e implantação de suporte e travessa para placa de sinalização em madeira de lei tratada 8 x 8 cm</t>
  </si>
  <si>
    <t xml:space="preserve">Fornecimento e implantação de plaqueta de aço 0,0168 m² - película I + III                                                                                                 </t>
  </si>
  <si>
    <t>CANTEIRO DE OBRAS</t>
  </si>
  <si>
    <t>ADMINISTRAÇÃO LOCAL E MANUTENÇÃO DO CANTEIRO</t>
  </si>
  <si>
    <t>mês</t>
  </si>
  <si>
    <t xml:space="preserve">MOBILIZAÇÃO E DESMOBILIZAÇÃO </t>
  </si>
  <si>
    <t xml:space="preserve">Mobilização e desmobilização de equipamentos automotores </t>
  </si>
  <si>
    <t>Observações:</t>
  </si>
  <si>
    <t>TOTAL:</t>
  </si>
  <si>
    <t>Área Mont. (m²)</t>
  </si>
  <si>
    <t>Área Constr. (m²)</t>
  </si>
  <si>
    <t>Vigas (unidade)</t>
  </si>
  <si>
    <t>Sub-vigas (unidade)</t>
  </si>
  <si>
    <t>Esteio (unidade)</t>
  </si>
  <si>
    <t>Travesseiro Superior (Unidade)</t>
  </si>
  <si>
    <t>Travesseiro Inferior (Unidade)</t>
  </si>
  <si>
    <t>Travesseiro Intermediário (Unidade)</t>
  </si>
  <si>
    <t>Contraventamento (Unidade)</t>
  </si>
  <si>
    <t>Serviços: Limpeza de Faixa de Domínio</t>
  </si>
  <si>
    <t>Capina Manual</t>
  </si>
  <si>
    <t>Larg. Faixa de Dominio (m)</t>
  </si>
  <si>
    <t>Ext. Faixa de Dominio (m)</t>
  </si>
  <si>
    <t>Comprimento (m)</t>
  </si>
  <si>
    <t>Comprimento Trav.</t>
  </si>
  <si>
    <t>Altura Esteio</t>
  </si>
  <si>
    <t>Comprimento Contrav.</t>
  </si>
  <si>
    <t>Serviços de Desmontagem</t>
  </si>
  <si>
    <t>Serviços de Construção</t>
  </si>
  <si>
    <t>Infraestrutura</t>
  </si>
  <si>
    <t>Formas</t>
  </si>
  <si>
    <t>Aço CA-50</t>
  </si>
  <si>
    <t>Plataforma de Trabalho (m³)</t>
  </si>
  <si>
    <t>Aquisição RL-1C</t>
  </si>
  <si>
    <t xml:space="preserve">Suporte </t>
  </si>
  <si>
    <t>Plaqueta de Aço</t>
  </si>
  <si>
    <t>Delineador</t>
  </si>
  <si>
    <t>TOTAL DE MADEIRA DE LEI (m³):</t>
  </si>
  <si>
    <t>Escavação e Reaterro do Caixão</t>
  </si>
  <si>
    <t>G.Corpo</t>
  </si>
  <si>
    <t>MUNICÍPIO</t>
  </si>
  <si>
    <t>LATITUDE</t>
  </si>
  <si>
    <t>LONGITUDE</t>
  </si>
  <si>
    <t>EXTENSÃO</t>
  </si>
  <si>
    <t>RODOVIA</t>
  </si>
  <si>
    <t>INSTALAÇÃO (kg)</t>
  </si>
  <si>
    <t>Observações</t>
  </si>
  <si>
    <t>Serviços: Aquisição de Ferragem de Ponte - Vigamento Simples</t>
  </si>
  <si>
    <t>Ferro Mecânico 1'' (kg)</t>
  </si>
  <si>
    <t>Ferro Mecânico 1/2'' (kg)</t>
  </si>
  <si>
    <t>Ferro Mecânico 3/8'' (kg)</t>
  </si>
  <si>
    <t>Ferro Mecânico 1/4'' (kg)</t>
  </si>
  <si>
    <t>Chapa 3/8'' (kg)</t>
  </si>
  <si>
    <t>Chapa 1/2'' (kg)</t>
  </si>
  <si>
    <t>Prego 26x72 (kg)</t>
  </si>
  <si>
    <t>Prego24x60 (kg)</t>
  </si>
  <si>
    <t>Porca e Arruela 1'' (un)</t>
  </si>
  <si>
    <t>Porca e Arruela 1/2'' (un)</t>
  </si>
  <si>
    <t>Porca e Arruela 3/8'' (un)</t>
  </si>
  <si>
    <t>Porca e Arruela 1/4'' (un)</t>
  </si>
  <si>
    <t>PONTE</t>
  </si>
  <si>
    <t>Serviços de Montagem</t>
  </si>
  <si>
    <t>Pintura de Ponte (m²) - Vigamento Simples</t>
  </si>
  <si>
    <t>Transporte RL-1C</t>
  </si>
  <si>
    <t>Total Pintura</t>
  </si>
  <si>
    <t>TOTAL AQUISIÇÃO:</t>
  </si>
  <si>
    <t>TOTAL INSTALAÇÃO:</t>
  </si>
  <si>
    <t>Trav. Inf.</t>
  </si>
  <si>
    <t>há</t>
  </si>
  <si>
    <t>Infraestrutura - Construção de Pilar/Esteio em madeira de lei (0,25 x 0,30m) exceto a cravação</t>
  </si>
  <si>
    <t>Infraestrutura - Desmontagem de Travesseiro
superior/intermediário em madeira de lei (0,25 x 0,25m)</t>
  </si>
  <si>
    <t xml:space="preserve">Infraestrutura - Montagem c/ reaprov de Travesseiro
superior/intermediário em madeira de lei (0,25 x 0,25m)                                                                                                        </t>
  </si>
  <si>
    <t>Infraestrutura - Construção de Travesseiro superior/intermediário em madeira de lei (0,25 x 0,25m)</t>
  </si>
  <si>
    <t>Infraestrutura - Desmontagem de Travesseiro inferior em madeira de lei (0,25 x 0,20m)</t>
  </si>
  <si>
    <t>Infraestrutura - Montagem c/ reaprov de Travesseiro inferior em madeira de lei (0,25 x 0,20m)</t>
  </si>
  <si>
    <t>Infraestrutura - Construção de Travesseiro inferior em madeira de lei (0,25 x 0,20m)</t>
  </si>
  <si>
    <t>Infraestrutura - Desmontagem de Contraventamento em madeira de lei (0,20 x 0,15m)</t>
  </si>
  <si>
    <t>Infraestrutura - Montagem c/ reaprov. de Contraventamento em
madeira de lei (0,20 x 0,15m)</t>
  </si>
  <si>
    <t>Infraestrutura - Construção de Contraventamento em madeira de lei (0,20 x 0,15m)</t>
  </si>
  <si>
    <t>Canteiro de obras</t>
  </si>
  <si>
    <t xml:space="preserve">Administração local e Manutenção de canteiro  </t>
  </si>
  <si>
    <t xml:space="preserve">Aquisição de ferro mecanico redondo 1"                                                                                                                                                                </t>
  </si>
  <si>
    <t>Emulsão asfáltica RL-1C</t>
  </si>
  <si>
    <t>Encontro - Construção de Caixão de aterro em madeira de lei (0,20 x 0,06m) - Testeira de 4,50m, duas alas de 4,00m e esteios acima do solo, exceto as estacas cravadas)</t>
  </si>
  <si>
    <t>Engº Fiscal - Lucas Ferreira Bianchi Godoy</t>
  </si>
  <si>
    <t>Sócio - Adelcio de Souza</t>
  </si>
  <si>
    <t>CPF: 105.041.171-49</t>
  </si>
  <si>
    <t>Serviços</t>
  </si>
  <si>
    <t>CREA - 506945712 - SP -Visto 28415</t>
  </si>
  <si>
    <t>Serviços: Pintura de Ponte (RL-1C)</t>
  </si>
  <si>
    <t xml:space="preserve">Superestrutura - Construção de Rodeiro em madeira de lei (0,30 x 0,08m)                                                                                                                                </t>
  </si>
  <si>
    <t>Transporte com caminhão carroceria de 15 t - rodovia pavimentada (madeira)</t>
  </si>
  <si>
    <t>Transporte com caminhão carroceria de 15 t - rodovia em revestimento primário (madeira)</t>
  </si>
  <si>
    <t>Transporte com caminhão carroceria de 15 t - rodovia pavimentada (ferragem)</t>
  </si>
  <si>
    <t>Transporte com caminhão carroceria de 15 t - rodovia em revestimento primário (ferragem)</t>
  </si>
  <si>
    <t>SUB TOTAL - SERVIÇOS DE LIMPEZA DE FAIXA DE DOMÍNIO</t>
  </si>
  <si>
    <t>SUB TOTAL - FUNDAÇÃO</t>
  </si>
  <si>
    <t>SUB TOTAL - ELEMENTOS DE APOIO</t>
  </si>
  <si>
    <t>AGM9910009</t>
  </si>
  <si>
    <t>AGM9910022</t>
  </si>
  <si>
    <t>AGM9910010</t>
  </si>
  <si>
    <t>AGM9910012</t>
  </si>
  <si>
    <t>AGM9910013</t>
  </si>
  <si>
    <t>AGM9910014</t>
  </si>
  <si>
    <t>AGM9910015</t>
  </si>
  <si>
    <t>AGM9910016</t>
  </si>
  <si>
    <t>AGM9910017</t>
  </si>
  <si>
    <t>AGM9910018</t>
  </si>
  <si>
    <t>AGM9910019</t>
  </si>
  <si>
    <t>AGM9910020</t>
  </si>
  <si>
    <t>AGM9910021</t>
  </si>
  <si>
    <t>AGM9930017</t>
  </si>
  <si>
    <t>AGM9930018</t>
  </si>
  <si>
    <t>AGM9930019</t>
  </si>
  <si>
    <t>AGM9930020</t>
  </si>
  <si>
    <t>AGM9930021</t>
  </si>
  <si>
    <t>AGM9930022</t>
  </si>
  <si>
    <t>AGM9930023</t>
  </si>
  <si>
    <t>AGM9930024</t>
  </si>
  <si>
    <t>AGM9930025</t>
  </si>
  <si>
    <t>AGM9930026</t>
  </si>
  <si>
    <t>AGM9930027</t>
  </si>
  <si>
    <t>AGM9930028</t>
  </si>
  <si>
    <t>AGM9930029</t>
  </si>
  <si>
    <t>AGM9930030</t>
  </si>
  <si>
    <t>AGM9930031</t>
  </si>
  <si>
    <t>SUB TOTAL - SUPERESTRUTURA</t>
  </si>
  <si>
    <t>SUB TOTAL - ALAS</t>
  </si>
  <si>
    <t>SUB TOTAL - SERVIÇOS COMPLEMENTARES</t>
  </si>
  <si>
    <t>SUB TOTAL - AQUISIÇÃO</t>
  </si>
  <si>
    <t>SUB TOTAL - TRANSPORTE</t>
  </si>
  <si>
    <t>SUB TOTAL - SINALIZAÇÃO</t>
  </si>
  <si>
    <t>SUB TOTAL - CANTEIRO DE OBRAS</t>
  </si>
  <si>
    <t>SUB TOTAL - ADMINISTRAÇÃO LOCAL</t>
  </si>
  <si>
    <t>SUB TOTAL - MOBILIZAÇÃO E DESMOBILIZAÇÃO</t>
  </si>
  <si>
    <t>AGM9930032</t>
  </si>
  <si>
    <t>AGM9930033</t>
  </si>
  <si>
    <t>AGM9930034</t>
  </si>
  <si>
    <t>AGM6000005</t>
  </si>
  <si>
    <t>AGM6000006</t>
  </si>
  <si>
    <t xml:space="preserve">MA9899    </t>
  </si>
  <si>
    <t>MA9905</t>
  </si>
  <si>
    <t xml:space="preserve">MA9906    </t>
  </si>
  <si>
    <t>MA9907</t>
  </si>
  <si>
    <t>MA9902</t>
  </si>
  <si>
    <t xml:space="preserve"> M1949</t>
  </si>
  <si>
    <t xml:space="preserve">TP1949    </t>
  </si>
  <si>
    <t>AGM7020001</t>
  </si>
  <si>
    <t>CANTALOJ</t>
  </si>
  <si>
    <t>ADMEMAN</t>
  </si>
  <si>
    <t>MOBDESMEQU</t>
  </si>
  <si>
    <t>MOBDESMCAM</t>
  </si>
  <si>
    <t>MOBDESMPES</t>
  </si>
  <si>
    <t>02.01</t>
  </si>
  <si>
    <t>06.01</t>
  </si>
  <si>
    <t>06.02</t>
  </si>
  <si>
    <t>06.03</t>
  </si>
  <si>
    <t xml:space="preserve">                                        DESCRIÇÃO</t>
  </si>
  <si>
    <t>IDENTIFICAÇÃO/NOME</t>
  </si>
  <si>
    <t>LARGURA (M)</t>
  </si>
  <si>
    <t>Unidades</t>
  </si>
  <si>
    <t>INVENTÁRIO - IDENTIFICAÇÃO DAS PONTES DE MADEIRA</t>
  </si>
  <si>
    <t>Local:</t>
  </si>
  <si>
    <t xml:space="preserve">Processo: </t>
  </si>
  <si>
    <t>Prazo:</t>
  </si>
  <si>
    <t>Discriminação dos Serviços</t>
  </si>
  <si>
    <t>Valor</t>
  </si>
  <si>
    <t>SERVIÇOS DE LIMPEZA DE FAIXA DE DOMINIO</t>
  </si>
  <si>
    <t>ADMINISTRAÇÃO LOCAL E MANUTENÇÃO DE CANTEIRO</t>
  </si>
  <si>
    <t>MOBILIZAÇÃOE DESMOBILIZAÇÃO</t>
  </si>
  <si>
    <t xml:space="preserve">Total </t>
  </si>
  <si>
    <t>Total Acumulado</t>
  </si>
  <si>
    <t>04.10</t>
  </si>
  <si>
    <t>Infraestrutura - Desmontagem de Travesseiro 
superior/intermediário em madeira de lei (0,25 x 0,25m)</t>
  </si>
  <si>
    <t>Infraestrutura - Montagem c/ reaprov. de Contraventamento em 
madeira de lei (0,20 x 0,15m)</t>
  </si>
  <si>
    <t>Rio Brilhante</t>
  </si>
  <si>
    <t>Nível de Esforço</t>
  </si>
  <si>
    <t>LOCALIZAÇÃO</t>
  </si>
  <si>
    <t>Região</t>
  </si>
  <si>
    <t>Seção (m²)</t>
  </si>
  <si>
    <t>Nº DE VÃOS</t>
  </si>
  <si>
    <t>Nº DE ESTEIOS</t>
  </si>
  <si>
    <t>ALTURA MÉDIA (M)</t>
  </si>
  <si>
    <t>Municipal</t>
  </si>
  <si>
    <t>Vigamento</t>
  </si>
  <si>
    <t>Simples</t>
  </si>
  <si>
    <t>VIGAMENTO</t>
  </si>
  <si>
    <t>Placas de Sinalização (Unidade)</t>
  </si>
  <si>
    <t>Sapata de Concreto Ciclópico (m³)</t>
  </si>
  <si>
    <t>ESTIVAS</t>
  </si>
  <si>
    <t>JUVENTUDE</t>
  </si>
  <si>
    <t>FAZ. JM</t>
  </si>
  <si>
    <t>P.A. MARGARIDA ALVES</t>
  </si>
  <si>
    <t>PA. LAGOA AZUL</t>
  </si>
  <si>
    <t>PA TAQUARA</t>
  </si>
  <si>
    <t>AGROPEC. MAGRISA</t>
  </si>
  <si>
    <t>USINA PASSATEMPO</t>
  </si>
  <si>
    <t>CÓRREGO DO CHINELO</t>
  </si>
  <si>
    <t>CÓRREGO AREIAS</t>
  </si>
  <si>
    <t>CÓRREGO ARARAS</t>
  </si>
  <si>
    <t>CÓRREGO FORMIGA</t>
  </si>
  <si>
    <t>CÓRREGO ANTINHA</t>
  </si>
  <si>
    <t>CÓRREGO QUILOMBO</t>
  </si>
  <si>
    <t>ARROIO CORREGUINHO</t>
  </si>
  <si>
    <t>CÓRREGO GUATAMBU</t>
  </si>
  <si>
    <t>CÓRREGO SAPÉ</t>
  </si>
  <si>
    <t>CÓRREGO JUREMA</t>
  </si>
  <si>
    <t>CÓRREGO ARACI</t>
  </si>
  <si>
    <t>CÓRREGO ANHUMAS</t>
  </si>
  <si>
    <t>CÓRREGO CHIFRE DO VIADO</t>
  </si>
  <si>
    <t>CÓRREGO SANTA RITA</t>
  </si>
  <si>
    <t>RIO SERROTE</t>
  </si>
  <si>
    <t>CÓRREGO PASSATEMPO 1</t>
  </si>
  <si>
    <t>CÓRREGO PASSATEMPO 2</t>
  </si>
  <si>
    <t>CÓRREGO TAQUARA</t>
  </si>
  <si>
    <t>CÓRREGO DO COQUEIRO</t>
  </si>
  <si>
    <t>CÓRREGO CARRAPATO</t>
  </si>
  <si>
    <t>CÓRREGO BARRA MANSA</t>
  </si>
  <si>
    <t>Esteio Alas (Unidade)</t>
  </si>
  <si>
    <t>Esteio Cab. (Unidade)</t>
  </si>
  <si>
    <t>Altura Média (m)</t>
  </si>
  <si>
    <t>Tachas Metálicas (Un)</t>
  </si>
  <si>
    <t>Suporte (Un)</t>
  </si>
  <si>
    <t>Total (m³)</t>
  </si>
  <si>
    <t>Bloco de Concreto Estrutural (m³)</t>
  </si>
  <si>
    <t>Cravação</t>
  </si>
  <si>
    <t>Cravação (Un)</t>
  </si>
  <si>
    <t>Emendas (Un)</t>
  </si>
  <si>
    <t>Altura Fundação (m)</t>
  </si>
  <si>
    <t>Bloco de Concreto Estrutural</t>
  </si>
  <si>
    <t>Sapata de Concreto Ciclópico</t>
  </si>
  <si>
    <t>C. Aterro</t>
  </si>
  <si>
    <t>Emendas</t>
  </si>
  <si>
    <t>Unidade</t>
  </si>
  <si>
    <t>Área Desmonte (m²)</t>
  </si>
  <si>
    <t>Total (m²)</t>
  </si>
  <si>
    <t>Total (ha)</t>
  </si>
  <si>
    <t>Serviços: Vigamento Simples - Montagem, Desmontagem, Construção, Aquisição de Madeira, Infraestrutura</t>
  </si>
  <si>
    <t>Serviços: Delineadores - Placas de Sinalização - Suporte e Tacha - Plataforma de Trabalho</t>
  </si>
  <si>
    <t>Serviços: Caixão de Aterro (Desmont. e Const.) - Escavação e Reaterro - Bloco e Sapata de Concreto</t>
  </si>
  <si>
    <t>Serviços: Esteios - Trav. Superior - Trav. Inferior - Contraventamento - Infraestrutura (Desmont, Mont. e Construção)</t>
  </si>
  <si>
    <t>S. Viga</t>
  </si>
  <si>
    <t>21°53'30.35''S</t>
  </si>
  <si>
    <t>54°35'16.91''W</t>
  </si>
  <si>
    <t>21°48'55.89''S</t>
  </si>
  <si>
    <t>54°32'36.89''W</t>
  </si>
  <si>
    <t>21°47'42.63''S</t>
  </si>
  <si>
    <t>54°31'56.42''W</t>
  </si>
  <si>
    <t>21°39'27.48''S</t>
  </si>
  <si>
    <t>54°25'31.76''W</t>
  </si>
  <si>
    <t>54°27'12.82''W</t>
  </si>
  <si>
    <t>21°38'42.22''S</t>
  </si>
  <si>
    <t>21°38'56.23''S</t>
  </si>
  <si>
    <t>54°25'01.82''W</t>
  </si>
  <si>
    <t>21°42'14.33''S</t>
  </si>
  <si>
    <t>54°20'39.58''W</t>
  </si>
  <si>
    <t>21°42'39.87''S</t>
  </si>
  <si>
    <t>54°18'52.81''W</t>
  </si>
  <si>
    <t>54°16'52.81''W</t>
  </si>
  <si>
    <t>21°42'51.11''S</t>
  </si>
  <si>
    <t>21°47'02.84''S</t>
  </si>
  <si>
    <t>54°14'35.61''W</t>
  </si>
  <si>
    <t>21°45'04.33''S</t>
  </si>
  <si>
    <t>54°12'41.25''W</t>
  </si>
  <si>
    <t>21°51'40.49''S</t>
  </si>
  <si>
    <t>54°08'14.26''W</t>
  </si>
  <si>
    <t>21°40'35.65''S</t>
  </si>
  <si>
    <t>54°56'15.44''W</t>
  </si>
  <si>
    <t>21°33'23.75''S</t>
  </si>
  <si>
    <t>54°35'26.66''W</t>
  </si>
  <si>
    <t>21°25'01.14''S</t>
  </si>
  <si>
    <t>54°43'16.96''W</t>
  </si>
  <si>
    <t>54°49'18.44''W</t>
  </si>
  <si>
    <t>21°29'33.39''S</t>
  </si>
  <si>
    <t>54°49'17.44''W</t>
  </si>
  <si>
    <t>21°28'09.42''S</t>
  </si>
  <si>
    <t>54°48'01.11''W</t>
  </si>
  <si>
    <t>21°21'07.90''S</t>
  </si>
  <si>
    <t>54°50'07.01''W</t>
  </si>
  <si>
    <t>21°29'23.36''S</t>
  </si>
  <si>
    <t>54°52'56.83''W</t>
  </si>
  <si>
    <t>21°30'51.74''S</t>
  </si>
  <si>
    <t>54°52'00.30''W</t>
  </si>
  <si>
    <t>21°32'42.64''S</t>
  </si>
  <si>
    <t>55°00'59.87''W</t>
  </si>
  <si>
    <t>21°29'57.99''S</t>
  </si>
  <si>
    <t>54°43'07.39''W</t>
  </si>
  <si>
    <t xml:space="preserve">Encontro - Montagem de Caixão de aterro em madeira de lei (0,20 x 0,06m) - Testeira de 4,50m, duas alas de 4,00m e esteios acima do solo, exceto as estacas cravadas)                                               </t>
  </si>
  <si>
    <t>21°29'34.92''S</t>
  </si>
  <si>
    <t>1ª Medição</t>
  </si>
  <si>
    <t>2ª Medição</t>
  </si>
  <si>
    <t>3ª Medição</t>
  </si>
  <si>
    <t>4ª Medição</t>
  </si>
  <si>
    <t xml:space="preserve">5ª Medição </t>
  </si>
  <si>
    <t>6ª Medição</t>
  </si>
  <si>
    <t xml:space="preserve">7ª Medição </t>
  </si>
  <si>
    <t xml:space="preserve">8ª Medição </t>
  </si>
  <si>
    <t xml:space="preserve">9ª Medição </t>
  </si>
  <si>
    <t>10ª Medição</t>
  </si>
  <si>
    <t>11ª Medição</t>
  </si>
  <si>
    <t>12ª Medição</t>
  </si>
  <si>
    <t>MANUTENÇÃO E CONSERVAÇÃO DAS PONTES DE MADEIRA</t>
  </si>
  <si>
    <t>Porcas e Arruelas</t>
  </si>
  <si>
    <t>EXTENSÃO (M)</t>
  </si>
  <si>
    <t>Unitário</t>
  </si>
  <si>
    <t xml:space="preserve">un </t>
  </si>
  <si>
    <t>02.02</t>
  </si>
  <si>
    <t>05.04</t>
  </si>
  <si>
    <t>07.02</t>
  </si>
  <si>
    <t>BDI SERV =</t>
  </si>
  <si>
    <t>BDI MAT =</t>
  </si>
  <si>
    <t>Mobilização e desmobilização de máquinas equipamentos pesados e containeres</t>
  </si>
  <si>
    <t>Mobilização e desmobilização de pessoal e debandas mensais</t>
  </si>
  <si>
    <t>CRONOGRAMA DE MANUTENÇÃO E CONSERVAÇÃO</t>
  </si>
  <si>
    <t>365 (dias)</t>
  </si>
  <si>
    <t>QUANTITATIVOS - MANUTENÇÃO E CONSERVAÇÃO DAS PONTES DE MADEIRA</t>
  </si>
  <si>
    <t>M1949</t>
  </si>
  <si>
    <t xml:space="preserve">Mobilização e desmobilização de pessoal e debandas mensais                                                                                                                                              </t>
  </si>
  <si>
    <t xml:space="preserve">Encontro - Montagem de Caixão de aterro c/ reaprov de madeira de lei (0,20 x 0,06m) - (Testeira de 4,50m, duas alas de 4,00m e esteios acima do solo, exceto as estacas cravadas) </t>
  </si>
  <si>
    <t xml:space="preserve">Encontro - Desmontagem de Caixão de aterro em madeira de lei (0,20 x 0,06m) - (Testeira de 4,50m, duas alas de 4,00m e esteios acima do solo, exceto as estacas cravadas)                                               </t>
  </si>
  <si>
    <t>Encontro - Construção de Caixão de aterro em madeira de lei (0,20 x 0,06m) - (Testeira de 4,50m, duas alas de 4,00m e esteios acima do solo, exceto as estacas cravadas)</t>
  </si>
  <si>
    <t>Total (un)</t>
  </si>
  <si>
    <t>CÓRREGO PASSATEMPO 3</t>
  </si>
  <si>
    <t>CÓRREGO PASSATEMPO 4</t>
  </si>
  <si>
    <t>CÓRREGO PASSATEMPO 5</t>
  </si>
  <si>
    <t>EXTENSÃO TOTAL (M):</t>
  </si>
  <si>
    <t>Serviços: Aquisição e Instalação de Ferragem de Ponte</t>
  </si>
  <si>
    <t>Peso (%)</t>
  </si>
  <si>
    <t>Ponte</t>
  </si>
  <si>
    <t>-</t>
  </si>
  <si>
    <t>Serviços: Caixão de Aterro (Desmonte, Montagem e Construção) - Escavação e Reaterro - Bloco e Sapata de Concreto</t>
  </si>
  <si>
    <t>Suporte e Implantação de Plaqueta de Aço Película I + III (unidade)</t>
  </si>
  <si>
    <t>Emenda</t>
  </si>
  <si>
    <t>Código
SICRO/AGESUL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</si>
  <si>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</si>
  <si>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</si>
  <si>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</si>
  <si>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</si>
  <si>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</si>
  <si>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</si>
  <si>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</si>
  <si>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</si>
  <si>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</si>
  <si>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</si>
  <si>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PROCESSO:</t>
  </si>
  <si>
    <t>PRAZO: 365 (dias)</t>
  </si>
  <si>
    <t>OBJETO: MANUTENÇÃO E CONSERVAÇÃO DAS PONTES DE MADEIRA NAS RODOVIAS QUE FAZEM PARTE DA MALHA RODOVIÁRIA NÃO PAVIMENTADA DO MUNICÍPIO DE RIO BRILHANTE/MS</t>
  </si>
  <si>
    <t>LOCAL: RIO BRILHANTE/MS</t>
  </si>
  <si>
    <t>Rio Brilhante/MS</t>
  </si>
  <si>
    <t>LOGO DA PREFEITURA</t>
  </si>
  <si>
    <t xml:space="preserve">Objeto: </t>
  </si>
  <si>
    <t>Manutenção e Conservação das Pontes de Madeiras nas Rodovias que fazem parte da Malha Rodoviária Não Pavimentada do Município de Rio Brilhante/MS</t>
  </si>
  <si>
    <t>FZ. SERTÃOZINHO</t>
  </si>
  <si>
    <t>FZ. BELAS ARTES</t>
  </si>
  <si>
    <t>FZ. FRUTEIRA</t>
  </si>
  <si>
    <t>FZ. FRUTEIRA USINA</t>
  </si>
  <si>
    <t>FZ. GUATAMBÚ</t>
  </si>
  <si>
    <t>FZ. NEBLINA</t>
  </si>
  <si>
    <t>FZ. ARACI</t>
  </si>
  <si>
    <t>FZ. VALE DO SOL</t>
  </si>
  <si>
    <t>FZ. VACARIA</t>
  </si>
  <si>
    <t>FZ. RECREIO</t>
  </si>
  <si>
    <t>FZ. VIRA MÃO</t>
  </si>
  <si>
    <t>FZ. ALIANÇA</t>
  </si>
  <si>
    <t>FZ. VISTA ALEGRE</t>
  </si>
  <si>
    <t>FZ. BARRA MANSA</t>
  </si>
  <si>
    <t>54°16'36.10"W</t>
  </si>
  <si>
    <t>21°43'17.70"S</t>
  </si>
  <si>
    <t>21°44'57.50"S</t>
  </si>
  <si>
    <t>54°18'00.40"W</t>
  </si>
  <si>
    <t>54°10'16.90"W</t>
  </si>
  <si>
    <t>21°45'26.00"S</t>
  </si>
  <si>
    <t>02.03</t>
  </si>
  <si>
    <t>Infraestrutura - Ponteira para esteio</t>
  </si>
  <si>
    <t>AGM9910008</t>
  </si>
  <si>
    <t>Ponteira de aço (un)</t>
  </si>
  <si>
    <t>unidades</t>
  </si>
  <si>
    <t>Ponteira de Aço</t>
  </si>
  <si>
    <t>ORÇAMENTO ONERADO - OUT/23</t>
  </si>
  <si>
    <t>ORÇAMENTO DESONERADO - OUT/23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</si>
</sst>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5">
    <numFmt numFmtId="43" formatCode="_-* #,##0.00_-;\-* #,##0.00_-;_-* &quot;-&quot;??_-;_-@_-"/>
    <numFmt numFmtId="164" formatCode="0.000"/>
    <numFmt numFmtId="165" formatCode="#,##0.000"/>
    <numFmt numFmtId="166" formatCode="#,##0.000_ ;\-#,##0.000\ "/>
    <numFmt numFmtId="167" formatCode="#,##0.00_ ;\-#,##0.00\ "/>
    <numFmt numFmtId="168" formatCode="_-* #,##0.000_-;\-* #,##0.000_-;_-* &quot;-&quot;??_-;_-@_-"/>
    <numFmt numFmtId="169" formatCode="\ 0;\ \-0;\ \-;\ @"/>
    <numFmt numFmtId="170" formatCode="\ 0.00;\ \-0.00;\ \-;\ @"/>
    <numFmt numFmtId="171" formatCode="\ 0.000;\ \-0.000;\ \-;\ @"/>
    <numFmt numFmtId="172" formatCode="General_)"/>
    <numFmt numFmtId="173" formatCode="_(* #,##0.00_);_(* \(#,##0.00\);_(* &quot;-&quot;??_);_(@_)"/>
    <numFmt numFmtId="174" formatCode="0.000000000"/>
    <numFmt numFmtId="175" formatCode="0.0000000000"/>
    <numFmt numFmtId="176" formatCode="\ 0.0000;\ \-0.0000;\ \-;\ @"/>
    <numFmt numFmtId="177" formatCode="_-* #,##0.000_-;\-* #,##0.000_-;_-* &quot;-&quot;???_-;_-@_-"/>
  </numFmts>
  <fonts count="38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name val="Calibri"/>
      <family val="2"/>
      <scheme val="minor"/>
    </font>
    <font>
      <b/>
      <sz val="9"/>
      <name val="Calibri"/>
      <family val="2"/>
      <scheme val="minor"/>
    </font>
    <font>
      <sz val="9"/>
      <color rgb="FFFF0000"/>
      <name val="Calibri"/>
      <family val="2"/>
      <scheme val="minor"/>
    </font>
    <font>
      <sz val="9"/>
      <color indexed="81"/>
      <name val="Segoe UI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color theme="1"/>
      <name val="Arial"/>
      <family val="2"/>
    </font>
    <font>
      <sz val="8"/>
      <name val="Arial"/>
      <family val="2"/>
    </font>
    <font>
      <sz val="8"/>
      <name val="Calibri"/>
      <family val="2"/>
      <scheme val="minor"/>
    </font>
    <font>
      <b/>
      <sz val="9"/>
      <color rgb="FF000000"/>
      <name val="Calibri"/>
      <family val="2"/>
      <scheme val="minor"/>
    </font>
    <font>
      <sz val="14"/>
      <color rgb="FF000000"/>
      <name val="Calibri"/>
      <family val="2"/>
    </font>
    <font>
      <b/>
      <sz val="14"/>
      <name val="Arial"/>
      <family val="2"/>
    </font>
    <font>
      <b/>
      <sz val="10"/>
      <name val="Arial"/>
      <family val="2"/>
    </font>
    <font>
      <sz val="14"/>
      <name val="Arial"/>
      <family val="2"/>
    </font>
    <font>
      <b/>
      <sz val="18"/>
      <name val="Arial"/>
      <family val="2"/>
    </font>
    <font>
      <b/>
      <sz val="14"/>
      <name val="Calibri"/>
      <family val="2"/>
    </font>
    <font>
      <sz val="14"/>
      <name val="Calibri"/>
      <family val="2"/>
    </font>
    <font>
      <b/>
      <sz val="14"/>
      <color rgb="FF000000"/>
      <name val="Calibri"/>
      <family val="2"/>
    </font>
    <font>
      <b/>
      <sz val="12"/>
      <name val="Arial"/>
      <family val="2"/>
    </font>
    <font>
      <b/>
      <sz val="12"/>
      <name val="Calibri"/>
      <family val="2"/>
    </font>
    <font>
      <sz val="12"/>
      <name val="Calibri"/>
      <family val="2"/>
    </font>
    <font>
      <sz val="10"/>
      <name val="Times New Roman"/>
      <family val="1"/>
    </font>
    <font>
      <i/>
      <sz val="25"/>
      <color rgb="FFFF0000"/>
      <name val="Calibri"/>
      <family val="2"/>
      <scheme val="minor"/>
    </font>
    <font>
      <i/>
      <sz val="25"/>
      <color rgb="FFFF0000"/>
      <name val="Arial"/>
      <family val="2"/>
    </font>
    <font>
      <i/>
      <sz val="12"/>
      <color rgb="FFFF0000"/>
      <name val="Calibri"/>
      <family val="2"/>
      <scheme val="minor"/>
    </font>
    <font>
      <i/>
      <sz val="12"/>
      <name val="Calibri"/>
      <family val="2"/>
      <scheme val="minor"/>
    </font>
    <font>
      <i/>
      <sz val="12"/>
      <color theme="1"/>
      <name val="Calibri"/>
      <family val="2"/>
      <scheme val="minor"/>
    </font>
    <font>
      <i/>
      <sz val="11"/>
      <color rgb="FFFF0000"/>
      <name val="Calibri"/>
      <family val="2"/>
      <scheme val="minor"/>
    </font>
    <font>
      <i/>
      <sz val="11"/>
      <color theme="1"/>
      <name val="Calibri"/>
      <family val="2"/>
      <scheme val="minor"/>
    </font>
    <font>
      <i/>
      <sz val="20"/>
      <color rgb="FFFF0000"/>
      <name val="Calibri"/>
      <family val="2"/>
      <scheme val="minor"/>
    </font>
    <font>
      <b/>
      <sz val="14"/>
      <color rgb="FFFF0000"/>
      <name val="Arial"/>
      <family val="2"/>
    </font>
    <font>
      <sz val="14"/>
      <color rgb="FFFF0000"/>
      <name val="Calibri"/>
      <family val="2"/>
    </font>
    <font>
      <sz val="9"/>
      <color rgb="FF202124"/>
      <name val="Arial"/>
      <family val="2"/>
    </font>
    <font>
      <sz val="9"/>
      <color rgb="FFFF0000"/>
      <name val="Arial"/>
      <family val="2"/>
    </font>
    <font>
      <sz val="9"/>
      <color theme="1"/>
      <name val="Arial"/>
      <family val="2"/>
    </font>
  </fonts>
  <fills count="13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rgb="FFD9D9D9"/>
        <bgColor rgb="FF000000"/>
      </patternFill>
    </fill>
    <fill>
      <patternFill patternType="solid">
        <fgColor rgb="FFFF000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FFFF00"/>
        <bgColor rgb="FF000000"/>
      </patternFill>
    </fill>
  </fills>
  <borders count="8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auto="1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hair">
        <color auto="1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auto="1"/>
      </top>
      <bottom style="thin">
        <color indexed="64"/>
      </bottom>
      <diagonal/>
    </border>
    <border>
      <left/>
      <right style="thin">
        <color indexed="64"/>
      </right>
      <top style="hair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auto="1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</borders>
  <cellStyleXfs count="7">
    <xf numFmtId="0" fontId="0" fillId="0" borderId="0"/>
    <xf numFmtId="43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0" fontId="7" fillId="0" borderId="0"/>
    <xf numFmtId="9" fontId="24" fillId="0" borderId="0" applyFont="0" applyFill="0" applyBorder="0" applyAlignment="0" applyProtection="0"/>
    <xf numFmtId="9" fontId="10" fillId="0" borderId="0" applyFont="0" applyFill="0" applyBorder="0" applyAlignment="0" applyProtection="0"/>
    <xf numFmtId="0" fontId="8" fillId="0" borderId="0"/>
  </cellStyleXfs>
  <cellXfs count="685">
    <xf numFmtId="0" fontId="0" fillId="0" borderId="0" xfId="0"/>
    <xf numFmtId="0" fontId="1" fillId="0" borderId="0" xfId="0" applyFont="1"/>
    <xf numFmtId="164" fontId="1" fillId="0" borderId="1" xfId="0" applyNumberFormat="1" applyFont="1" applyBorder="1"/>
    <xf numFmtId="164" fontId="1" fillId="0" borderId="0" xfId="0" applyNumberFormat="1" applyFont="1"/>
    <xf numFmtId="0" fontId="1" fillId="0" borderId="1" xfId="0" applyFont="1" applyBorder="1"/>
    <xf numFmtId="166" fontId="1" fillId="0" borderId="6" xfId="0" applyNumberFormat="1" applyFont="1" applyBorder="1" applyAlignment="1">
      <alignment horizontal="right" vertical="center"/>
    </xf>
    <xf numFmtId="166" fontId="2" fillId="4" borderId="1" xfId="0" applyNumberFormat="1" applyFont="1" applyFill="1" applyBorder="1" applyAlignment="1">
      <alignment horizontal="right" vertic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166" fontId="2" fillId="0" borderId="0" xfId="0" applyNumberFormat="1" applyFont="1" applyAlignment="1">
      <alignment horizontal="right" vertical="center"/>
    </xf>
    <xf numFmtId="166" fontId="1" fillId="0" borderId="20" xfId="0" applyNumberFormat="1" applyFont="1" applyBorder="1" applyAlignment="1">
      <alignment horizontal="right" vertical="center"/>
    </xf>
    <xf numFmtId="166" fontId="1" fillId="0" borderId="0" xfId="0" applyNumberFormat="1" applyFont="1" applyAlignment="1">
      <alignment horizontal="right" vertical="center"/>
    </xf>
    <xf numFmtId="0" fontId="1" fillId="0" borderId="0" xfId="0" applyFont="1" applyAlignment="1">
      <alignment horizontal="center"/>
    </xf>
    <xf numFmtId="166" fontId="3" fillId="0" borderId="28" xfId="0" applyNumberFormat="1" applyFont="1" applyBorder="1"/>
    <xf numFmtId="166" fontId="3" fillId="0" borderId="0" xfId="0" applyNumberFormat="1" applyFont="1"/>
    <xf numFmtId="166" fontId="2" fillId="4" borderId="1" xfId="0" applyNumberFormat="1" applyFont="1" applyFill="1" applyBorder="1" applyAlignment="1">
      <alignment vertical="center"/>
    </xf>
    <xf numFmtId="0" fontId="2" fillId="3" borderId="7" xfId="0" applyFont="1" applyFill="1" applyBorder="1" applyAlignment="1">
      <alignment vertical="center"/>
    </xf>
    <xf numFmtId="0" fontId="2" fillId="3" borderId="8" xfId="0" applyFont="1" applyFill="1" applyBorder="1" applyAlignment="1">
      <alignment vertical="center"/>
    </xf>
    <xf numFmtId="0" fontId="1" fillId="3" borderId="0" xfId="0" applyFont="1" applyFill="1"/>
    <xf numFmtId="0" fontId="2" fillId="0" borderId="13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 wrapText="1"/>
    </xf>
    <xf numFmtId="0" fontId="2" fillId="0" borderId="25" xfId="0" applyFont="1" applyBorder="1" applyAlignment="1">
      <alignment horizontal="center" vertical="center" wrapText="1"/>
    </xf>
    <xf numFmtId="0" fontId="2" fillId="0" borderId="25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 wrapText="1"/>
    </xf>
    <xf numFmtId="0" fontId="1" fillId="0" borderId="28" xfId="0" applyFont="1" applyBorder="1"/>
    <xf numFmtId="0" fontId="1" fillId="0" borderId="29" xfId="0" applyFont="1" applyBorder="1"/>
    <xf numFmtId="0" fontId="2" fillId="0" borderId="0" xfId="0" applyFont="1"/>
    <xf numFmtId="0" fontId="2" fillId="0" borderId="0" xfId="0" applyFont="1" applyAlignment="1">
      <alignment horizontal="center"/>
    </xf>
    <xf numFmtId="0" fontId="1" fillId="3" borderId="0" xfId="0" applyFont="1" applyFill="1" applyAlignment="1">
      <alignment vertical="center"/>
    </xf>
    <xf numFmtId="0" fontId="5" fillId="0" borderId="1" xfId="0" applyFont="1" applyBorder="1"/>
    <xf numFmtId="0" fontId="3" fillId="0" borderId="1" xfId="0" applyFont="1" applyBorder="1"/>
    <xf numFmtId="164" fontId="3" fillId="0" borderId="1" xfId="0" applyNumberFormat="1" applyFont="1" applyBorder="1"/>
    <xf numFmtId="0" fontId="1" fillId="0" borderId="0" xfId="0" applyFont="1" applyAlignment="1">
      <alignment horizontal="center" vertical="center"/>
    </xf>
    <xf numFmtId="166" fontId="2" fillId="3" borderId="1" xfId="0" applyNumberFormat="1" applyFont="1" applyFill="1" applyBorder="1" applyAlignment="1">
      <alignment vertical="center"/>
    </xf>
    <xf numFmtId="0" fontId="7" fillId="0" borderId="0" xfId="3"/>
    <xf numFmtId="0" fontId="9" fillId="0" borderId="9" xfId="3" applyFont="1" applyBorder="1" applyAlignment="1">
      <alignment vertical="center"/>
    </xf>
    <xf numFmtId="0" fontId="9" fillId="0" borderId="10" xfId="3" applyFont="1" applyBorder="1" applyAlignment="1">
      <alignment vertical="center"/>
    </xf>
    <xf numFmtId="0" fontId="10" fillId="0" borderId="10" xfId="3" applyFont="1" applyBorder="1" applyAlignment="1">
      <alignment vertical="center"/>
    </xf>
    <xf numFmtId="0" fontId="9" fillId="0" borderId="11" xfId="3" applyFont="1" applyBorder="1" applyAlignment="1">
      <alignment vertical="center"/>
    </xf>
    <xf numFmtId="0" fontId="9" fillId="0" borderId="12" xfId="3" applyFont="1" applyBorder="1" applyAlignment="1">
      <alignment vertical="center"/>
    </xf>
    <xf numFmtId="0" fontId="9" fillId="0" borderId="13" xfId="3" applyFont="1" applyBorder="1" applyAlignment="1">
      <alignment vertical="center"/>
    </xf>
    <xf numFmtId="0" fontId="2" fillId="0" borderId="1" xfId="0" applyFont="1" applyBorder="1" applyAlignment="1">
      <alignment horizontal="center" wrapText="1"/>
    </xf>
    <xf numFmtId="0" fontId="2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center"/>
    </xf>
    <xf numFmtId="0" fontId="5" fillId="0" borderId="0" xfId="0" applyFont="1"/>
    <xf numFmtId="0" fontId="3" fillId="0" borderId="0" xfId="0" applyFont="1"/>
    <xf numFmtId="0" fontId="1" fillId="0" borderId="1" xfId="0" applyFont="1" applyBorder="1" applyAlignment="1">
      <alignment vertical="center"/>
    </xf>
    <xf numFmtId="0" fontId="2" fillId="0" borderId="17" xfId="0" applyFont="1" applyBorder="1" applyAlignment="1">
      <alignment horizontal="center" vertical="center" wrapText="1"/>
    </xf>
    <xf numFmtId="0" fontId="2" fillId="0" borderId="24" xfId="0" applyFont="1" applyBorder="1" applyAlignment="1">
      <alignment horizontal="center" vertical="center" wrapText="1"/>
    </xf>
    <xf numFmtId="0" fontId="1" fillId="0" borderId="27" xfId="0" applyFont="1" applyBorder="1"/>
    <xf numFmtId="0" fontId="1" fillId="3" borderId="10" xfId="0" applyFont="1" applyFill="1" applyBorder="1"/>
    <xf numFmtId="0" fontId="1" fillId="3" borderId="11" xfId="0" applyFont="1" applyFill="1" applyBorder="1"/>
    <xf numFmtId="166" fontId="2" fillId="0" borderId="0" xfId="0" applyNumberFormat="1" applyFont="1" applyAlignment="1">
      <alignment horizontal="center" vertical="center" wrapText="1"/>
    </xf>
    <xf numFmtId="0" fontId="9" fillId="0" borderId="0" xfId="3" applyFont="1" applyAlignment="1">
      <alignment vertical="center"/>
    </xf>
    <xf numFmtId="0" fontId="10" fillId="0" borderId="0" xfId="3" applyFont="1" applyAlignment="1">
      <alignment vertical="center"/>
    </xf>
    <xf numFmtId="0" fontId="9" fillId="0" borderId="50" xfId="3" applyFont="1" applyBorder="1" applyAlignment="1">
      <alignment vertical="center"/>
    </xf>
    <xf numFmtId="0" fontId="9" fillId="0" borderId="34" xfId="3" applyFont="1" applyBorder="1" applyAlignment="1">
      <alignment vertical="center"/>
    </xf>
    <xf numFmtId="0" fontId="10" fillId="0" borderId="34" xfId="3" applyFont="1" applyBorder="1" applyAlignment="1">
      <alignment vertical="center"/>
    </xf>
    <xf numFmtId="0" fontId="7" fillId="0" borderId="13" xfId="3" applyBorder="1"/>
    <xf numFmtId="0" fontId="7" fillId="0" borderId="11" xfId="3" applyBorder="1"/>
    <xf numFmtId="0" fontId="7" fillId="0" borderId="10" xfId="3" applyBorder="1"/>
    <xf numFmtId="169" fontId="1" fillId="0" borderId="0" xfId="0" applyNumberFormat="1" applyFont="1" applyProtection="1">
      <protection locked="0"/>
    </xf>
    <xf numFmtId="170" fontId="1" fillId="0" borderId="0" xfId="0" applyNumberFormat="1" applyFont="1" applyProtection="1">
      <protection locked="0"/>
    </xf>
    <xf numFmtId="170" fontId="2" fillId="3" borderId="1" xfId="0" applyNumberFormat="1" applyFont="1" applyFill="1" applyBorder="1" applyAlignment="1" applyProtection="1">
      <alignment horizontal="center" vertical="center" wrapText="1"/>
      <protection locked="0"/>
    </xf>
    <xf numFmtId="170" fontId="2" fillId="4" borderId="1" xfId="0" applyNumberFormat="1" applyFont="1" applyFill="1" applyBorder="1" applyAlignment="1" applyProtection="1">
      <alignment vertical="center"/>
      <protection locked="0"/>
    </xf>
    <xf numFmtId="170" fontId="7" fillId="0" borderId="0" xfId="3" applyNumberFormat="1"/>
    <xf numFmtId="170" fontId="2" fillId="0" borderId="1" xfId="0" applyNumberFormat="1" applyFont="1" applyBorder="1" applyAlignment="1" applyProtection="1">
      <alignment horizontal="center" vertical="center" wrapText="1"/>
      <protection locked="0"/>
    </xf>
    <xf numFmtId="169" fontId="1" fillId="0" borderId="0" xfId="0" applyNumberFormat="1" applyFont="1"/>
    <xf numFmtId="170" fontId="1" fillId="0" borderId="0" xfId="0" applyNumberFormat="1" applyFont="1"/>
    <xf numFmtId="170" fontId="2" fillId="0" borderId="24" xfId="0" applyNumberFormat="1" applyFont="1" applyBorder="1" applyAlignment="1">
      <alignment horizontal="center" vertical="center" wrapText="1"/>
    </xf>
    <xf numFmtId="170" fontId="2" fillId="0" borderId="13" xfId="0" applyNumberFormat="1" applyFont="1" applyBorder="1" applyAlignment="1">
      <alignment horizontal="center" vertical="center"/>
    </xf>
    <xf numFmtId="170" fontId="2" fillId="0" borderId="13" xfId="0" applyNumberFormat="1" applyFont="1" applyBorder="1" applyAlignment="1">
      <alignment horizontal="center" vertical="center" wrapText="1"/>
    </xf>
    <xf numFmtId="170" fontId="2" fillId="0" borderId="25" xfId="0" applyNumberFormat="1" applyFont="1" applyBorder="1" applyAlignment="1">
      <alignment horizontal="center" vertical="center" wrapText="1"/>
    </xf>
    <xf numFmtId="170" fontId="2" fillId="0" borderId="25" xfId="0" applyNumberFormat="1" applyFont="1" applyBorder="1" applyAlignment="1">
      <alignment horizontal="center" vertical="center"/>
    </xf>
    <xf numFmtId="170" fontId="1" fillId="3" borderId="0" xfId="0" applyNumberFormat="1" applyFont="1" applyFill="1"/>
    <xf numFmtId="171" fontId="2" fillId="4" borderId="1" xfId="0" applyNumberFormat="1" applyFont="1" applyFill="1" applyBorder="1" applyAlignment="1">
      <alignment horizontal="right" vertical="center"/>
    </xf>
    <xf numFmtId="171" fontId="2" fillId="4" borderId="1" xfId="0" applyNumberFormat="1" applyFont="1" applyFill="1" applyBorder="1" applyAlignment="1" applyProtection="1">
      <alignment vertical="center"/>
      <protection locked="0"/>
    </xf>
    <xf numFmtId="170" fontId="1" fillId="0" borderId="0" xfId="0" applyNumberFormat="1" applyFont="1" applyAlignment="1" applyProtection="1">
      <alignment horizontal="center" vertical="center"/>
      <protection locked="0"/>
    </xf>
    <xf numFmtId="170" fontId="1" fillId="0" borderId="0" xfId="0" applyNumberFormat="1" applyFont="1" applyAlignment="1" applyProtection="1">
      <alignment horizontal="center"/>
      <protection locked="0"/>
    </xf>
    <xf numFmtId="171" fontId="2" fillId="0" borderId="1" xfId="0" applyNumberFormat="1" applyFont="1" applyBorder="1" applyAlignment="1">
      <alignment horizontal="center" vertical="center"/>
    </xf>
    <xf numFmtId="171" fontId="2" fillId="3" borderId="1" xfId="0" applyNumberFormat="1" applyFont="1" applyFill="1" applyBorder="1" applyAlignment="1" applyProtection="1">
      <alignment horizontal="center" vertical="center" wrapText="1"/>
      <protection locked="0"/>
    </xf>
    <xf numFmtId="171" fontId="2" fillId="3" borderId="7" xfId="0" applyNumberFormat="1" applyFont="1" applyFill="1" applyBorder="1" applyAlignment="1">
      <alignment vertical="center"/>
    </xf>
    <xf numFmtId="171" fontId="2" fillId="3" borderId="8" xfId="0" applyNumberFormat="1" applyFont="1" applyFill="1" applyBorder="1" applyAlignment="1">
      <alignment vertical="center"/>
    </xf>
    <xf numFmtId="171" fontId="1" fillId="0" borderId="0" xfId="0" applyNumberFormat="1" applyFont="1"/>
    <xf numFmtId="171" fontId="1" fillId="0" borderId="10" xfId="0" applyNumberFormat="1" applyFont="1" applyBorder="1"/>
    <xf numFmtId="171" fontId="1" fillId="0" borderId="0" xfId="0" applyNumberFormat="1" applyFont="1" applyProtection="1">
      <protection locked="0"/>
    </xf>
    <xf numFmtId="171" fontId="2" fillId="4" borderId="1" xfId="0" applyNumberFormat="1" applyFont="1" applyFill="1" applyBorder="1" applyAlignment="1">
      <alignment vertical="center"/>
    </xf>
    <xf numFmtId="171" fontId="2" fillId="4" borderId="1" xfId="0" applyNumberFormat="1" applyFont="1" applyFill="1" applyBorder="1"/>
    <xf numFmtId="169" fontId="2" fillId="0" borderId="1" xfId="0" applyNumberFormat="1" applyFont="1" applyBorder="1" applyAlignment="1" applyProtection="1">
      <alignment horizontal="center" vertical="center"/>
      <protection locked="0"/>
    </xf>
    <xf numFmtId="171" fontId="2" fillId="0" borderId="1" xfId="0" applyNumberFormat="1" applyFont="1" applyBorder="1" applyAlignment="1" applyProtection="1">
      <alignment horizontal="center" vertical="center"/>
      <protection locked="0"/>
    </xf>
    <xf numFmtId="170" fontId="2" fillId="0" borderId="1" xfId="0" applyNumberFormat="1" applyFont="1" applyBorder="1" applyAlignment="1" applyProtection="1">
      <alignment horizontal="center" vertical="center"/>
      <protection locked="0"/>
    </xf>
    <xf numFmtId="170" fontId="2" fillId="3" borderId="1" xfId="0" applyNumberFormat="1" applyFont="1" applyFill="1" applyBorder="1" applyAlignment="1" applyProtection="1">
      <alignment horizontal="center" vertical="center"/>
      <protection locked="0"/>
    </xf>
    <xf numFmtId="171" fontId="2" fillId="3" borderId="1" xfId="0" applyNumberFormat="1" applyFont="1" applyFill="1" applyBorder="1" applyAlignment="1" applyProtection="1">
      <alignment horizontal="center" vertical="center"/>
      <protection locked="0"/>
    </xf>
    <xf numFmtId="171" fontId="2" fillId="0" borderId="1" xfId="0" applyNumberFormat="1" applyFont="1" applyBorder="1" applyAlignment="1" applyProtection="1">
      <alignment horizontal="center" vertical="center" wrapText="1"/>
      <protection locked="0"/>
    </xf>
    <xf numFmtId="0" fontId="1" fillId="0" borderId="0" xfId="3" applyFont="1"/>
    <xf numFmtId="4" fontId="1" fillId="0" borderId="0" xfId="3" applyNumberFormat="1" applyFont="1"/>
    <xf numFmtId="0" fontId="12" fillId="0" borderId="0" xfId="0" applyFont="1" applyAlignment="1">
      <alignment horizontal="left" vertical="center"/>
    </xf>
    <xf numFmtId="43" fontId="1" fillId="0" borderId="0" xfId="1" applyFont="1"/>
    <xf numFmtId="49" fontId="1" fillId="0" borderId="0" xfId="3" applyNumberFormat="1" applyFont="1"/>
    <xf numFmtId="0" fontId="1" fillId="0" borderId="10" xfId="3" applyFont="1" applyBorder="1"/>
    <xf numFmtId="0" fontId="3" fillId="0" borderId="0" xfId="3" applyFont="1"/>
    <xf numFmtId="43" fontId="4" fillId="0" borderId="1" xfId="1" applyFont="1" applyBorder="1" applyAlignment="1">
      <alignment horizontal="right" vertical="center"/>
    </xf>
    <xf numFmtId="168" fontId="1" fillId="0" borderId="0" xfId="1" applyNumberFormat="1" applyFont="1"/>
    <xf numFmtId="168" fontId="3" fillId="0" borderId="0" xfId="1" applyNumberFormat="1" applyFont="1"/>
    <xf numFmtId="43" fontId="3" fillId="0" borderId="0" xfId="1" applyFont="1"/>
    <xf numFmtId="0" fontId="1" fillId="0" borderId="1" xfId="3" applyFont="1" applyBorder="1" applyAlignment="1">
      <alignment horizontal="left" vertical="center"/>
    </xf>
    <xf numFmtId="4" fontId="1" fillId="0" borderId="1" xfId="3" applyNumberFormat="1" applyFont="1" applyBorder="1" applyAlignment="1">
      <alignment horizontal="center" vertical="center"/>
    </xf>
    <xf numFmtId="168" fontId="3" fillId="0" borderId="1" xfId="1" applyNumberFormat="1" applyFont="1" applyBorder="1" applyAlignment="1">
      <alignment horizontal="right" vertical="center"/>
    </xf>
    <xf numFmtId="43" fontId="3" fillId="0" borderId="1" xfId="1" applyFont="1" applyBorder="1" applyAlignment="1">
      <alignment horizontal="right" vertical="center"/>
    </xf>
    <xf numFmtId="0" fontId="1" fillId="0" borderId="1" xfId="3" applyFont="1" applyBorder="1" applyAlignment="1">
      <alignment horizontal="left" vertical="center" wrapText="1"/>
    </xf>
    <xf numFmtId="0" fontId="3" fillId="0" borderId="1" xfId="3" applyFont="1" applyBorder="1" applyAlignment="1">
      <alignment horizontal="left" vertical="center" wrapText="1"/>
    </xf>
    <xf numFmtId="0" fontId="1" fillId="0" borderId="1" xfId="3" applyFont="1" applyBorder="1" applyAlignment="1">
      <alignment horizontal="center" vertical="center"/>
    </xf>
    <xf numFmtId="0" fontId="3" fillId="0" borderId="1" xfId="3" applyFont="1" applyBorder="1" applyAlignment="1">
      <alignment horizontal="left" vertical="center"/>
    </xf>
    <xf numFmtId="49" fontId="3" fillId="3" borderId="1" xfId="0" applyNumberFormat="1" applyFont="1" applyFill="1" applyBorder="1" applyAlignment="1">
      <alignment vertical="center"/>
    </xf>
    <xf numFmtId="4" fontId="1" fillId="0" borderId="7" xfId="3" applyNumberFormat="1" applyFont="1" applyBorder="1" applyAlignment="1">
      <alignment vertical="center"/>
    </xf>
    <xf numFmtId="49" fontId="3" fillId="3" borderId="1" xfId="0" applyNumberFormat="1" applyFont="1" applyFill="1" applyBorder="1" applyAlignment="1">
      <alignment vertical="center" wrapText="1"/>
    </xf>
    <xf numFmtId="165" fontId="3" fillId="0" borderId="1" xfId="3" applyNumberFormat="1" applyFont="1" applyBorder="1" applyAlignment="1">
      <alignment horizontal="right" vertical="center"/>
    </xf>
    <xf numFmtId="165" fontId="3" fillId="3" borderId="1" xfId="3" applyNumberFormat="1" applyFont="1" applyFill="1" applyBorder="1" applyAlignment="1">
      <alignment horizontal="right" vertical="center"/>
    </xf>
    <xf numFmtId="169" fontId="1" fillId="3" borderId="1" xfId="0" applyNumberFormat="1" applyFont="1" applyFill="1" applyBorder="1" applyAlignment="1" applyProtection="1">
      <alignment horizontal="center" vertical="center"/>
      <protection locked="0"/>
    </xf>
    <xf numFmtId="170" fontId="1" fillId="3" borderId="1" xfId="0" applyNumberFormat="1" applyFont="1" applyFill="1" applyBorder="1" applyAlignment="1" applyProtection="1">
      <alignment horizontal="center" vertical="top"/>
      <protection locked="0"/>
    </xf>
    <xf numFmtId="171" fontId="1" fillId="3" borderId="1" xfId="0" applyNumberFormat="1" applyFont="1" applyFill="1" applyBorder="1" applyAlignment="1">
      <alignment horizontal="center" vertical="center"/>
    </xf>
    <xf numFmtId="170" fontId="1" fillId="3" borderId="1" xfId="0" applyNumberFormat="1" applyFont="1" applyFill="1" applyBorder="1" applyAlignment="1" applyProtection="1">
      <alignment horizontal="center" vertical="center"/>
      <protection locked="0"/>
    </xf>
    <xf numFmtId="171" fontId="3" fillId="3" borderId="1" xfId="0" applyNumberFormat="1" applyFont="1" applyFill="1" applyBorder="1" applyAlignment="1" applyProtection="1">
      <alignment horizontal="center" vertical="center"/>
      <protection locked="0"/>
    </xf>
    <xf numFmtId="170" fontId="3" fillId="3" borderId="1" xfId="0" applyNumberFormat="1" applyFont="1" applyFill="1" applyBorder="1" applyAlignment="1" applyProtection="1">
      <alignment horizontal="center" vertical="center"/>
      <protection locked="0"/>
    </xf>
    <xf numFmtId="169" fontId="1" fillId="0" borderId="1" xfId="0" applyNumberFormat="1" applyFont="1" applyBorder="1" applyAlignment="1" applyProtection="1">
      <alignment horizontal="center" vertical="center"/>
      <protection locked="0"/>
    </xf>
    <xf numFmtId="170" fontId="1" fillId="0" borderId="1" xfId="0" applyNumberFormat="1" applyFont="1" applyBorder="1" applyAlignment="1" applyProtection="1">
      <alignment horizontal="center" vertical="center"/>
      <protection locked="0"/>
    </xf>
    <xf numFmtId="171" fontId="1" fillId="0" borderId="1" xfId="0" applyNumberFormat="1" applyFont="1" applyBorder="1" applyAlignment="1" applyProtection="1">
      <alignment horizontal="right" vertical="center"/>
      <protection locked="0"/>
    </xf>
    <xf numFmtId="171" fontId="1" fillId="0" borderId="1" xfId="0" applyNumberFormat="1" applyFont="1" applyBorder="1" applyAlignment="1">
      <alignment horizontal="right" vertical="center"/>
    </xf>
    <xf numFmtId="171" fontId="1" fillId="0" borderId="1" xfId="0" applyNumberFormat="1" applyFont="1" applyBorder="1" applyAlignment="1" applyProtection="1">
      <alignment horizontal="center" vertical="center"/>
      <protection locked="0"/>
    </xf>
    <xf numFmtId="169" fontId="1" fillId="3" borderId="1" xfId="0" applyNumberFormat="1" applyFont="1" applyFill="1" applyBorder="1" applyAlignment="1">
      <alignment horizontal="center" vertical="center"/>
    </xf>
    <xf numFmtId="170" fontId="1" fillId="3" borderId="1" xfId="0" applyNumberFormat="1" applyFont="1" applyFill="1" applyBorder="1" applyAlignment="1">
      <alignment horizontal="center" vertical="center"/>
    </xf>
    <xf numFmtId="171" fontId="1" fillId="3" borderId="1" xfId="0" applyNumberFormat="1" applyFont="1" applyFill="1" applyBorder="1" applyAlignment="1">
      <alignment horizontal="right" vertical="center"/>
    </xf>
    <xf numFmtId="170" fontId="1" fillId="3" borderId="1" xfId="0" applyNumberFormat="1" applyFont="1" applyFill="1" applyBorder="1" applyAlignment="1">
      <alignment horizontal="left" vertical="center" wrapText="1"/>
    </xf>
    <xf numFmtId="171" fontId="1" fillId="0" borderId="1" xfId="0" applyNumberFormat="1" applyFont="1" applyBorder="1" applyAlignment="1">
      <alignment horizontal="center" vertical="center"/>
    </xf>
    <xf numFmtId="166" fontId="1" fillId="0" borderId="1" xfId="0" applyNumberFormat="1" applyFont="1" applyBorder="1" applyAlignment="1">
      <alignment horizontal="right" vertical="center"/>
    </xf>
    <xf numFmtId="2" fontId="1" fillId="0" borderId="1" xfId="0" applyNumberFormat="1" applyFont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168" fontId="3" fillId="0" borderId="1" xfId="1" applyNumberFormat="1" applyFont="1" applyFill="1" applyBorder="1"/>
    <xf numFmtId="171" fontId="1" fillId="3" borderId="1" xfId="0" applyNumberFormat="1" applyFont="1" applyFill="1" applyBorder="1" applyAlignment="1" applyProtection="1">
      <alignment horizontal="center" vertical="center"/>
      <protection locked="0"/>
    </xf>
    <xf numFmtId="171" fontId="1" fillId="3" borderId="1" xfId="0" applyNumberFormat="1" applyFont="1" applyFill="1" applyBorder="1" applyAlignment="1" applyProtection="1">
      <alignment horizontal="center" vertical="top"/>
      <protection locked="0"/>
    </xf>
    <xf numFmtId="49" fontId="3" fillId="0" borderId="1" xfId="0" applyNumberFormat="1" applyFont="1" applyBorder="1" applyAlignment="1">
      <alignment vertical="center"/>
    </xf>
    <xf numFmtId="43" fontId="3" fillId="0" borderId="1" xfId="1" applyFont="1" applyFill="1" applyBorder="1" applyAlignment="1">
      <alignment horizontal="right" vertical="center"/>
    </xf>
    <xf numFmtId="172" fontId="10" fillId="0" borderId="0" xfId="0" applyNumberFormat="1" applyFont="1"/>
    <xf numFmtId="172" fontId="10" fillId="8" borderId="0" xfId="0" applyNumberFormat="1" applyFont="1" applyFill="1"/>
    <xf numFmtId="0" fontId="18" fillId="8" borderId="59" xfId="3" applyFont="1" applyFill="1" applyBorder="1" applyAlignment="1">
      <alignment vertical="center"/>
    </xf>
    <xf numFmtId="0" fontId="19" fillId="8" borderId="58" xfId="0" applyFont="1" applyFill="1" applyBorder="1" applyAlignment="1">
      <alignment vertical="center" wrapText="1"/>
    </xf>
    <xf numFmtId="172" fontId="10" fillId="8" borderId="58" xfId="0" applyNumberFormat="1" applyFont="1" applyFill="1" applyBorder="1"/>
    <xf numFmtId="0" fontId="18" fillId="8" borderId="35" xfId="3" applyFont="1" applyFill="1" applyBorder="1" applyAlignment="1">
      <alignment vertical="center"/>
    </xf>
    <xf numFmtId="0" fontId="19" fillId="8" borderId="30" xfId="0" applyFont="1" applyFill="1" applyBorder="1" applyAlignment="1">
      <alignment vertical="center"/>
    </xf>
    <xf numFmtId="172" fontId="10" fillId="8" borderId="30" xfId="0" applyNumberFormat="1" applyFont="1" applyFill="1" applyBorder="1"/>
    <xf numFmtId="0" fontId="20" fillId="8" borderId="35" xfId="3" applyFont="1" applyFill="1" applyBorder="1" applyAlignment="1">
      <alignment vertical="center"/>
    </xf>
    <xf numFmtId="0" fontId="13" fillId="8" borderId="30" xfId="3" applyFont="1" applyFill="1" applyBorder="1" applyAlignment="1">
      <alignment vertical="center"/>
    </xf>
    <xf numFmtId="0" fontId="19" fillId="8" borderId="30" xfId="0" applyFont="1" applyFill="1" applyBorder="1" applyAlignment="1">
      <alignment horizontal="left" vertical="center"/>
    </xf>
    <xf numFmtId="14" fontId="19" fillId="8" borderId="30" xfId="0" applyNumberFormat="1" applyFont="1" applyFill="1" applyBorder="1" applyAlignment="1">
      <alignment vertical="center"/>
    </xf>
    <xf numFmtId="0" fontId="20" fillId="8" borderId="60" xfId="3" applyFont="1" applyFill="1" applyBorder="1" applyAlignment="1">
      <alignment vertical="center"/>
    </xf>
    <xf numFmtId="0" fontId="13" fillId="8" borderId="61" xfId="3" applyFont="1" applyFill="1" applyBorder="1" applyAlignment="1">
      <alignment vertical="center"/>
    </xf>
    <xf numFmtId="0" fontId="19" fillId="8" borderId="61" xfId="0" applyFont="1" applyFill="1" applyBorder="1" applyAlignment="1">
      <alignment horizontal="left" vertical="center"/>
    </xf>
    <xf numFmtId="172" fontId="10" fillId="8" borderId="61" xfId="0" applyNumberFormat="1" applyFont="1" applyFill="1" applyBorder="1"/>
    <xf numFmtId="172" fontId="21" fillId="8" borderId="33" xfId="0" applyNumberFormat="1" applyFont="1" applyFill="1" applyBorder="1" applyAlignment="1">
      <alignment horizontal="left" vertical="center" wrapText="1"/>
    </xf>
    <xf numFmtId="172" fontId="21" fillId="8" borderId="0" xfId="0" applyNumberFormat="1" applyFont="1" applyFill="1" applyAlignment="1">
      <alignment vertical="center"/>
    </xf>
    <xf numFmtId="172" fontId="16" fillId="8" borderId="0" xfId="0" applyNumberFormat="1" applyFont="1" applyFill="1" applyAlignment="1">
      <alignment vertical="center"/>
    </xf>
    <xf numFmtId="172" fontId="14" fillId="8" borderId="0" xfId="0" applyNumberFormat="1" applyFont="1" applyFill="1" applyAlignment="1">
      <alignment horizontal="left" vertical="center"/>
    </xf>
    <xf numFmtId="172" fontId="10" fillId="8" borderId="26" xfId="0" applyNumberFormat="1" applyFont="1" applyFill="1" applyBorder="1"/>
    <xf numFmtId="172" fontId="15" fillId="8" borderId="48" xfId="0" applyNumberFormat="1" applyFont="1" applyFill="1" applyBorder="1" applyAlignment="1">
      <alignment vertical="center" wrapText="1"/>
    </xf>
    <xf numFmtId="172" fontId="15" fillId="8" borderId="34" xfId="0" applyNumberFormat="1" applyFont="1" applyFill="1" applyBorder="1" applyAlignment="1">
      <alignment vertical="center" wrapText="1"/>
    </xf>
    <xf numFmtId="172" fontId="15" fillId="8" borderId="34" xfId="0" applyNumberFormat="1" applyFont="1" applyFill="1" applyBorder="1" applyAlignment="1">
      <alignment horizontal="right" vertical="center" wrapText="1"/>
    </xf>
    <xf numFmtId="172" fontId="10" fillId="8" borderId="34" xfId="0" applyNumberFormat="1" applyFont="1" applyFill="1" applyBorder="1"/>
    <xf numFmtId="172" fontId="8" fillId="8" borderId="34" xfId="0" applyNumberFormat="1" applyFont="1" applyFill="1" applyBorder="1" applyAlignment="1">
      <alignment horizontal="center"/>
    </xf>
    <xf numFmtId="172" fontId="10" fillId="8" borderId="62" xfId="0" applyNumberFormat="1" applyFont="1" applyFill="1" applyBorder="1"/>
    <xf numFmtId="172" fontId="22" fillId="0" borderId="0" xfId="0" applyNumberFormat="1" applyFont="1" applyAlignment="1">
      <alignment horizontal="center"/>
    </xf>
    <xf numFmtId="10" fontId="23" fillId="0" borderId="0" xfId="2" applyNumberFormat="1" applyFont="1" applyFill="1" applyBorder="1" applyAlignment="1">
      <alignment horizontal="right" vertical="center"/>
    </xf>
    <xf numFmtId="4" fontId="23" fillId="0" borderId="0" xfId="1" applyNumberFormat="1" applyFont="1" applyFill="1" applyBorder="1" applyAlignment="1">
      <alignment horizontal="right" vertical="center"/>
    </xf>
    <xf numFmtId="172" fontId="23" fillId="0" borderId="70" xfId="0" applyNumberFormat="1" applyFont="1" applyBorder="1" applyAlignment="1">
      <alignment horizontal="center" vertical="center"/>
    </xf>
    <xf numFmtId="173" fontId="23" fillId="0" borderId="70" xfId="0" quotePrefix="1" applyNumberFormat="1" applyFont="1" applyBorder="1" applyAlignment="1">
      <alignment horizontal="right" vertical="center"/>
    </xf>
    <xf numFmtId="10" fontId="23" fillId="0" borderId="71" xfId="2" applyNumberFormat="1" applyFont="1" applyFill="1" applyBorder="1" applyAlignment="1">
      <alignment horizontal="center" vertical="center"/>
    </xf>
    <xf numFmtId="10" fontId="23" fillId="0" borderId="47" xfId="2" applyNumberFormat="1" applyFont="1" applyFill="1" applyBorder="1" applyAlignment="1">
      <alignment horizontal="right" vertical="center"/>
    </xf>
    <xf numFmtId="4" fontId="23" fillId="0" borderId="46" xfId="1" applyNumberFormat="1" applyFont="1" applyFill="1" applyBorder="1" applyAlignment="1">
      <alignment horizontal="right" vertical="center"/>
    </xf>
    <xf numFmtId="4" fontId="23" fillId="0" borderId="21" xfId="1" applyNumberFormat="1" applyFont="1" applyFill="1" applyBorder="1" applyAlignment="1">
      <alignment horizontal="right" vertical="center"/>
    </xf>
    <xf numFmtId="172" fontId="23" fillId="0" borderId="72" xfId="0" applyNumberFormat="1" applyFont="1" applyBorder="1" applyAlignment="1">
      <alignment horizontal="center" vertical="center"/>
    </xf>
    <xf numFmtId="10" fontId="23" fillId="0" borderId="72" xfId="4" applyNumberFormat="1" applyFont="1" applyFill="1" applyBorder="1" applyAlignment="1">
      <alignment horizontal="left" vertical="center"/>
    </xf>
    <xf numFmtId="173" fontId="23" fillId="0" borderId="72" xfId="0" applyNumberFormat="1" applyFont="1" applyBorder="1" applyAlignment="1">
      <alignment horizontal="right" vertical="center"/>
    </xf>
    <xf numFmtId="10" fontId="23" fillId="0" borderId="44" xfId="2" applyNumberFormat="1" applyFont="1" applyFill="1" applyBorder="1" applyAlignment="1">
      <alignment horizontal="right" vertical="center"/>
    </xf>
    <xf numFmtId="4" fontId="23" fillId="0" borderId="45" xfId="1" applyNumberFormat="1" applyFont="1" applyFill="1" applyBorder="1" applyAlignment="1">
      <alignment horizontal="right" vertical="center"/>
    </xf>
    <xf numFmtId="4" fontId="23" fillId="0" borderId="5" xfId="1" applyNumberFormat="1" applyFont="1" applyFill="1" applyBorder="1" applyAlignment="1">
      <alignment horizontal="right" vertical="center"/>
    </xf>
    <xf numFmtId="172" fontId="23" fillId="0" borderId="73" xfId="0" applyNumberFormat="1" applyFont="1" applyBorder="1" applyAlignment="1">
      <alignment horizontal="center" vertical="center"/>
    </xf>
    <xf numFmtId="10" fontId="23" fillId="0" borderId="73" xfId="4" applyNumberFormat="1" applyFont="1" applyFill="1" applyBorder="1" applyAlignment="1">
      <alignment horizontal="left" vertical="center"/>
    </xf>
    <xf numFmtId="39" fontId="23" fillId="0" borderId="73" xfId="0" applyNumberFormat="1" applyFont="1" applyBorder="1" applyAlignment="1">
      <alignment horizontal="right" vertical="center"/>
    </xf>
    <xf numFmtId="4" fontId="23" fillId="0" borderId="52" xfId="1" applyNumberFormat="1" applyFont="1" applyFill="1" applyBorder="1" applyAlignment="1">
      <alignment horizontal="right" vertical="center"/>
    </xf>
    <xf numFmtId="4" fontId="23" fillId="0" borderId="74" xfId="1" applyNumberFormat="1" applyFont="1" applyFill="1" applyBorder="1" applyAlignment="1">
      <alignment horizontal="right" vertical="center"/>
    </xf>
    <xf numFmtId="10" fontId="23" fillId="8" borderId="0" xfId="2" applyNumberFormat="1" applyFont="1" applyFill="1" applyBorder="1" applyAlignment="1">
      <alignment horizontal="right" vertical="center"/>
    </xf>
    <xf numFmtId="4" fontId="23" fillId="8" borderId="0" xfId="1" applyNumberFormat="1" applyFont="1" applyFill="1" applyBorder="1" applyAlignment="1">
      <alignment horizontal="right" vertical="center"/>
    </xf>
    <xf numFmtId="39" fontId="23" fillId="8" borderId="0" xfId="0" applyNumberFormat="1" applyFont="1" applyFill="1" applyAlignment="1">
      <alignment horizontal="right" vertical="center"/>
    </xf>
    <xf numFmtId="172" fontId="22" fillId="9" borderId="67" xfId="0" applyNumberFormat="1" applyFont="1" applyFill="1" applyBorder="1" applyAlignment="1">
      <alignment vertical="center"/>
    </xf>
    <xf numFmtId="10" fontId="22" fillId="8" borderId="0" xfId="5" applyNumberFormat="1" applyFont="1" applyFill="1" applyBorder="1" applyAlignment="1">
      <alignment horizontal="right" vertical="center"/>
    </xf>
    <xf numFmtId="39" fontId="22" fillId="8" borderId="0" xfId="5" applyNumberFormat="1" applyFont="1" applyFill="1" applyBorder="1" applyAlignment="1">
      <alignment horizontal="right" vertical="center"/>
    </xf>
    <xf numFmtId="172" fontId="10" fillId="8" borderId="0" xfId="0" applyNumberFormat="1" applyFont="1" applyFill="1" applyAlignment="1">
      <alignment vertical="center"/>
    </xf>
    <xf numFmtId="172" fontId="10" fillId="0" borderId="0" xfId="0" applyNumberFormat="1" applyFont="1" applyAlignment="1">
      <alignment vertical="center"/>
    </xf>
    <xf numFmtId="172" fontId="22" fillId="9" borderId="48" xfId="0" applyNumberFormat="1" applyFont="1" applyFill="1" applyBorder="1" applyAlignment="1">
      <alignment vertical="center"/>
    </xf>
    <xf numFmtId="172" fontId="22" fillId="9" borderId="34" xfId="0" applyNumberFormat="1" applyFont="1" applyFill="1" applyBorder="1" applyAlignment="1">
      <alignment horizontal="center" vertical="center"/>
    </xf>
    <xf numFmtId="39" fontId="22" fillId="0" borderId="0" xfId="0" applyNumberFormat="1" applyFont="1" applyAlignment="1">
      <alignment horizontal="right" vertical="center"/>
    </xf>
    <xf numFmtId="173" fontId="22" fillId="0" borderId="0" xfId="0" applyNumberFormat="1" applyFont="1" applyAlignment="1">
      <alignment horizontal="right" vertical="center"/>
    </xf>
    <xf numFmtId="172" fontId="22" fillId="0" borderId="0" xfId="0" applyNumberFormat="1" applyFont="1" applyAlignment="1">
      <alignment horizontal="right" vertical="center"/>
    </xf>
    <xf numFmtId="173" fontId="22" fillId="8" borderId="31" xfId="1" applyNumberFormat="1" applyFont="1" applyFill="1" applyBorder="1" applyAlignment="1">
      <alignment horizontal="right" vertical="center"/>
    </xf>
    <xf numFmtId="172" fontId="22" fillId="8" borderId="32" xfId="0" applyNumberFormat="1" applyFont="1" applyFill="1" applyBorder="1" applyAlignment="1">
      <alignment horizontal="right" vertical="center"/>
    </xf>
    <xf numFmtId="39" fontId="22" fillId="8" borderId="32" xfId="0" applyNumberFormat="1" applyFont="1" applyFill="1" applyBorder="1" applyAlignment="1">
      <alignment horizontal="right" vertical="center"/>
    </xf>
    <xf numFmtId="173" fontId="22" fillId="8" borderId="32" xfId="0" applyNumberFormat="1" applyFont="1" applyFill="1" applyBorder="1" applyAlignment="1">
      <alignment horizontal="right" vertical="center"/>
    </xf>
    <xf numFmtId="173" fontId="22" fillId="8" borderId="39" xfId="0" applyNumberFormat="1" applyFont="1" applyFill="1" applyBorder="1" applyAlignment="1">
      <alignment horizontal="right" vertical="center"/>
    </xf>
    <xf numFmtId="173" fontId="22" fillId="8" borderId="48" xfId="1" applyNumberFormat="1" applyFont="1" applyFill="1" applyBorder="1" applyAlignment="1">
      <alignment horizontal="right" vertical="center"/>
    </xf>
    <xf numFmtId="172" fontId="22" fillId="8" borderId="34" xfId="0" applyNumberFormat="1" applyFont="1" applyFill="1" applyBorder="1" applyAlignment="1">
      <alignment horizontal="right" vertical="center"/>
    </xf>
    <xf numFmtId="39" fontId="22" fillId="8" borderId="34" xfId="0" applyNumberFormat="1" applyFont="1" applyFill="1" applyBorder="1" applyAlignment="1">
      <alignment horizontal="right" vertical="center"/>
    </xf>
    <xf numFmtId="173" fontId="22" fillId="8" borderId="34" xfId="0" applyNumberFormat="1" applyFont="1" applyFill="1" applyBorder="1" applyAlignment="1">
      <alignment horizontal="right" vertical="center"/>
    </xf>
    <xf numFmtId="172" fontId="16" fillId="8" borderId="34" xfId="0" applyNumberFormat="1" applyFont="1" applyFill="1" applyBorder="1"/>
    <xf numFmtId="172" fontId="19" fillId="8" borderId="34" xfId="0" applyNumberFormat="1" applyFont="1" applyFill="1" applyBorder="1" applyAlignment="1">
      <alignment horizontal="center" vertical="center"/>
    </xf>
    <xf numFmtId="4" fontId="16" fillId="8" borderId="34" xfId="0" applyNumberFormat="1" applyFont="1" applyFill="1" applyBorder="1"/>
    <xf numFmtId="173" fontId="22" fillId="8" borderId="62" xfId="0" applyNumberFormat="1" applyFont="1" applyFill="1" applyBorder="1" applyAlignment="1">
      <alignment horizontal="right" vertical="center"/>
    </xf>
    <xf numFmtId="172" fontId="22" fillId="0" borderId="27" xfId="0" applyNumberFormat="1" applyFont="1" applyBorder="1" applyAlignment="1">
      <alignment horizontal="center" vertical="center"/>
    </xf>
    <xf numFmtId="172" fontId="22" fillId="0" borderId="29" xfId="0" applyNumberFormat="1" applyFont="1" applyBorder="1" applyAlignment="1">
      <alignment horizontal="center" vertical="center"/>
    </xf>
    <xf numFmtId="172" fontId="22" fillId="0" borderId="57" xfId="0" applyNumberFormat="1" applyFont="1" applyBorder="1" applyAlignment="1">
      <alignment horizontal="center" vertical="center"/>
    </xf>
    <xf numFmtId="4" fontId="23" fillId="0" borderId="76" xfId="1" applyNumberFormat="1" applyFont="1" applyFill="1" applyBorder="1" applyAlignment="1">
      <alignment horizontal="right" vertical="center"/>
    </xf>
    <xf numFmtId="4" fontId="23" fillId="0" borderId="54" xfId="1" applyNumberFormat="1" applyFont="1" applyFill="1" applyBorder="1" applyAlignment="1">
      <alignment horizontal="right" vertical="center"/>
    </xf>
    <xf numFmtId="172" fontId="22" fillId="9" borderId="75" xfId="0" applyNumberFormat="1" applyFont="1" applyFill="1" applyBorder="1" applyAlignment="1">
      <alignment vertical="center"/>
    </xf>
    <xf numFmtId="39" fontId="22" fillId="9" borderId="51" xfId="5" applyNumberFormat="1" applyFont="1" applyFill="1" applyBorder="1" applyAlignment="1">
      <alignment horizontal="right" vertical="center"/>
    </xf>
    <xf numFmtId="172" fontId="22" fillId="9" borderId="22" xfId="0" applyNumberFormat="1" applyFont="1" applyFill="1" applyBorder="1" applyAlignment="1">
      <alignment vertical="center"/>
    </xf>
    <xf numFmtId="172" fontId="22" fillId="9" borderId="16" xfId="0" applyNumberFormat="1" applyFont="1" applyFill="1" applyBorder="1" applyAlignment="1">
      <alignment horizontal="center" vertical="center"/>
    </xf>
    <xf numFmtId="173" fontId="22" fillId="0" borderId="53" xfId="0" applyNumberFormat="1" applyFont="1" applyBorder="1" applyAlignment="1">
      <alignment horizontal="right" vertical="center"/>
    </xf>
    <xf numFmtId="172" fontId="10" fillId="8" borderId="33" xfId="0" applyNumberFormat="1" applyFont="1" applyFill="1" applyBorder="1" applyAlignment="1">
      <alignment vertical="center"/>
    </xf>
    <xf numFmtId="173" fontId="21" fillId="8" borderId="0" xfId="1" applyNumberFormat="1" applyFont="1" applyFill="1" applyBorder="1" applyAlignment="1">
      <alignment horizontal="right" vertical="center"/>
    </xf>
    <xf numFmtId="172" fontId="21" fillId="8" borderId="0" xfId="0" applyNumberFormat="1" applyFont="1" applyFill="1" applyAlignment="1">
      <alignment horizontal="right" vertical="center"/>
    </xf>
    <xf numFmtId="39" fontId="21" fillId="8" borderId="0" xfId="0" applyNumberFormat="1" applyFont="1" applyFill="1" applyAlignment="1">
      <alignment horizontal="right" vertical="center"/>
    </xf>
    <xf numFmtId="173" fontId="21" fillId="8" borderId="0" xfId="0" applyNumberFormat="1" applyFont="1" applyFill="1" applyAlignment="1">
      <alignment horizontal="right" vertical="center"/>
    </xf>
    <xf numFmtId="173" fontId="21" fillId="8" borderId="26" xfId="0" applyNumberFormat="1" applyFont="1" applyFill="1" applyBorder="1" applyAlignment="1">
      <alignment horizontal="right" vertical="center"/>
    </xf>
    <xf numFmtId="39" fontId="14" fillId="8" borderId="0" xfId="0" applyNumberFormat="1" applyFont="1" applyFill="1" applyAlignment="1">
      <alignment horizontal="right" vertical="center"/>
    </xf>
    <xf numFmtId="173" fontId="14" fillId="8" borderId="0" xfId="0" applyNumberFormat="1" applyFont="1" applyFill="1" applyAlignment="1">
      <alignment horizontal="right" vertical="center"/>
    </xf>
    <xf numFmtId="172" fontId="16" fillId="0" borderId="0" xfId="0" applyNumberFormat="1" applyFont="1"/>
    <xf numFmtId="172" fontId="16" fillId="8" borderId="48" xfId="0" applyNumberFormat="1" applyFont="1" applyFill="1" applyBorder="1"/>
    <xf numFmtId="165" fontId="16" fillId="8" borderId="34" xfId="0" applyNumberFormat="1" applyFont="1" applyFill="1" applyBorder="1"/>
    <xf numFmtId="172" fontId="16" fillId="8" borderId="62" xfId="0" applyNumberFormat="1" applyFont="1" applyFill="1" applyBorder="1"/>
    <xf numFmtId="39" fontId="10" fillId="0" borderId="0" xfId="0" applyNumberFormat="1" applyFont="1"/>
    <xf numFmtId="173" fontId="10" fillId="0" borderId="0" xfId="0" applyNumberFormat="1" applyFont="1"/>
    <xf numFmtId="14" fontId="22" fillId="0" borderId="0" xfId="0" applyNumberFormat="1" applyFont="1" applyAlignment="1">
      <alignment horizontal="center"/>
    </xf>
    <xf numFmtId="14" fontId="23" fillId="0" borderId="0" xfId="1" applyNumberFormat="1" applyFont="1" applyFill="1" applyBorder="1" applyAlignment="1">
      <alignment horizontal="right" vertical="center"/>
    </xf>
    <xf numFmtId="2" fontId="23" fillId="0" borderId="0" xfId="1" applyNumberFormat="1" applyFont="1" applyFill="1" applyBorder="1" applyAlignment="1">
      <alignment horizontal="right" vertical="center"/>
    </xf>
    <xf numFmtId="2" fontId="23" fillId="0" borderId="0" xfId="2" applyNumberFormat="1" applyFont="1" applyFill="1" applyBorder="1" applyAlignment="1">
      <alignment horizontal="right" vertical="center"/>
    </xf>
    <xf numFmtId="174" fontId="23" fillId="0" borderId="0" xfId="1" applyNumberFormat="1" applyFont="1" applyFill="1" applyBorder="1" applyAlignment="1">
      <alignment horizontal="right" vertical="center"/>
    </xf>
    <xf numFmtId="175" fontId="23" fillId="0" borderId="0" xfId="2" applyNumberFormat="1" applyFont="1" applyFill="1" applyBorder="1" applyAlignment="1">
      <alignment horizontal="right" vertical="center"/>
    </xf>
    <xf numFmtId="174" fontId="23" fillId="10" borderId="0" xfId="1" applyNumberFormat="1" applyFont="1" applyFill="1" applyBorder="1" applyAlignment="1">
      <alignment horizontal="right" vertical="center"/>
    </xf>
    <xf numFmtId="10" fontId="23" fillId="10" borderId="0" xfId="2" applyNumberFormat="1" applyFont="1" applyFill="1" applyBorder="1" applyAlignment="1">
      <alignment horizontal="right" vertical="center"/>
    </xf>
    <xf numFmtId="170" fontId="3" fillId="0" borderId="0" xfId="0" applyNumberFormat="1" applyFont="1"/>
    <xf numFmtId="10" fontId="22" fillId="0" borderId="48" xfId="0" applyNumberFormat="1" applyFont="1" applyBorder="1" applyAlignment="1">
      <alignment horizontal="right" vertical="center"/>
    </xf>
    <xf numFmtId="10" fontId="22" fillId="9" borderId="38" xfId="5" applyNumberFormat="1" applyFont="1" applyFill="1" applyBorder="1" applyAlignment="1">
      <alignment horizontal="right" vertical="center"/>
    </xf>
    <xf numFmtId="10" fontId="22" fillId="0" borderId="22" xfId="0" applyNumberFormat="1" applyFont="1" applyBorder="1" applyAlignment="1">
      <alignment horizontal="right" vertical="center"/>
    </xf>
    <xf numFmtId="173" fontId="22" fillId="0" borderId="51" xfId="0" applyNumberFormat="1" applyFont="1" applyBorder="1" applyAlignment="1">
      <alignment horizontal="right" vertical="center"/>
    </xf>
    <xf numFmtId="10" fontId="22" fillId="0" borderId="23" xfId="0" applyNumberFormat="1" applyFont="1" applyBorder="1" applyAlignment="1">
      <alignment horizontal="right" vertical="center"/>
    </xf>
    <xf numFmtId="173" fontId="22" fillId="0" borderId="67" xfId="1" applyNumberFormat="1" applyFont="1" applyFill="1" applyBorder="1" applyAlignment="1">
      <alignment horizontal="right" vertical="center"/>
    </xf>
    <xf numFmtId="172" fontId="22" fillId="0" borderId="67" xfId="0" applyNumberFormat="1" applyFont="1" applyBorder="1" applyAlignment="1">
      <alignment horizontal="right" vertical="center"/>
    </xf>
    <xf numFmtId="39" fontId="22" fillId="0" borderId="53" xfId="0" applyNumberFormat="1" applyFont="1" applyBorder="1" applyAlignment="1">
      <alignment horizontal="right" vertical="center"/>
    </xf>
    <xf numFmtId="173" fontId="22" fillId="9" borderId="77" xfId="1" applyNumberFormat="1" applyFont="1" applyFill="1" applyBorder="1" applyAlignment="1">
      <alignment horizontal="right" vertical="center"/>
    </xf>
    <xf numFmtId="10" fontId="22" fillId="9" borderId="77" xfId="5" applyNumberFormat="1" applyFont="1" applyFill="1" applyBorder="1" applyAlignment="1">
      <alignment horizontal="center" vertical="center"/>
    </xf>
    <xf numFmtId="168" fontId="1" fillId="0" borderId="1" xfId="1" applyNumberFormat="1" applyFont="1" applyFill="1" applyBorder="1" applyAlignment="1">
      <alignment horizontal="right" vertical="center"/>
    </xf>
    <xf numFmtId="168" fontId="1" fillId="0" borderId="1" xfId="1" applyNumberFormat="1" applyFont="1" applyFill="1" applyBorder="1" applyAlignment="1">
      <alignment horizontal="center" vertical="center"/>
    </xf>
    <xf numFmtId="168" fontId="1" fillId="0" borderId="0" xfId="1" applyNumberFormat="1" applyFont="1" applyFill="1"/>
    <xf numFmtId="168" fontId="3" fillId="0" borderId="0" xfId="1" applyNumberFormat="1" applyFont="1" applyFill="1"/>
    <xf numFmtId="164" fontId="4" fillId="7" borderId="12" xfId="0" applyNumberFormat="1" applyFont="1" applyFill="1" applyBorder="1" applyAlignment="1">
      <alignment vertical="center" wrapText="1"/>
    </xf>
    <xf numFmtId="164" fontId="4" fillId="7" borderId="0" xfId="0" applyNumberFormat="1" applyFont="1" applyFill="1" applyAlignment="1">
      <alignment vertical="center" wrapText="1"/>
    </xf>
    <xf numFmtId="164" fontId="4" fillId="7" borderId="7" xfId="0" applyNumberFormat="1" applyFont="1" applyFill="1" applyBorder="1" applyAlignment="1">
      <alignment vertical="center" wrapText="1"/>
    </xf>
    <xf numFmtId="0" fontId="3" fillId="3" borderId="1" xfId="3" applyFont="1" applyFill="1" applyBorder="1" applyAlignment="1">
      <alignment horizontal="left" vertical="center"/>
    </xf>
    <xf numFmtId="0" fontId="1" fillId="3" borderId="1" xfId="3" applyFont="1" applyFill="1" applyBorder="1" applyAlignment="1">
      <alignment horizontal="center" vertical="center"/>
    </xf>
    <xf numFmtId="0" fontId="1" fillId="3" borderId="0" xfId="3" applyFont="1" applyFill="1"/>
    <xf numFmtId="166" fontId="1" fillId="0" borderId="0" xfId="0" applyNumberFormat="1" applyFont="1" applyAlignment="1">
      <alignment vertical="center"/>
    </xf>
    <xf numFmtId="176" fontId="1" fillId="0" borderId="0" xfId="0" applyNumberFormat="1" applyFont="1"/>
    <xf numFmtId="43" fontId="8" fillId="0" borderId="0" xfId="1" applyFont="1" applyFill="1" applyBorder="1"/>
    <xf numFmtId="43" fontId="4" fillId="0" borderId="1" xfId="1" applyFont="1" applyFill="1" applyBorder="1" applyAlignment="1">
      <alignment horizontal="right" vertical="center"/>
    </xf>
    <xf numFmtId="43" fontId="1" fillId="0" borderId="1" xfId="1" applyFont="1" applyFill="1" applyBorder="1" applyAlignment="1">
      <alignment horizontal="center" vertical="center"/>
    </xf>
    <xf numFmtId="43" fontId="1" fillId="0" borderId="0" xfId="1" applyFont="1" applyFill="1" applyBorder="1"/>
    <xf numFmtId="43" fontId="3" fillId="0" borderId="0" xfId="1" applyFont="1" applyFill="1" applyBorder="1"/>
    <xf numFmtId="43" fontId="3" fillId="0" borderId="0" xfId="1" applyFont="1" applyFill="1"/>
    <xf numFmtId="43" fontId="1" fillId="0" borderId="0" xfId="1" applyFont="1" applyFill="1"/>
    <xf numFmtId="165" fontId="2" fillId="4" borderId="1" xfId="0" applyNumberFormat="1" applyFont="1" applyFill="1" applyBorder="1" applyAlignment="1" applyProtection="1">
      <alignment vertical="center"/>
      <protection locked="0"/>
    </xf>
    <xf numFmtId="165" fontId="2" fillId="4" borderId="1" xfId="0" applyNumberFormat="1" applyFont="1" applyFill="1" applyBorder="1" applyAlignment="1">
      <alignment horizontal="right" vertical="center"/>
    </xf>
    <xf numFmtId="0" fontId="5" fillId="0" borderId="0" xfId="3" applyFont="1"/>
    <xf numFmtId="171" fontId="5" fillId="6" borderId="0" xfId="0" applyNumberFormat="1" applyFont="1" applyFill="1" applyProtection="1">
      <protection locked="0"/>
    </xf>
    <xf numFmtId="170" fontId="5" fillId="0" borderId="0" xfId="0" applyNumberFormat="1" applyFont="1" applyProtection="1">
      <protection locked="0"/>
    </xf>
    <xf numFmtId="171" fontId="5" fillId="6" borderId="0" xfId="0" applyNumberFormat="1" applyFont="1" applyFill="1"/>
    <xf numFmtId="43" fontId="1" fillId="0" borderId="0" xfId="1" applyFont="1" applyProtection="1">
      <protection locked="0"/>
    </xf>
    <xf numFmtId="171" fontId="4" fillId="4" borderId="1" xfId="0" applyNumberFormat="1" applyFont="1" applyFill="1" applyBorder="1" applyAlignment="1" applyProtection="1">
      <alignment vertical="center"/>
      <protection locked="0"/>
    </xf>
    <xf numFmtId="0" fontId="1" fillId="0" borderId="17" xfId="0" applyFont="1" applyBorder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177" fontId="3" fillId="0" borderId="1" xfId="0" applyNumberFormat="1" applyFont="1" applyBorder="1" applyAlignment="1">
      <alignment horizontal="center" vertical="center"/>
    </xf>
    <xf numFmtId="0" fontId="3" fillId="0" borderId="17" xfId="0" applyFont="1" applyBorder="1"/>
    <xf numFmtId="177" fontId="3" fillId="0" borderId="17" xfId="0" applyNumberFormat="1" applyFont="1" applyBorder="1" applyAlignment="1">
      <alignment horizontal="center" vertical="center"/>
    </xf>
    <xf numFmtId="171" fontId="2" fillId="4" borderId="1" xfId="0" applyNumberFormat="1" applyFont="1" applyFill="1" applyBorder="1" applyAlignment="1" applyProtection="1">
      <alignment horizontal="center" vertical="center"/>
      <protection locked="0"/>
    </xf>
    <xf numFmtId="171" fontId="2" fillId="4" borderId="1" xfId="0" applyNumberFormat="1" applyFont="1" applyFill="1" applyBorder="1" applyAlignment="1">
      <alignment horizontal="center" vertical="center" wrapText="1"/>
    </xf>
    <xf numFmtId="0" fontId="3" fillId="0" borderId="17" xfId="0" applyFont="1" applyBorder="1" applyAlignment="1">
      <alignment horizontal="center"/>
    </xf>
    <xf numFmtId="170" fontId="1" fillId="3" borderId="1" xfId="0" applyNumberFormat="1" applyFont="1" applyFill="1" applyBorder="1" applyAlignment="1" applyProtection="1">
      <alignment horizontal="center" vertical="center" wrapText="1"/>
      <protection locked="0"/>
    </xf>
    <xf numFmtId="171" fontId="2" fillId="3" borderId="1" xfId="0" applyNumberFormat="1" applyFont="1" applyFill="1" applyBorder="1" applyAlignment="1" applyProtection="1">
      <alignment vertical="center" wrapText="1"/>
      <protection locked="0"/>
    </xf>
    <xf numFmtId="171" fontId="1" fillId="3" borderId="1" xfId="0" applyNumberFormat="1" applyFont="1" applyFill="1" applyBorder="1" applyAlignment="1" applyProtection="1">
      <alignment vertical="center"/>
      <protection locked="0"/>
    </xf>
    <xf numFmtId="171" fontId="1" fillId="0" borderId="7" xfId="0" applyNumberFormat="1" applyFont="1" applyBorder="1" applyAlignment="1">
      <alignment vertical="center"/>
    </xf>
    <xf numFmtId="171" fontId="1" fillId="3" borderId="1" xfId="0" applyNumberFormat="1" applyFont="1" applyFill="1" applyBorder="1" applyAlignment="1">
      <alignment vertical="center"/>
    </xf>
    <xf numFmtId="171" fontId="2" fillId="4" borderId="7" xfId="0" applyNumberFormat="1" applyFont="1" applyFill="1" applyBorder="1" applyAlignment="1" applyProtection="1">
      <alignment vertical="center"/>
      <protection locked="0"/>
    </xf>
    <xf numFmtId="171" fontId="2" fillId="3" borderId="7" xfId="0" applyNumberFormat="1" applyFont="1" applyFill="1" applyBorder="1" applyAlignment="1" applyProtection="1">
      <alignment horizontal="center" vertical="center" wrapText="1"/>
      <protection locked="0"/>
    </xf>
    <xf numFmtId="171" fontId="1" fillId="3" borderId="7" xfId="0" applyNumberFormat="1" applyFont="1" applyFill="1" applyBorder="1" applyAlignment="1" applyProtection="1">
      <alignment horizontal="center" vertical="center"/>
      <protection locked="0"/>
    </xf>
    <xf numFmtId="171" fontId="2" fillId="3" borderId="9" xfId="0" applyNumberFormat="1" applyFont="1" applyFill="1" applyBorder="1" applyAlignment="1" applyProtection="1">
      <alignment vertical="center" wrapText="1"/>
      <protection locked="0"/>
    </xf>
    <xf numFmtId="171" fontId="2" fillId="3" borderId="11" xfId="0" applyNumberFormat="1" applyFont="1" applyFill="1" applyBorder="1" applyAlignment="1" applyProtection="1">
      <alignment vertical="center" wrapText="1"/>
      <protection locked="0"/>
    </xf>
    <xf numFmtId="171" fontId="2" fillId="3" borderId="12" xfId="0" applyNumberFormat="1" applyFont="1" applyFill="1" applyBorder="1" applyAlignment="1" applyProtection="1">
      <alignment vertical="center" wrapText="1"/>
      <protection locked="0"/>
    </xf>
    <xf numFmtId="171" fontId="2" fillId="3" borderId="13" xfId="0" applyNumberFormat="1" applyFont="1" applyFill="1" applyBorder="1" applyAlignment="1" applyProtection="1">
      <alignment vertical="center" wrapText="1"/>
      <protection locked="0"/>
    </xf>
    <xf numFmtId="171" fontId="2" fillId="3" borderId="3" xfId="0" applyNumberFormat="1" applyFont="1" applyFill="1" applyBorder="1" applyAlignment="1" applyProtection="1">
      <alignment vertical="center" wrapText="1"/>
      <protection locked="0"/>
    </xf>
    <xf numFmtId="171" fontId="2" fillId="3" borderId="15" xfId="0" applyNumberFormat="1" applyFont="1" applyFill="1" applyBorder="1" applyAlignment="1" applyProtection="1">
      <alignment vertical="center" wrapText="1"/>
      <protection locked="0"/>
    </xf>
    <xf numFmtId="171" fontId="2" fillId="4" borderId="1" xfId="0" applyNumberFormat="1" applyFont="1" applyFill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171" fontId="1" fillId="0" borderId="27" xfId="0" applyNumberFormat="1" applyFont="1" applyBorder="1"/>
    <xf numFmtId="171" fontId="1" fillId="0" borderId="28" xfId="0" applyNumberFormat="1" applyFont="1" applyBorder="1"/>
    <xf numFmtId="171" fontId="3" fillId="0" borderId="28" xfId="0" applyNumberFormat="1" applyFont="1" applyBorder="1"/>
    <xf numFmtId="171" fontId="1" fillId="0" borderId="29" xfId="0" applyNumberFormat="1" applyFont="1" applyBorder="1"/>
    <xf numFmtId="170" fontId="2" fillId="4" borderId="1" xfId="0" applyNumberFormat="1" applyFont="1" applyFill="1" applyBorder="1" applyAlignment="1" applyProtection="1">
      <alignment horizontal="center" vertical="center"/>
      <protection locked="0"/>
    </xf>
    <xf numFmtId="170" fontId="2" fillId="4" borderId="1" xfId="0" applyNumberFormat="1" applyFont="1" applyFill="1" applyBorder="1" applyAlignment="1" applyProtection="1">
      <alignment horizontal="center" vertical="center" wrapText="1"/>
      <protection locked="0"/>
    </xf>
    <xf numFmtId="171" fontId="2" fillId="4" borderId="1" xfId="0" applyNumberFormat="1" applyFont="1" applyFill="1" applyBorder="1" applyAlignment="1" applyProtection="1">
      <alignment horizontal="center" vertical="center" wrapText="1"/>
      <protection locked="0"/>
    </xf>
    <xf numFmtId="171" fontId="2" fillId="4" borderId="1" xfId="0" applyNumberFormat="1" applyFont="1" applyFill="1" applyBorder="1" applyAlignment="1" applyProtection="1">
      <alignment horizontal="center" wrapText="1"/>
      <protection locked="0"/>
    </xf>
    <xf numFmtId="0" fontId="2" fillId="4" borderId="1" xfId="0" applyFont="1" applyFill="1" applyBorder="1" applyAlignment="1">
      <alignment horizontal="center" vertical="center" wrapText="1"/>
    </xf>
    <xf numFmtId="0" fontId="1" fillId="3" borderId="12" xfId="0" applyFont="1" applyFill="1" applyBorder="1" applyAlignment="1">
      <alignment vertical="center"/>
    </xf>
    <xf numFmtId="169" fontId="1" fillId="3" borderId="41" xfId="0" applyNumberFormat="1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171" fontId="2" fillId="4" borderId="42" xfId="0" applyNumberFormat="1" applyFont="1" applyFill="1" applyBorder="1" applyAlignment="1">
      <alignment horizontal="center" vertical="center" wrapText="1"/>
    </xf>
    <xf numFmtId="171" fontId="1" fillId="3" borderId="42" xfId="0" applyNumberFormat="1" applyFont="1" applyFill="1" applyBorder="1" applyAlignment="1">
      <alignment horizontal="right" vertical="center"/>
    </xf>
    <xf numFmtId="171" fontId="2" fillId="4" borderId="42" xfId="0" applyNumberFormat="1" applyFont="1" applyFill="1" applyBorder="1" applyAlignment="1">
      <alignment horizontal="right" vertical="center"/>
    </xf>
    <xf numFmtId="171" fontId="2" fillId="3" borderId="42" xfId="0" applyNumberFormat="1" applyFont="1" applyFill="1" applyBorder="1" applyAlignment="1" applyProtection="1">
      <alignment horizontal="center" vertical="center"/>
      <protection locked="0"/>
    </xf>
    <xf numFmtId="169" fontId="1" fillId="3" borderId="41" xfId="0" applyNumberFormat="1" applyFont="1" applyFill="1" applyBorder="1" applyAlignment="1" applyProtection="1">
      <alignment horizontal="center" vertical="center"/>
      <protection locked="0"/>
    </xf>
    <xf numFmtId="171" fontId="1" fillId="3" borderId="42" xfId="0" applyNumberFormat="1" applyFont="1" applyFill="1" applyBorder="1" applyAlignment="1" applyProtection="1">
      <alignment horizontal="center" vertical="center"/>
      <protection locked="0"/>
    </xf>
    <xf numFmtId="171" fontId="2" fillId="4" borderId="42" xfId="0" applyNumberFormat="1" applyFont="1" applyFill="1" applyBorder="1" applyAlignment="1" applyProtection="1">
      <alignment vertical="center"/>
      <protection locked="0"/>
    </xf>
    <xf numFmtId="171" fontId="2" fillId="0" borderId="42" xfId="0" applyNumberFormat="1" applyFont="1" applyBorder="1" applyAlignment="1">
      <alignment horizontal="center" vertical="center"/>
    </xf>
    <xf numFmtId="171" fontId="4" fillId="4" borderId="42" xfId="0" applyNumberFormat="1" applyFont="1" applyFill="1" applyBorder="1" applyAlignment="1">
      <alignment horizontal="right" vertical="center"/>
    </xf>
    <xf numFmtId="168" fontId="2" fillId="0" borderId="1" xfId="1" applyNumberFormat="1" applyFont="1" applyFill="1" applyBorder="1" applyAlignment="1">
      <alignment horizontal="center" vertical="center" wrapText="1"/>
    </xf>
    <xf numFmtId="168" fontId="4" fillId="0" borderId="1" xfId="1" applyNumberFormat="1" applyFont="1" applyBorder="1" applyAlignment="1">
      <alignment horizontal="center" vertical="center"/>
    </xf>
    <xf numFmtId="49" fontId="4" fillId="3" borderId="1" xfId="0" applyNumberFormat="1" applyFont="1" applyFill="1" applyBorder="1" applyAlignment="1">
      <alignment horizontal="right" vertical="center"/>
    </xf>
    <xf numFmtId="165" fontId="1" fillId="0" borderId="1" xfId="3" applyNumberFormat="1" applyFont="1" applyBorder="1" applyAlignment="1">
      <alignment horizontal="right" vertical="center"/>
    </xf>
    <xf numFmtId="165" fontId="1" fillId="3" borderId="1" xfId="3" applyNumberFormat="1" applyFont="1" applyFill="1" applyBorder="1" applyAlignment="1">
      <alignment horizontal="right" vertical="center"/>
    </xf>
    <xf numFmtId="0" fontId="2" fillId="4" borderId="7" xfId="0" applyFont="1" applyFill="1" applyBorder="1" applyAlignment="1">
      <alignment horizontal="center" vertical="center" wrapText="1"/>
    </xf>
    <xf numFmtId="171" fontId="1" fillId="3" borderId="7" xfId="0" applyNumberFormat="1" applyFont="1" applyFill="1" applyBorder="1" applyAlignment="1">
      <alignment horizontal="center" vertical="center"/>
    </xf>
    <xf numFmtId="166" fontId="1" fillId="0" borderId="7" xfId="0" applyNumberFormat="1" applyFont="1" applyBorder="1" applyAlignment="1">
      <alignment horizontal="right" vertical="center"/>
    </xf>
    <xf numFmtId="166" fontId="2" fillId="3" borderId="7" xfId="0" applyNumberFormat="1" applyFont="1" applyFill="1" applyBorder="1" applyAlignment="1">
      <alignment vertical="center"/>
    </xf>
    <xf numFmtId="164" fontId="4" fillId="0" borderId="0" xfId="0" applyNumberFormat="1" applyFont="1" applyAlignment="1">
      <alignment vertical="center" wrapText="1"/>
    </xf>
    <xf numFmtId="164" fontId="4" fillId="0" borderId="7" xfId="0" applyNumberFormat="1" applyFont="1" applyBorder="1" applyAlignment="1">
      <alignment vertical="center" wrapText="1"/>
    </xf>
    <xf numFmtId="164" fontId="4" fillId="7" borderId="17" xfId="0" applyNumberFormat="1" applyFont="1" applyFill="1" applyBorder="1" applyAlignment="1">
      <alignment vertical="center" wrapText="1"/>
    </xf>
    <xf numFmtId="10" fontId="23" fillId="0" borderId="84" xfId="2" applyNumberFormat="1" applyFont="1" applyFill="1" applyBorder="1" applyAlignment="1">
      <alignment horizontal="left" vertical="center"/>
    </xf>
    <xf numFmtId="10" fontId="23" fillId="0" borderId="85" xfId="2" applyNumberFormat="1" applyFont="1" applyFill="1" applyBorder="1" applyAlignment="1">
      <alignment horizontal="right" vertical="center"/>
    </xf>
    <xf numFmtId="43" fontId="4" fillId="0" borderId="18" xfId="1" applyFont="1" applyBorder="1" applyAlignment="1">
      <alignment horizontal="center" vertical="center" wrapText="1"/>
    </xf>
    <xf numFmtId="43" fontId="1" fillId="0" borderId="1" xfId="1" applyFont="1" applyFill="1" applyBorder="1" applyAlignment="1">
      <alignment horizontal="right" vertical="center"/>
    </xf>
    <xf numFmtId="43" fontId="1" fillId="3" borderId="1" xfId="1" applyFont="1" applyFill="1" applyBorder="1" applyAlignment="1">
      <alignment horizontal="right" vertical="center"/>
    </xf>
    <xf numFmtId="49" fontId="4" fillId="3" borderId="1" xfId="0" applyNumberFormat="1" applyFont="1" applyFill="1" applyBorder="1" applyAlignment="1">
      <alignment vertical="center"/>
    </xf>
    <xf numFmtId="49" fontId="4" fillId="3" borderId="7" xfId="0" applyNumberFormat="1" applyFont="1" applyFill="1" applyBorder="1" applyAlignment="1">
      <alignment vertical="center"/>
    </xf>
    <xf numFmtId="49" fontId="4" fillId="3" borderId="17" xfId="0" applyNumberFormat="1" applyFont="1" applyFill="1" applyBorder="1" applyAlignment="1">
      <alignment vertical="center"/>
    </xf>
    <xf numFmtId="0" fontId="2" fillId="0" borderId="10" xfId="3" applyFont="1" applyBorder="1" applyAlignment="1">
      <alignment horizontal="center" vertical="center"/>
    </xf>
    <xf numFmtId="10" fontId="2" fillId="0" borderId="1" xfId="2" applyNumberFormat="1" applyFont="1" applyFill="1" applyBorder="1" applyAlignment="1">
      <alignment horizontal="center" vertical="center"/>
    </xf>
    <xf numFmtId="10" fontId="3" fillId="0" borderId="1" xfId="2" applyNumberFormat="1" applyFont="1" applyBorder="1" applyAlignment="1">
      <alignment horizontal="center" vertical="center"/>
    </xf>
    <xf numFmtId="43" fontId="2" fillId="0" borderId="1" xfId="1" applyFont="1" applyFill="1" applyBorder="1" applyAlignment="1">
      <alignment horizontal="center" vertical="center" wrapText="1"/>
    </xf>
    <xf numFmtId="168" fontId="4" fillId="3" borderId="7" xfId="0" applyNumberFormat="1" applyFont="1" applyFill="1" applyBorder="1" applyAlignment="1">
      <alignment vertical="center"/>
    </xf>
    <xf numFmtId="168" fontId="1" fillId="0" borderId="0" xfId="1" applyNumberFormat="1" applyFont="1" applyBorder="1"/>
    <xf numFmtId="172" fontId="22" fillId="0" borderId="55" xfId="0" applyNumberFormat="1" applyFont="1" applyBorder="1" applyAlignment="1">
      <alignment horizontal="center" vertical="center"/>
    </xf>
    <xf numFmtId="49" fontId="4" fillId="3" borderId="1" xfId="0" applyNumberFormat="1" applyFont="1" applyFill="1" applyBorder="1" applyAlignment="1">
      <alignment horizontal="center" vertical="center"/>
    </xf>
    <xf numFmtId="49" fontId="2" fillId="0" borderId="1" xfId="3" applyNumberFormat="1" applyFont="1" applyBorder="1" applyAlignment="1">
      <alignment horizontal="center" vertical="center"/>
    </xf>
    <xf numFmtId="167" fontId="2" fillId="4" borderId="1" xfId="0" applyNumberFormat="1" applyFont="1" applyFill="1" applyBorder="1" applyAlignment="1">
      <alignment horizontal="right" vertical="center"/>
    </xf>
    <xf numFmtId="0" fontId="2" fillId="3" borderId="1" xfId="0" applyFont="1" applyFill="1" applyBorder="1" applyAlignment="1">
      <alignment vertical="center"/>
    </xf>
    <xf numFmtId="0" fontId="1" fillId="3" borderId="12" xfId="0" applyFont="1" applyFill="1" applyBorder="1"/>
    <xf numFmtId="0" fontId="1" fillId="3" borderId="13" xfId="0" applyFont="1" applyFill="1" applyBorder="1"/>
    <xf numFmtId="0" fontId="1" fillId="3" borderId="9" xfId="0" applyFont="1" applyFill="1" applyBorder="1"/>
    <xf numFmtId="170" fontId="2" fillId="0" borderId="0" xfId="0" applyNumberFormat="1" applyFont="1" applyAlignment="1">
      <alignment horizontal="center" vertical="center" wrapText="1"/>
    </xf>
    <xf numFmtId="170" fontId="2" fillId="0" borderId="69" xfId="0" applyNumberFormat="1" applyFont="1" applyBorder="1" applyAlignment="1">
      <alignment horizontal="center" vertical="center" wrapText="1"/>
    </xf>
    <xf numFmtId="171" fontId="1" fillId="0" borderId="55" xfId="0" applyNumberFormat="1" applyFont="1" applyBorder="1"/>
    <xf numFmtId="10" fontId="23" fillId="0" borderId="70" xfId="2" applyNumberFormat="1" applyFont="1" applyFill="1" applyBorder="1" applyAlignment="1">
      <alignment horizontal="left" vertical="center"/>
    </xf>
    <xf numFmtId="10" fontId="2" fillId="0" borderId="1" xfId="3" applyNumberFormat="1" applyFont="1" applyBorder="1" applyAlignment="1">
      <alignment horizontal="right"/>
    </xf>
    <xf numFmtId="0" fontId="4" fillId="5" borderId="1" xfId="0" applyFont="1" applyFill="1" applyBorder="1" applyAlignment="1">
      <alignment horizontal="center" vertical="center"/>
    </xf>
    <xf numFmtId="49" fontId="4" fillId="5" borderId="1" xfId="0" applyNumberFormat="1" applyFont="1" applyFill="1" applyBorder="1" applyAlignment="1">
      <alignment horizontal="center" vertical="center"/>
    </xf>
    <xf numFmtId="172" fontId="22" fillId="9" borderId="63" xfId="0" applyNumberFormat="1" applyFont="1" applyFill="1" applyBorder="1" applyAlignment="1">
      <alignment horizontal="center" vertical="center"/>
    </xf>
    <xf numFmtId="172" fontId="22" fillId="9" borderId="67" xfId="0" applyNumberFormat="1" applyFont="1" applyFill="1" applyBorder="1" applyAlignment="1">
      <alignment horizontal="center" vertical="center"/>
    </xf>
    <xf numFmtId="49" fontId="4" fillId="5" borderId="1" xfId="0" applyNumberFormat="1" applyFont="1" applyFill="1" applyBorder="1" applyAlignment="1">
      <alignment vertical="center"/>
    </xf>
    <xf numFmtId="170" fontId="27" fillId="3" borderId="31" xfId="0" applyNumberFormat="1" applyFont="1" applyFill="1" applyBorder="1" applyAlignment="1">
      <alignment vertical="center"/>
    </xf>
    <xf numFmtId="170" fontId="27" fillId="3" borderId="32" xfId="0" applyNumberFormat="1" applyFont="1" applyFill="1" applyBorder="1" applyAlignment="1">
      <alignment vertical="center"/>
    </xf>
    <xf numFmtId="170" fontId="25" fillId="3" borderId="32" xfId="0" applyNumberFormat="1" applyFont="1" applyFill="1" applyBorder="1" applyAlignment="1">
      <alignment vertical="center"/>
    </xf>
    <xf numFmtId="170" fontId="25" fillId="3" borderId="39" xfId="0" applyNumberFormat="1" applyFont="1" applyFill="1" applyBorder="1" applyAlignment="1">
      <alignment vertical="center"/>
    </xf>
    <xf numFmtId="170" fontId="29" fillId="3" borderId="33" xfId="0" applyNumberFormat="1" applyFont="1" applyFill="1" applyBorder="1" applyAlignment="1">
      <alignment vertical="center"/>
    </xf>
    <xf numFmtId="170" fontId="29" fillId="3" borderId="0" xfId="0" applyNumberFormat="1" applyFont="1" applyFill="1" applyAlignment="1">
      <alignment vertical="center"/>
    </xf>
    <xf numFmtId="170" fontId="25" fillId="3" borderId="0" xfId="0" applyNumberFormat="1" applyFont="1" applyFill="1" applyAlignment="1">
      <alignment vertical="center"/>
    </xf>
    <xf numFmtId="170" fontId="25" fillId="3" borderId="26" xfId="0" applyNumberFormat="1" applyFont="1" applyFill="1" applyBorder="1" applyAlignment="1">
      <alignment vertical="center"/>
    </xf>
    <xf numFmtId="170" fontId="25" fillId="3" borderId="33" xfId="0" applyNumberFormat="1" applyFont="1" applyFill="1" applyBorder="1" applyAlignment="1">
      <alignment vertical="center"/>
    </xf>
    <xf numFmtId="0" fontId="27" fillId="3" borderId="9" xfId="0" applyFont="1" applyFill="1" applyBorder="1" applyAlignment="1">
      <alignment vertical="center"/>
    </xf>
    <xf numFmtId="0" fontId="27" fillId="3" borderId="10" xfId="0" applyFont="1" applyFill="1" applyBorder="1" applyAlignment="1">
      <alignment vertical="center"/>
    </xf>
    <xf numFmtId="0" fontId="25" fillId="3" borderId="10" xfId="0" applyFont="1" applyFill="1" applyBorder="1" applyAlignment="1">
      <alignment vertical="center"/>
    </xf>
    <xf numFmtId="0" fontId="25" fillId="3" borderId="11" xfId="0" applyFont="1" applyFill="1" applyBorder="1" applyAlignment="1">
      <alignment vertical="center"/>
    </xf>
    <xf numFmtId="0" fontId="29" fillId="3" borderId="12" xfId="0" applyFont="1" applyFill="1" applyBorder="1" applyAlignment="1">
      <alignment vertical="center"/>
    </xf>
    <xf numFmtId="0" fontId="29" fillId="3" borderId="0" xfId="0" applyFont="1" applyFill="1" applyAlignment="1">
      <alignment vertical="center"/>
    </xf>
    <xf numFmtId="0" fontId="25" fillId="3" borderId="0" xfId="0" applyFont="1" applyFill="1" applyAlignment="1">
      <alignment vertical="center"/>
    </xf>
    <xf numFmtId="0" fontId="25" fillId="3" borderId="13" xfId="0" applyFont="1" applyFill="1" applyBorder="1" applyAlignment="1">
      <alignment vertical="center"/>
    </xf>
    <xf numFmtId="0" fontId="25" fillId="3" borderId="3" xfId="0" applyFont="1" applyFill="1" applyBorder="1" applyAlignment="1">
      <alignment vertical="center"/>
    </xf>
    <xf numFmtId="0" fontId="25" fillId="3" borderId="14" xfId="0" applyFont="1" applyFill="1" applyBorder="1" applyAlignment="1">
      <alignment vertical="center"/>
    </xf>
    <xf numFmtId="0" fontId="25" fillId="3" borderId="15" xfId="0" applyFont="1" applyFill="1" applyBorder="1" applyAlignment="1">
      <alignment vertical="center"/>
    </xf>
    <xf numFmtId="0" fontId="25" fillId="3" borderId="10" xfId="0" applyFont="1" applyFill="1" applyBorder="1" applyAlignment="1">
      <alignment vertical="center" wrapText="1"/>
    </xf>
    <xf numFmtId="0" fontId="25" fillId="3" borderId="11" xfId="0" applyFont="1" applyFill="1" applyBorder="1" applyAlignment="1">
      <alignment vertical="center" wrapText="1"/>
    </xf>
    <xf numFmtId="0" fontId="25" fillId="3" borderId="0" xfId="0" applyFont="1" applyFill="1" applyAlignment="1">
      <alignment vertical="center" wrapText="1"/>
    </xf>
    <xf numFmtId="0" fontId="25" fillId="3" borderId="13" xfId="0" applyFont="1" applyFill="1" applyBorder="1" applyAlignment="1">
      <alignment vertical="center" wrapText="1"/>
    </xf>
    <xf numFmtId="0" fontId="25" fillId="3" borderId="14" xfId="0" applyFont="1" applyFill="1" applyBorder="1" applyAlignment="1">
      <alignment vertical="center" wrapText="1"/>
    </xf>
    <xf numFmtId="0" fontId="25" fillId="3" borderId="15" xfId="0" applyFont="1" applyFill="1" applyBorder="1" applyAlignment="1">
      <alignment vertical="center" wrapText="1"/>
    </xf>
    <xf numFmtId="0" fontId="25" fillId="3" borderId="3" xfId="0" applyFont="1" applyFill="1" applyBorder="1" applyAlignment="1">
      <alignment vertical="center" wrapText="1"/>
    </xf>
    <xf numFmtId="0" fontId="25" fillId="3" borderId="10" xfId="3" applyFont="1" applyFill="1" applyBorder="1" applyAlignment="1">
      <alignment vertical="center" wrapText="1"/>
    </xf>
    <xf numFmtId="0" fontId="25" fillId="3" borderId="11" xfId="3" applyFont="1" applyFill="1" applyBorder="1" applyAlignment="1">
      <alignment vertical="center" wrapText="1"/>
    </xf>
    <xf numFmtId="0" fontId="25" fillId="3" borderId="0" xfId="3" applyFont="1" applyFill="1" applyAlignment="1">
      <alignment vertical="center" wrapText="1"/>
    </xf>
    <xf numFmtId="0" fontId="25" fillId="3" borderId="13" xfId="3" applyFont="1" applyFill="1" applyBorder="1" applyAlignment="1">
      <alignment vertical="center" wrapText="1"/>
    </xf>
    <xf numFmtId="0" fontId="25" fillId="3" borderId="12" xfId="3" applyFont="1" applyFill="1" applyBorder="1" applyAlignment="1">
      <alignment vertical="center" wrapText="1"/>
    </xf>
    <xf numFmtId="0" fontId="25" fillId="3" borderId="3" xfId="3" applyFont="1" applyFill="1" applyBorder="1" applyAlignment="1">
      <alignment vertical="center" wrapText="1"/>
    </xf>
    <xf numFmtId="0" fontId="25" fillId="3" borderId="14" xfId="3" applyFont="1" applyFill="1" applyBorder="1" applyAlignment="1">
      <alignment vertical="center" wrapText="1"/>
    </xf>
    <xf numFmtId="0" fontId="25" fillId="3" borderId="15" xfId="3" applyFont="1" applyFill="1" applyBorder="1" applyAlignment="1">
      <alignment vertical="center" wrapText="1"/>
    </xf>
    <xf numFmtId="0" fontId="26" fillId="8" borderId="0" xfId="0" applyFont="1" applyFill="1" applyAlignment="1">
      <alignment vertical="center"/>
    </xf>
    <xf numFmtId="0" fontId="13" fillId="8" borderId="58" xfId="3" applyFont="1" applyFill="1" applyBorder="1" applyAlignment="1">
      <alignment vertical="center"/>
    </xf>
    <xf numFmtId="0" fontId="19" fillId="8" borderId="61" xfId="0" applyFont="1" applyFill="1" applyBorder="1" applyAlignment="1">
      <alignment vertical="center"/>
    </xf>
    <xf numFmtId="0" fontId="30" fillId="3" borderId="9" xfId="3" applyFont="1" applyFill="1" applyBorder="1" applyAlignment="1">
      <alignment vertical="center"/>
    </xf>
    <xf numFmtId="0" fontId="31" fillId="3" borderId="12" xfId="3" applyFont="1" applyFill="1" applyBorder="1" applyAlignment="1">
      <alignment vertical="center"/>
    </xf>
    <xf numFmtId="0" fontId="27" fillId="3" borderId="3" xfId="3" applyFont="1" applyFill="1" applyBorder="1" applyAlignment="1">
      <alignment vertical="center"/>
    </xf>
    <xf numFmtId="0" fontId="32" fillId="3" borderId="0" xfId="3" applyFont="1" applyFill="1" applyAlignment="1">
      <alignment vertical="center" wrapText="1"/>
    </xf>
    <xf numFmtId="0" fontId="34" fillId="8" borderId="58" xfId="0" applyFont="1" applyFill="1" applyBorder="1" applyAlignment="1">
      <alignment vertical="center"/>
    </xf>
    <xf numFmtId="2" fontId="3" fillId="0" borderId="1" xfId="0" applyNumberFormat="1" applyFont="1" applyBorder="1" applyAlignment="1">
      <alignment horizontal="center" vertical="center"/>
    </xf>
    <xf numFmtId="0" fontId="35" fillId="0" borderId="0" xfId="0" applyFont="1" applyAlignment="1">
      <alignment horizontal="left" vertical="center"/>
    </xf>
    <xf numFmtId="0" fontId="36" fillId="0" borderId="0" xfId="0" applyFont="1" applyAlignment="1">
      <alignment horizontal="left" vertical="center"/>
    </xf>
    <xf numFmtId="0" fontId="3" fillId="0" borderId="0" xfId="0" applyFont="1" applyAlignment="1">
      <alignment horizontal="right"/>
    </xf>
    <xf numFmtId="0" fontId="37" fillId="0" borderId="0" xfId="0" applyFont="1" applyAlignment="1">
      <alignment horizontal="left" vertical="center"/>
    </xf>
    <xf numFmtId="43" fontId="4" fillId="6" borderId="1" xfId="1" applyFont="1" applyFill="1" applyBorder="1" applyAlignment="1">
      <alignment horizontal="right" vertical="center"/>
    </xf>
    <xf numFmtId="4" fontId="1" fillId="0" borderId="1" xfId="3" applyNumberFormat="1" applyFont="1" applyBorder="1" applyAlignment="1">
      <alignment horizontal="left" vertical="center"/>
    </xf>
    <xf numFmtId="171" fontId="2" fillId="0" borderId="8" xfId="0" applyNumberFormat="1" applyFont="1" applyBorder="1" applyAlignment="1" applyProtection="1">
      <alignment horizontal="center" vertical="center" wrapText="1"/>
      <protection locked="0"/>
    </xf>
    <xf numFmtId="43" fontId="1" fillId="3" borderId="1" xfId="1" applyFont="1" applyFill="1" applyBorder="1" applyAlignment="1">
      <alignment horizontal="center" vertical="center"/>
    </xf>
    <xf numFmtId="171" fontId="1" fillId="0" borderId="8" xfId="0" applyNumberFormat="1" applyFont="1" applyBorder="1" applyAlignment="1">
      <alignment vertical="center"/>
    </xf>
    <xf numFmtId="171" fontId="4" fillId="4" borderId="7" xfId="0" applyNumberFormat="1" applyFont="1" applyFill="1" applyBorder="1" applyAlignment="1" applyProtection="1">
      <alignment vertical="center"/>
      <protection locked="0"/>
    </xf>
    <xf numFmtId="170" fontId="1" fillId="0" borderId="1" xfId="0" applyNumberFormat="1" applyFont="1" applyBorder="1" applyProtection="1">
      <protection locked="0"/>
    </xf>
    <xf numFmtId="170" fontId="2" fillId="0" borderId="1" xfId="0" applyNumberFormat="1" applyFont="1" applyBorder="1" applyAlignment="1" applyProtection="1">
      <alignment horizontal="center" wrapText="1"/>
      <protection locked="0"/>
    </xf>
    <xf numFmtId="171" fontId="4" fillId="11" borderId="1" xfId="0" applyNumberFormat="1" applyFont="1" applyFill="1" applyBorder="1" applyAlignment="1" applyProtection="1">
      <alignment horizontal="center" vertical="center"/>
      <protection locked="0"/>
    </xf>
    <xf numFmtId="170" fontId="1" fillId="0" borderId="1" xfId="0" applyNumberFormat="1" applyFont="1" applyBorder="1"/>
    <xf numFmtId="171" fontId="2" fillId="3" borderId="1" xfId="0" applyNumberFormat="1" applyFont="1" applyFill="1" applyBorder="1" applyAlignment="1">
      <alignment horizontal="right" vertical="center"/>
    </xf>
    <xf numFmtId="170" fontId="2" fillId="0" borderId="1" xfId="0" applyNumberFormat="1" applyFont="1" applyBorder="1" applyAlignment="1">
      <alignment horizontal="center" wrapText="1"/>
    </xf>
    <xf numFmtId="173" fontId="22" fillId="12" borderId="77" xfId="1" applyNumberFormat="1" applyFont="1" applyFill="1" applyBorder="1" applyAlignment="1">
      <alignment horizontal="right" vertical="center"/>
    </xf>
    <xf numFmtId="173" fontId="22" fillId="6" borderId="51" xfId="0" applyNumberFormat="1" applyFont="1" applyFill="1" applyBorder="1" applyAlignment="1">
      <alignment horizontal="right" vertical="center"/>
    </xf>
    <xf numFmtId="168" fontId="4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9" xfId="0" applyFont="1" applyBorder="1" applyAlignment="1">
      <alignment horizontal="right" vertical="center"/>
    </xf>
    <xf numFmtId="0" fontId="4" fillId="0" borderId="10" xfId="0" applyFont="1" applyBorder="1" applyAlignment="1">
      <alignment horizontal="right" vertical="center"/>
    </xf>
    <xf numFmtId="0" fontId="4" fillId="0" borderId="11" xfId="0" applyFont="1" applyBorder="1" applyAlignment="1">
      <alignment horizontal="right" vertical="center"/>
    </xf>
    <xf numFmtId="0" fontId="4" fillId="0" borderId="3" xfId="0" applyFont="1" applyBorder="1" applyAlignment="1">
      <alignment horizontal="right" vertical="center"/>
    </xf>
    <xf numFmtId="0" fontId="4" fillId="0" borderId="14" xfId="0" applyFont="1" applyBorder="1" applyAlignment="1">
      <alignment horizontal="right" vertical="center"/>
    </xf>
    <xf numFmtId="0" fontId="4" fillId="0" borderId="15" xfId="0" applyFont="1" applyBorder="1" applyAlignment="1">
      <alignment horizontal="right" vertical="center"/>
    </xf>
    <xf numFmtId="164" fontId="4" fillId="5" borderId="1" xfId="0" applyNumberFormat="1" applyFont="1" applyFill="1" applyBorder="1" applyAlignment="1">
      <alignment horizontal="center" vertical="center" wrapText="1"/>
    </xf>
    <xf numFmtId="0" fontId="4" fillId="5" borderId="1" xfId="0" applyFont="1" applyFill="1" applyBorder="1" applyAlignment="1">
      <alignment horizontal="center" vertical="center"/>
    </xf>
    <xf numFmtId="164" fontId="4" fillId="5" borderId="9" xfId="0" applyNumberFormat="1" applyFont="1" applyFill="1" applyBorder="1" applyAlignment="1">
      <alignment horizontal="center" vertical="center" wrapText="1"/>
    </xf>
    <xf numFmtId="164" fontId="4" fillId="5" borderId="3" xfId="0" applyNumberFormat="1" applyFont="1" applyFill="1" applyBorder="1" applyAlignment="1">
      <alignment horizontal="center" vertical="center" wrapText="1"/>
    </xf>
    <xf numFmtId="0" fontId="27" fillId="3" borderId="9" xfId="0" applyFont="1" applyFill="1" applyBorder="1" applyAlignment="1">
      <alignment horizontal="left" vertical="center"/>
    </xf>
    <xf numFmtId="0" fontId="27" fillId="3" borderId="10" xfId="0" applyFont="1" applyFill="1" applyBorder="1" applyAlignment="1">
      <alignment horizontal="left" vertical="center"/>
    </xf>
    <xf numFmtId="0" fontId="27" fillId="3" borderId="11" xfId="0" applyFont="1" applyFill="1" applyBorder="1" applyAlignment="1">
      <alignment horizontal="left" vertical="center"/>
    </xf>
    <xf numFmtId="0" fontId="28" fillId="3" borderId="12" xfId="0" applyFont="1" applyFill="1" applyBorder="1" applyAlignment="1">
      <alignment horizontal="left" vertical="center"/>
    </xf>
    <xf numFmtId="0" fontId="28" fillId="3" borderId="0" xfId="0" applyFont="1" applyFill="1" applyAlignment="1">
      <alignment horizontal="left" vertical="center"/>
    </xf>
    <xf numFmtId="0" fontId="28" fillId="3" borderId="13" xfId="0" applyFont="1" applyFill="1" applyBorder="1" applyAlignment="1">
      <alignment horizontal="left" vertical="center"/>
    </xf>
    <xf numFmtId="0" fontId="25" fillId="3" borderId="3" xfId="0" applyFont="1" applyFill="1" applyBorder="1" applyAlignment="1">
      <alignment horizontal="center" vertical="center"/>
    </xf>
    <xf numFmtId="0" fontId="25" fillId="3" borderId="14" xfId="0" applyFont="1" applyFill="1" applyBorder="1" applyAlignment="1">
      <alignment horizontal="center" vertical="center"/>
    </xf>
    <xf numFmtId="0" fontId="25" fillId="3" borderId="15" xfId="0" applyFont="1" applyFill="1" applyBorder="1" applyAlignment="1">
      <alignment horizontal="center" vertical="center"/>
    </xf>
    <xf numFmtId="170" fontId="2" fillId="4" borderId="1" xfId="0" applyNumberFormat="1" applyFont="1" applyFill="1" applyBorder="1" applyAlignment="1" applyProtection="1">
      <alignment horizontal="right" vertical="center"/>
      <protection locked="0"/>
    </xf>
    <xf numFmtId="170" fontId="2" fillId="0" borderId="7" xfId="0" applyNumberFormat="1" applyFont="1" applyBorder="1" applyAlignment="1" applyProtection="1">
      <alignment horizontal="center" vertical="center"/>
      <protection locked="0"/>
    </xf>
    <xf numFmtId="170" fontId="2" fillId="0" borderId="8" xfId="0" applyNumberFormat="1" applyFont="1" applyBorder="1" applyAlignment="1" applyProtection="1">
      <alignment horizontal="center" vertical="center"/>
      <protection locked="0"/>
    </xf>
    <xf numFmtId="170" fontId="2" fillId="0" borderId="17" xfId="0" applyNumberFormat="1" applyFont="1" applyBorder="1" applyAlignment="1" applyProtection="1">
      <alignment horizontal="center" vertical="center"/>
      <protection locked="0"/>
    </xf>
    <xf numFmtId="171" fontId="2" fillId="0" borderId="7" xfId="0" applyNumberFormat="1" applyFont="1" applyBorder="1" applyAlignment="1" applyProtection="1">
      <alignment horizontal="center" vertical="center"/>
      <protection locked="0"/>
    </xf>
    <xf numFmtId="171" fontId="2" fillId="0" borderId="8" xfId="0" applyNumberFormat="1" applyFont="1" applyBorder="1" applyAlignment="1" applyProtection="1">
      <alignment horizontal="center" vertical="center"/>
      <protection locked="0"/>
    </xf>
    <xf numFmtId="171" fontId="2" fillId="0" borderId="17" xfId="0" applyNumberFormat="1" applyFont="1" applyBorder="1" applyAlignment="1" applyProtection="1">
      <alignment horizontal="center" vertical="center"/>
      <protection locked="0"/>
    </xf>
    <xf numFmtId="170" fontId="2" fillId="0" borderId="1" xfId="0" applyNumberFormat="1" applyFont="1" applyBorder="1" applyAlignment="1" applyProtection="1">
      <alignment horizontal="center" vertical="center"/>
      <protection locked="0"/>
    </xf>
    <xf numFmtId="171" fontId="2" fillId="0" borderId="1" xfId="0" applyNumberFormat="1" applyFont="1" applyBorder="1" applyAlignment="1" applyProtection="1">
      <alignment horizontal="center" vertical="center"/>
      <protection locked="0"/>
    </xf>
    <xf numFmtId="171" fontId="2" fillId="0" borderId="7" xfId="0" applyNumberFormat="1" applyFont="1" applyBorder="1" applyAlignment="1" applyProtection="1">
      <alignment horizontal="center" vertical="center" wrapText="1"/>
      <protection locked="0"/>
    </xf>
    <xf numFmtId="171" fontId="2" fillId="0" borderId="17" xfId="0" applyNumberFormat="1" applyFont="1" applyBorder="1" applyAlignment="1" applyProtection="1">
      <alignment horizontal="center" vertical="center" wrapText="1"/>
      <protection locked="0"/>
    </xf>
    <xf numFmtId="171" fontId="2" fillId="0" borderId="8" xfId="0" applyNumberFormat="1" applyFont="1" applyBorder="1" applyAlignment="1" applyProtection="1">
      <alignment horizontal="center" vertical="center" wrapText="1"/>
      <protection locked="0"/>
    </xf>
    <xf numFmtId="169" fontId="2" fillId="0" borderId="1" xfId="0" applyNumberFormat="1" applyFont="1" applyBorder="1" applyAlignment="1" applyProtection="1">
      <alignment horizontal="center" vertical="center"/>
      <protection locked="0"/>
    </xf>
    <xf numFmtId="170" fontId="1" fillId="0" borderId="0" xfId="0" applyNumberFormat="1" applyFont="1" applyAlignment="1" applyProtection="1">
      <alignment horizontal="center"/>
      <protection locked="0"/>
    </xf>
    <xf numFmtId="170" fontId="2" fillId="5" borderId="1" xfId="0" applyNumberFormat="1" applyFont="1" applyFill="1" applyBorder="1" applyAlignment="1" applyProtection="1">
      <alignment horizontal="center" vertical="center"/>
      <protection locked="0"/>
    </xf>
    <xf numFmtId="170" fontId="2" fillId="3" borderId="1" xfId="0" applyNumberFormat="1" applyFont="1" applyFill="1" applyBorder="1" applyAlignment="1" applyProtection="1">
      <alignment horizontal="center" vertical="center"/>
      <protection locked="0"/>
    </xf>
    <xf numFmtId="170" fontId="2" fillId="3" borderId="18" xfId="0" applyNumberFormat="1" applyFont="1" applyFill="1" applyBorder="1" applyAlignment="1" applyProtection="1">
      <alignment horizontal="left" vertical="top"/>
      <protection locked="0"/>
    </xf>
    <xf numFmtId="170" fontId="2" fillId="3" borderId="25" xfId="0" applyNumberFormat="1" applyFont="1" applyFill="1" applyBorder="1" applyAlignment="1" applyProtection="1">
      <alignment horizontal="left" vertical="top"/>
      <protection locked="0"/>
    </xf>
    <xf numFmtId="170" fontId="1" fillId="0" borderId="0" xfId="0" applyNumberFormat="1" applyFont="1" applyAlignment="1" applyProtection="1">
      <alignment horizontal="center" vertical="center"/>
      <protection locked="0"/>
    </xf>
    <xf numFmtId="170" fontId="2" fillId="3" borderId="79" xfId="0" applyNumberFormat="1" applyFont="1" applyFill="1" applyBorder="1" applyAlignment="1" applyProtection="1">
      <alignment horizontal="left" vertical="top"/>
      <protection locked="0"/>
    </xf>
    <xf numFmtId="170" fontId="2" fillId="3" borderId="56" xfId="0" applyNumberFormat="1" applyFont="1" applyFill="1" applyBorder="1" applyAlignment="1" applyProtection="1">
      <alignment horizontal="left" vertical="top"/>
      <protection locked="0"/>
    </xf>
    <xf numFmtId="170" fontId="2" fillId="3" borderId="80" xfId="0" applyNumberFormat="1" applyFont="1" applyFill="1" applyBorder="1" applyAlignment="1" applyProtection="1">
      <alignment horizontal="left" vertical="top"/>
      <protection locked="0"/>
    </xf>
    <xf numFmtId="170" fontId="2" fillId="3" borderId="41" xfId="0" applyNumberFormat="1" applyFont="1" applyFill="1" applyBorder="1" applyAlignment="1" applyProtection="1">
      <alignment horizontal="center" vertical="center"/>
      <protection locked="0"/>
    </xf>
    <xf numFmtId="170" fontId="2" fillId="3" borderId="42" xfId="0" applyNumberFormat="1" applyFont="1" applyFill="1" applyBorder="1" applyAlignment="1" applyProtection="1">
      <alignment horizontal="center" vertical="center"/>
      <protection locked="0"/>
    </xf>
    <xf numFmtId="170" fontId="2" fillId="4" borderId="41" xfId="0" applyNumberFormat="1" applyFont="1" applyFill="1" applyBorder="1" applyAlignment="1" applyProtection="1">
      <alignment horizontal="right" vertical="center"/>
      <protection locked="0"/>
    </xf>
    <xf numFmtId="171" fontId="2" fillId="3" borderId="7" xfId="0" applyNumberFormat="1" applyFont="1" applyFill="1" applyBorder="1" applyAlignment="1">
      <alignment horizontal="center" vertical="center"/>
    </xf>
    <xf numFmtId="171" fontId="2" fillId="3" borderId="8" xfId="0" applyNumberFormat="1" applyFont="1" applyFill="1" applyBorder="1" applyAlignment="1">
      <alignment horizontal="center" vertical="center"/>
    </xf>
    <xf numFmtId="171" fontId="2" fillId="3" borderId="78" xfId="0" applyNumberFormat="1" applyFont="1" applyFill="1" applyBorder="1" applyAlignment="1">
      <alignment horizontal="center" vertical="center"/>
    </xf>
    <xf numFmtId="169" fontId="2" fillId="0" borderId="41" xfId="0" applyNumberFormat="1" applyFont="1" applyBorder="1" applyAlignment="1" applyProtection="1">
      <alignment horizontal="center" vertical="center"/>
      <protection locked="0"/>
    </xf>
    <xf numFmtId="171" fontId="2" fillId="3" borderId="7" xfId="0" applyNumberFormat="1" applyFont="1" applyFill="1" applyBorder="1" applyAlignment="1" applyProtection="1">
      <alignment horizontal="center" vertical="center"/>
      <protection locked="0"/>
    </xf>
    <xf numFmtId="171" fontId="2" fillId="3" borderId="8" xfId="0" applyNumberFormat="1" applyFont="1" applyFill="1" applyBorder="1" applyAlignment="1" applyProtection="1">
      <alignment horizontal="center" vertical="center"/>
      <protection locked="0"/>
    </xf>
    <xf numFmtId="171" fontId="2" fillId="3" borderId="17" xfId="0" applyNumberFormat="1" applyFont="1" applyFill="1" applyBorder="1" applyAlignment="1" applyProtection="1">
      <alignment horizontal="center" vertical="center"/>
      <protection locked="0"/>
    </xf>
    <xf numFmtId="171" fontId="2" fillId="3" borderId="78" xfId="0" applyNumberFormat="1" applyFont="1" applyFill="1" applyBorder="1" applyAlignment="1" applyProtection="1">
      <alignment horizontal="center" vertical="center"/>
      <protection locked="0"/>
    </xf>
    <xf numFmtId="169" fontId="2" fillId="3" borderId="41" xfId="0" applyNumberFormat="1" applyFont="1" applyFill="1" applyBorder="1" applyAlignment="1" applyProtection="1">
      <alignment horizontal="center" vertical="center"/>
      <protection locked="0"/>
    </xf>
    <xf numFmtId="170" fontId="4" fillId="3" borderId="1" xfId="0" applyNumberFormat="1" applyFont="1" applyFill="1" applyBorder="1" applyAlignment="1" applyProtection="1">
      <alignment horizontal="center" vertical="center"/>
      <protection locked="0"/>
    </xf>
    <xf numFmtId="170" fontId="2" fillId="3" borderId="86" xfId="0" applyNumberFormat="1" applyFont="1" applyFill="1" applyBorder="1" applyAlignment="1" applyProtection="1">
      <alignment horizontal="left" vertical="top"/>
      <protection locked="0"/>
    </xf>
    <xf numFmtId="170" fontId="2" fillId="3" borderId="87" xfId="0" applyNumberFormat="1" applyFont="1" applyFill="1" applyBorder="1" applyAlignment="1" applyProtection="1">
      <alignment horizontal="left" vertical="top"/>
      <protection locked="0"/>
    </xf>
    <xf numFmtId="169" fontId="9" fillId="0" borderId="86" xfId="3" applyNumberFormat="1" applyFont="1" applyBorder="1" applyAlignment="1">
      <alignment horizontal="center" vertical="center"/>
    </xf>
    <xf numFmtId="169" fontId="9" fillId="0" borderId="18" xfId="3" applyNumberFormat="1" applyFont="1" applyBorder="1" applyAlignment="1">
      <alignment horizontal="center" vertical="center"/>
    </xf>
    <xf numFmtId="169" fontId="9" fillId="0" borderId="87" xfId="3" applyNumberFormat="1" applyFont="1" applyBorder="1" applyAlignment="1">
      <alignment horizontal="center" vertical="center"/>
    </xf>
    <xf numFmtId="170" fontId="2" fillId="3" borderId="1" xfId="0" applyNumberFormat="1" applyFont="1" applyFill="1" applyBorder="1" applyAlignment="1" applyProtection="1">
      <alignment horizontal="left" vertical="top"/>
      <protection locked="0"/>
    </xf>
    <xf numFmtId="170" fontId="2" fillId="3" borderId="7" xfId="0" applyNumberFormat="1" applyFont="1" applyFill="1" applyBorder="1" applyAlignment="1" applyProtection="1">
      <alignment horizontal="left" vertical="top"/>
      <protection locked="0"/>
    </xf>
    <xf numFmtId="170" fontId="25" fillId="3" borderId="88" xfId="0" applyNumberFormat="1" applyFont="1" applyFill="1" applyBorder="1" applyAlignment="1" applyProtection="1">
      <alignment horizontal="center" vertical="center"/>
      <protection locked="0"/>
    </xf>
    <xf numFmtId="170" fontId="25" fillId="3" borderId="14" xfId="0" applyNumberFormat="1" applyFont="1" applyFill="1" applyBorder="1" applyAlignment="1" applyProtection="1">
      <alignment horizontal="center" vertical="center"/>
      <protection locked="0"/>
    </xf>
    <xf numFmtId="170" fontId="25" fillId="3" borderId="40" xfId="0" applyNumberFormat="1" applyFont="1" applyFill="1" applyBorder="1" applyAlignment="1" applyProtection="1">
      <alignment horizontal="center" vertical="center"/>
      <protection locked="0"/>
    </xf>
    <xf numFmtId="170" fontId="27" fillId="3" borderId="31" xfId="0" applyNumberFormat="1" applyFont="1" applyFill="1" applyBorder="1" applyAlignment="1" applyProtection="1">
      <alignment horizontal="left" vertical="center"/>
      <protection locked="0"/>
    </xf>
    <xf numFmtId="170" fontId="27" fillId="3" borderId="32" xfId="0" applyNumberFormat="1" applyFont="1" applyFill="1" applyBorder="1" applyAlignment="1" applyProtection="1">
      <alignment horizontal="left" vertical="center"/>
      <protection locked="0"/>
    </xf>
    <xf numFmtId="170" fontId="27" fillId="3" borderId="39" xfId="0" applyNumberFormat="1" applyFont="1" applyFill="1" applyBorder="1" applyAlignment="1" applyProtection="1">
      <alignment horizontal="left" vertical="center"/>
      <protection locked="0"/>
    </xf>
    <xf numFmtId="170" fontId="29" fillId="3" borderId="33" xfId="0" applyNumberFormat="1" applyFont="1" applyFill="1" applyBorder="1" applyAlignment="1" applyProtection="1">
      <alignment horizontal="left" vertical="center"/>
      <protection locked="0"/>
    </xf>
    <xf numFmtId="170" fontId="29" fillId="3" borderId="0" xfId="0" applyNumberFormat="1" applyFont="1" applyFill="1" applyAlignment="1" applyProtection="1">
      <alignment horizontal="left" vertical="center"/>
      <protection locked="0"/>
    </xf>
    <xf numFmtId="170" fontId="29" fillId="3" borderId="26" xfId="0" applyNumberFormat="1" applyFont="1" applyFill="1" applyBorder="1" applyAlignment="1" applyProtection="1">
      <alignment horizontal="left" vertical="center"/>
      <protection locked="0"/>
    </xf>
    <xf numFmtId="170" fontId="2" fillId="5" borderId="41" xfId="0" applyNumberFormat="1" applyFont="1" applyFill="1" applyBorder="1" applyAlignment="1" applyProtection="1">
      <alignment horizontal="center" vertical="center"/>
      <protection locked="0"/>
    </xf>
    <xf numFmtId="170" fontId="2" fillId="5" borderId="42" xfId="0" applyNumberFormat="1" applyFont="1" applyFill="1" applyBorder="1" applyAlignment="1" applyProtection="1">
      <alignment horizontal="center" vertical="center"/>
      <protection locked="0"/>
    </xf>
    <xf numFmtId="171" fontId="2" fillId="4" borderId="68" xfId="0" applyNumberFormat="1" applyFont="1" applyFill="1" applyBorder="1" applyAlignment="1" applyProtection="1">
      <alignment horizontal="center" vertical="center"/>
      <protection locked="0"/>
    </xf>
    <xf numFmtId="171" fontId="2" fillId="4" borderId="64" xfId="0" applyNumberFormat="1" applyFont="1" applyFill="1" applyBorder="1" applyAlignment="1" applyProtection="1">
      <alignment horizontal="center" vertical="center"/>
      <protection locked="0"/>
    </xf>
    <xf numFmtId="171" fontId="2" fillId="4" borderId="83" xfId="0" applyNumberFormat="1" applyFont="1" applyFill="1" applyBorder="1" applyAlignment="1" applyProtection="1">
      <alignment horizontal="center" vertical="center"/>
      <protection locked="0"/>
    </xf>
    <xf numFmtId="169" fontId="9" fillId="0" borderId="79" xfId="3" applyNumberFormat="1" applyFont="1" applyBorder="1" applyAlignment="1">
      <alignment horizontal="center" vertical="center"/>
    </xf>
    <xf numFmtId="169" fontId="9" fillId="0" borderId="56" xfId="3" applyNumberFormat="1" applyFont="1" applyBorder="1" applyAlignment="1">
      <alignment horizontal="center" vertical="center"/>
    </xf>
    <xf numFmtId="169" fontId="9" fillId="0" borderId="62" xfId="3" applyNumberFormat="1" applyFont="1" applyBorder="1" applyAlignment="1">
      <alignment horizontal="center" vertical="center"/>
    </xf>
    <xf numFmtId="170" fontId="2" fillId="4" borderId="41" xfId="0" applyNumberFormat="1" applyFont="1" applyFill="1" applyBorder="1" applyAlignment="1">
      <alignment horizontal="right" vertical="center"/>
    </xf>
    <xf numFmtId="170" fontId="2" fillId="4" borderId="1" xfId="0" applyNumberFormat="1" applyFont="1" applyFill="1" applyBorder="1" applyAlignment="1">
      <alignment horizontal="right" vertical="center"/>
    </xf>
    <xf numFmtId="169" fontId="2" fillId="4" borderId="81" xfId="0" applyNumberFormat="1" applyFont="1" applyFill="1" applyBorder="1" applyAlignment="1">
      <alignment horizontal="center" vertical="center"/>
    </xf>
    <xf numFmtId="169" fontId="2" fillId="4" borderId="41" xfId="0" applyNumberFormat="1" applyFont="1" applyFill="1" applyBorder="1" applyAlignment="1">
      <alignment horizontal="center" vertical="center"/>
    </xf>
    <xf numFmtId="171" fontId="2" fillId="4" borderId="82" xfId="0" applyNumberFormat="1" applyFont="1" applyFill="1" applyBorder="1" applyAlignment="1">
      <alignment horizontal="center" vertical="center"/>
    </xf>
    <xf numFmtId="171" fontId="2" fillId="4" borderId="69" xfId="0" applyNumberFormat="1" applyFont="1" applyFill="1" applyBorder="1" applyAlignment="1">
      <alignment horizontal="center" vertical="center"/>
    </xf>
    <xf numFmtId="170" fontId="2" fillId="4" borderId="82" xfId="0" applyNumberFormat="1" applyFont="1" applyFill="1" applyBorder="1" applyAlignment="1">
      <alignment horizontal="center" vertical="center"/>
    </xf>
    <xf numFmtId="169" fontId="1" fillId="3" borderId="79" xfId="0" applyNumberFormat="1" applyFont="1" applyFill="1" applyBorder="1" applyAlignment="1">
      <alignment horizontal="center"/>
    </xf>
    <xf numFmtId="169" fontId="1" fillId="3" borderId="56" xfId="0" applyNumberFormat="1" applyFont="1" applyFill="1" applyBorder="1" applyAlignment="1">
      <alignment horizontal="center"/>
    </xf>
    <xf numFmtId="169" fontId="1" fillId="3" borderId="43" xfId="0" applyNumberFormat="1" applyFont="1" applyFill="1" applyBorder="1" applyAlignment="1">
      <alignment horizontal="center"/>
    </xf>
    <xf numFmtId="170" fontId="2" fillId="3" borderId="27" xfId="0" applyNumberFormat="1" applyFont="1" applyFill="1" applyBorder="1" applyAlignment="1" applyProtection="1">
      <alignment horizontal="center" vertical="top"/>
      <protection locked="0"/>
    </xf>
    <xf numFmtId="170" fontId="2" fillId="3" borderId="28" xfId="0" applyNumberFormat="1" applyFont="1" applyFill="1" applyBorder="1" applyAlignment="1" applyProtection="1">
      <alignment horizontal="center" vertical="top"/>
      <protection locked="0"/>
    </xf>
    <xf numFmtId="170" fontId="2" fillId="3" borderId="29" xfId="0" applyNumberFormat="1" applyFont="1" applyFill="1" applyBorder="1" applyAlignment="1" applyProtection="1">
      <alignment horizontal="center" vertical="top"/>
      <protection locked="0"/>
    </xf>
    <xf numFmtId="169" fontId="2" fillId="3" borderId="79" xfId="0" applyNumberFormat="1" applyFont="1" applyFill="1" applyBorder="1" applyAlignment="1">
      <alignment horizontal="center" vertical="center"/>
    </xf>
    <xf numFmtId="169" fontId="2" fillId="3" borderId="56" xfId="0" applyNumberFormat="1" applyFont="1" applyFill="1" applyBorder="1" applyAlignment="1">
      <alignment horizontal="center" vertical="center"/>
    </xf>
    <xf numFmtId="169" fontId="2" fillId="3" borderId="80" xfId="0" applyNumberFormat="1" applyFont="1" applyFill="1" applyBorder="1" applyAlignment="1">
      <alignment horizontal="center" vertical="center"/>
    </xf>
    <xf numFmtId="170" fontId="1" fillId="0" borderId="22" xfId="0" applyNumberFormat="1" applyFont="1" applyBorder="1" applyAlignment="1">
      <alignment horizontal="center"/>
    </xf>
    <xf numFmtId="170" fontId="1" fillId="0" borderId="23" xfId="0" applyNumberFormat="1" applyFont="1" applyBorder="1" applyAlignment="1">
      <alignment horizontal="center"/>
    </xf>
    <xf numFmtId="170" fontId="1" fillId="0" borderId="16" xfId="0" applyNumberFormat="1" applyFont="1" applyBorder="1" applyAlignment="1">
      <alignment horizontal="center"/>
    </xf>
    <xf numFmtId="170" fontId="2" fillId="4" borderId="41" xfId="0" applyNumberFormat="1" applyFont="1" applyFill="1" applyBorder="1" applyAlignment="1">
      <alignment horizontal="center" vertical="center"/>
    </xf>
    <xf numFmtId="170" fontId="2" fillId="4" borderId="1" xfId="0" applyNumberFormat="1" applyFont="1" applyFill="1" applyBorder="1" applyAlignment="1">
      <alignment horizontal="center" vertical="center"/>
    </xf>
    <xf numFmtId="170" fontId="2" fillId="4" borderId="42" xfId="0" applyNumberFormat="1" applyFont="1" applyFill="1" applyBorder="1" applyAlignment="1">
      <alignment horizontal="center" vertical="center"/>
    </xf>
    <xf numFmtId="170" fontId="2" fillId="3" borderId="41" xfId="0" applyNumberFormat="1" applyFont="1" applyFill="1" applyBorder="1" applyAlignment="1">
      <alignment horizontal="center" vertical="center"/>
    </xf>
    <xf numFmtId="170" fontId="2" fillId="3" borderId="1" xfId="0" applyNumberFormat="1" applyFont="1" applyFill="1" applyBorder="1" applyAlignment="1">
      <alignment horizontal="center" vertical="center"/>
    </xf>
    <xf numFmtId="170" fontId="2" fillId="3" borderId="42" xfId="0" applyNumberFormat="1" applyFont="1" applyFill="1" applyBorder="1" applyAlignment="1">
      <alignment horizontal="center" vertical="center"/>
    </xf>
    <xf numFmtId="171" fontId="2" fillId="4" borderId="1" xfId="0" applyNumberFormat="1" applyFont="1" applyFill="1" applyBorder="1" applyAlignment="1">
      <alignment horizontal="center" vertical="center"/>
    </xf>
    <xf numFmtId="171" fontId="2" fillId="4" borderId="42" xfId="0" applyNumberFormat="1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0" borderId="7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" fillId="0" borderId="17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2" fillId="4" borderId="7" xfId="0" applyFont="1" applyFill="1" applyBorder="1" applyAlignment="1">
      <alignment horizontal="center" vertical="center"/>
    </xf>
    <xf numFmtId="0" fontId="2" fillId="4" borderId="8" xfId="0" applyFont="1" applyFill="1" applyBorder="1" applyAlignment="1">
      <alignment horizontal="center" vertical="center"/>
    </xf>
    <xf numFmtId="0" fontId="2" fillId="4" borderId="17" xfId="0" applyFont="1" applyFill="1" applyBorder="1" applyAlignment="1">
      <alignment horizontal="center" vertical="center"/>
    </xf>
    <xf numFmtId="0" fontId="2" fillId="4" borderId="18" xfId="0" applyFont="1" applyFill="1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0" fontId="2" fillId="3" borderId="17" xfId="0" applyFont="1" applyFill="1" applyBorder="1" applyAlignment="1">
      <alignment horizontal="center" vertical="center"/>
    </xf>
    <xf numFmtId="0" fontId="2" fillId="4" borderId="7" xfId="0" applyFont="1" applyFill="1" applyBorder="1" applyAlignment="1">
      <alignment horizontal="right" vertical="center"/>
    </xf>
    <xf numFmtId="0" fontId="2" fillId="4" borderId="8" xfId="0" applyFont="1" applyFill="1" applyBorder="1" applyAlignment="1">
      <alignment horizontal="right" vertical="center"/>
    </xf>
    <xf numFmtId="0" fontId="2" fillId="4" borderId="17" xfId="0" applyFont="1" applyFill="1" applyBorder="1" applyAlignment="1">
      <alignment horizontal="right" vertical="center"/>
    </xf>
    <xf numFmtId="0" fontId="2" fillId="4" borderId="1" xfId="0" applyFont="1" applyFill="1" applyBorder="1" applyAlignment="1">
      <alignment horizontal="right" vertical="center"/>
    </xf>
    <xf numFmtId="0" fontId="2" fillId="0" borderId="1" xfId="0" applyFont="1" applyBorder="1" applyAlignment="1">
      <alignment horizontal="center" vertical="center" wrapText="1"/>
    </xf>
    <xf numFmtId="166" fontId="1" fillId="0" borderId="5" xfId="0" applyNumberFormat="1" applyFont="1" applyBorder="1" applyAlignment="1">
      <alignment horizontal="center" vertical="center"/>
    </xf>
    <xf numFmtId="166" fontId="1" fillId="0" borderId="20" xfId="0" applyNumberFormat="1" applyFont="1" applyBorder="1" applyAlignment="1">
      <alignment horizontal="center" vertical="center"/>
    </xf>
    <xf numFmtId="2" fontId="1" fillId="0" borderId="1" xfId="0" applyNumberFormat="1" applyFont="1" applyBorder="1" applyAlignment="1">
      <alignment horizontal="center" vertical="center"/>
    </xf>
    <xf numFmtId="164" fontId="4" fillId="4" borderId="1" xfId="0" applyNumberFormat="1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166" fontId="1" fillId="0" borderId="36" xfId="0" applyNumberFormat="1" applyFont="1" applyBorder="1" applyAlignment="1">
      <alignment horizontal="center" vertical="center"/>
    </xf>
    <xf numFmtId="166" fontId="1" fillId="0" borderId="37" xfId="0" applyNumberFormat="1" applyFont="1" applyBorder="1" applyAlignment="1">
      <alignment horizontal="center" vertical="center"/>
    </xf>
    <xf numFmtId="166" fontId="1" fillId="0" borderId="4" xfId="0" applyNumberFormat="1" applyFont="1" applyBorder="1" applyAlignment="1">
      <alignment horizontal="center" vertical="center"/>
    </xf>
    <xf numFmtId="166" fontId="1" fillId="0" borderId="19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left" vertical="top"/>
    </xf>
    <xf numFmtId="0" fontId="2" fillId="0" borderId="1" xfId="0" applyFont="1" applyBorder="1" applyAlignment="1">
      <alignment horizontal="left" vertical="top" wrapText="1"/>
    </xf>
    <xf numFmtId="0" fontId="1" fillId="0" borderId="1" xfId="0" applyFont="1" applyBorder="1" applyAlignment="1">
      <alignment horizontal="center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2" fillId="0" borderId="18" xfId="0" applyFont="1" applyBorder="1" applyAlignment="1">
      <alignment horizontal="left" vertical="top"/>
    </xf>
    <xf numFmtId="0" fontId="9" fillId="0" borderId="12" xfId="3" applyFont="1" applyBorder="1" applyAlignment="1">
      <alignment horizontal="center" vertical="center"/>
    </xf>
    <xf numFmtId="0" fontId="9" fillId="0" borderId="0" xfId="3" applyFont="1" applyAlignment="1">
      <alignment horizontal="center" vertical="center"/>
    </xf>
    <xf numFmtId="0" fontId="9" fillId="0" borderId="13" xfId="3" applyFont="1" applyBorder="1" applyAlignment="1">
      <alignment horizontal="center" vertical="center"/>
    </xf>
    <xf numFmtId="0" fontId="9" fillId="0" borderId="50" xfId="3" applyFont="1" applyBorder="1" applyAlignment="1">
      <alignment horizontal="center" vertical="center"/>
    </xf>
    <xf numFmtId="0" fontId="9" fillId="0" borderId="34" xfId="3" applyFont="1" applyBorder="1" applyAlignment="1">
      <alignment horizontal="center" vertical="center"/>
    </xf>
    <xf numFmtId="0" fontId="9" fillId="0" borderId="49" xfId="3" applyFont="1" applyBorder="1" applyAlignment="1">
      <alignment horizontal="center" vertical="center"/>
    </xf>
    <xf numFmtId="0" fontId="9" fillId="0" borderId="3" xfId="3" applyFont="1" applyBorder="1" applyAlignment="1">
      <alignment horizontal="center" vertical="center"/>
    </xf>
    <xf numFmtId="0" fontId="9" fillId="0" borderId="14" xfId="3" applyFont="1" applyBorder="1" applyAlignment="1">
      <alignment horizontal="center" vertical="center"/>
    </xf>
    <xf numFmtId="0" fontId="9" fillId="0" borderId="15" xfId="3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1" fillId="0" borderId="22" xfId="0" applyFont="1" applyBorder="1" applyAlignment="1">
      <alignment horizontal="center"/>
    </xf>
    <xf numFmtId="0" fontId="1" fillId="0" borderId="23" xfId="0" applyFont="1" applyBorder="1" applyAlignment="1">
      <alignment horizontal="center"/>
    </xf>
    <xf numFmtId="0" fontId="1" fillId="0" borderId="16" xfId="0" applyFont="1" applyBorder="1" applyAlignment="1">
      <alignment horizontal="center"/>
    </xf>
    <xf numFmtId="0" fontId="2" fillId="5" borderId="1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2" fillId="5" borderId="7" xfId="0" applyFont="1" applyFill="1" applyBorder="1" applyAlignment="1">
      <alignment horizontal="center" vertical="center"/>
    </xf>
    <xf numFmtId="0" fontId="2" fillId="5" borderId="8" xfId="0" applyFont="1" applyFill="1" applyBorder="1" applyAlignment="1">
      <alignment horizontal="center" vertical="center"/>
    </xf>
    <xf numFmtId="0" fontId="2" fillId="5" borderId="17" xfId="0" applyFont="1" applyFill="1" applyBorder="1" applyAlignment="1">
      <alignment horizontal="center" vertical="center"/>
    </xf>
    <xf numFmtId="1" fontId="1" fillId="3" borderId="7" xfId="0" applyNumberFormat="1" applyFont="1" applyFill="1" applyBorder="1" applyAlignment="1">
      <alignment horizontal="center" vertical="center"/>
    </xf>
    <xf numFmtId="1" fontId="1" fillId="3" borderId="17" xfId="0" applyNumberFormat="1" applyFont="1" applyFill="1" applyBorder="1" applyAlignment="1">
      <alignment horizontal="center" vertical="center"/>
    </xf>
    <xf numFmtId="49" fontId="1" fillId="3" borderId="1" xfId="0" applyNumberFormat="1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49" fontId="1" fillId="3" borderId="1" xfId="0" applyNumberFormat="1" applyFont="1" applyFill="1" applyBorder="1" applyAlignment="1">
      <alignment horizontal="center" vertical="center" wrapText="1"/>
    </xf>
    <xf numFmtId="1" fontId="2" fillId="5" borderId="1" xfId="0" applyNumberFormat="1" applyFont="1" applyFill="1" applyBorder="1" applyAlignment="1">
      <alignment horizontal="left" vertical="center"/>
    </xf>
    <xf numFmtId="2" fontId="1" fillId="3" borderId="1" xfId="0" applyNumberFormat="1" applyFont="1" applyFill="1" applyBorder="1" applyAlignment="1">
      <alignment horizontal="center" vertical="center"/>
    </xf>
    <xf numFmtId="49" fontId="2" fillId="5" borderId="1" xfId="0" applyNumberFormat="1" applyFont="1" applyFill="1" applyBorder="1" applyAlignment="1">
      <alignment horizontal="left" vertical="center"/>
    </xf>
    <xf numFmtId="0" fontId="2" fillId="5" borderId="1" xfId="3" applyFont="1" applyFill="1" applyBorder="1" applyAlignment="1">
      <alignment horizontal="left" vertical="center"/>
    </xf>
    <xf numFmtId="0" fontId="4" fillId="5" borderId="1" xfId="3" applyFont="1" applyFill="1" applyBorder="1" applyAlignment="1">
      <alignment horizontal="left" vertical="center"/>
    </xf>
    <xf numFmtId="0" fontId="2" fillId="0" borderId="1" xfId="3" applyFont="1" applyBorder="1" applyAlignment="1">
      <alignment horizontal="right" vertical="center"/>
    </xf>
    <xf numFmtId="49" fontId="1" fillId="3" borderId="7" xfId="0" applyNumberFormat="1" applyFont="1" applyFill="1" applyBorder="1" applyAlignment="1">
      <alignment horizontal="center" vertical="center"/>
    </xf>
    <xf numFmtId="49" fontId="1" fillId="3" borderId="17" xfId="0" applyNumberFormat="1" applyFont="1" applyFill="1" applyBorder="1" applyAlignment="1">
      <alignment horizontal="center" vertical="center"/>
    </xf>
    <xf numFmtId="49" fontId="3" fillId="3" borderId="1" xfId="0" applyNumberFormat="1" applyFont="1" applyFill="1" applyBorder="1" applyAlignment="1">
      <alignment horizontal="center" vertical="center"/>
    </xf>
    <xf numFmtId="1" fontId="1" fillId="3" borderId="1" xfId="0" applyNumberFormat="1" applyFont="1" applyFill="1" applyBorder="1" applyAlignment="1">
      <alignment horizontal="center" vertical="center"/>
    </xf>
    <xf numFmtId="1" fontId="4" fillId="5" borderId="1" xfId="0" applyNumberFormat="1" applyFont="1" applyFill="1" applyBorder="1" applyAlignment="1">
      <alignment horizontal="left" vertical="center"/>
    </xf>
    <xf numFmtId="0" fontId="2" fillId="0" borderId="7" xfId="3" applyFont="1" applyBorder="1" applyAlignment="1">
      <alignment horizontal="right" vertical="center"/>
    </xf>
    <xf numFmtId="0" fontId="2" fillId="0" borderId="8" xfId="3" applyFont="1" applyBorder="1" applyAlignment="1">
      <alignment horizontal="right" vertical="center"/>
    </xf>
    <xf numFmtId="0" fontId="2" fillId="0" borderId="17" xfId="3" applyFont="1" applyBorder="1" applyAlignment="1">
      <alignment horizontal="right" vertical="center"/>
    </xf>
    <xf numFmtId="2" fontId="1" fillId="3" borderId="1" xfId="0" applyNumberFormat="1" applyFont="1" applyFill="1" applyBorder="1" applyAlignment="1">
      <alignment horizontal="center" vertical="center" wrapText="1"/>
    </xf>
    <xf numFmtId="0" fontId="4" fillId="0" borderId="1" xfId="3" applyFont="1" applyBorder="1" applyAlignment="1">
      <alignment horizontal="center" vertical="center"/>
    </xf>
    <xf numFmtId="0" fontId="2" fillId="5" borderId="1" xfId="3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right" vertical="center"/>
    </xf>
    <xf numFmtId="49" fontId="2" fillId="0" borderId="1" xfId="3" applyNumberFormat="1" applyFont="1" applyBorder="1" applyAlignment="1">
      <alignment horizontal="center" vertical="center"/>
    </xf>
    <xf numFmtId="0" fontId="2" fillId="0" borderId="1" xfId="3" applyFont="1" applyBorder="1" applyAlignment="1">
      <alignment horizontal="center" vertical="center"/>
    </xf>
    <xf numFmtId="0" fontId="4" fillId="5" borderId="1" xfId="0" applyFont="1" applyFill="1" applyBorder="1" applyAlignment="1">
      <alignment horizontal="left" vertical="center" wrapText="1"/>
    </xf>
    <xf numFmtId="0" fontId="4" fillId="5" borderId="1" xfId="0" applyFont="1" applyFill="1" applyBorder="1" applyAlignment="1">
      <alignment horizontal="left" vertical="center"/>
    </xf>
    <xf numFmtId="49" fontId="2" fillId="0" borderId="1" xfId="3" applyNumberFormat="1" applyFont="1" applyBorder="1" applyAlignment="1">
      <alignment horizontal="center"/>
    </xf>
    <xf numFmtId="49" fontId="4" fillId="3" borderId="7" xfId="0" applyNumberFormat="1" applyFont="1" applyFill="1" applyBorder="1" applyAlignment="1">
      <alignment horizontal="center" vertical="center"/>
    </xf>
    <xf numFmtId="49" fontId="4" fillId="3" borderId="8" xfId="0" applyNumberFormat="1" applyFont="1" applyFill="1" applyBorder="1" applyAlignment="1">
      <alignment horizontal="center" vertical="center"/>
    </xf>
    <xf numFmtId="49" fontId="4" fillId="3" borderId="17" xfId="0" applyNumberFormat="1" applyFont="1" applyFill="1" applyBorder="1" applyAlignment="1">
      <alignment horizontal="center" vertical="center"/>
    </xf>
    <xf numFmtId="0" fontId="2" fillId="0" borderId="7" xfId="3" applyFont="1" applyBorder="1" applyAlignment="1">
      <alignment horizontal="center" vertical="center"/>
    </xf>
    <xf numFmtId="0" fontId="2" fillId="0" borderId="8" xfId="3" applyFont="1" applyBorder="1" applyAlignment="1">
      <alignment horizontal="center" vertical="center"/>
    </xf>
    <xf numFmtId="0" fontId="2" fillId="0" borderId="17" xfId="3" applyFont="1" applyBorder="1" applyAlignment="1">
      <alignment horizontal="center" vertical="center"/>
    </xf>
    <xf numFmtId="10" fontId="2" fillId="0" borderId="18" xfId="2" applyNumberFormat="1" applyFont="1" applyFill="1" applyBorder="1" applyAlignment="1">
      <alignment horizontal="center" vertical="center"/>
    </xf>
    <xf numFmtId="10" fontId="2" fillId="0" borderId="2" xfId="2" applyNumberFormat="1" applyFont="1" applyFill="1" applyBorder="1" applyAlignment="1">
      <alignment horizontal="center" vertical="center"/>
    </xf>
    <xf numFmtId="0" fontId="4" fillId="3" borderId="1" xfId="0" applyFont="1" applyFill="1" applyBorder="1" applyAlignment="1">
      <alignment vertical="center"/>
    </xf>
    <xf numFmtId="0" fontId="4" fillId="5" borderId="18" xfId="0" applyFont="1" applyFill="1" applyBorder="1" applyAlignment="1">
      <alignment horizontal="left" vertical="center" wrapText="1"/>
    </xf>
    <xf numFmtId="49" fontId="2" fillId="0" borderId="18" xfId="3" applyNumberFormat="1" applyFont="1" applyBorder="1" applyAlignment="1">
      <alignment horizontal="center" vertical="center"/>
    </xf>
    <xf numFmtId="49" fontId="2" fillId="0" borderId="25" xfId="3" applyNumberFormat="1" applyFont="1" applyBorder="1" applyAlignment="1">
      <alignment horizontal="center" vertical="center"/>
    </xf>
    <xf numFmtId="49" fontId="2" fillId="0" borderId="2" xfId="3" applyNumberFormat="1" applyFont="1" applyBorder="1" applyAlignment="1">
      <alignment horizontal="center" vertical="center"/>
    </xf>
    <xf numFmtId="49" fontId="2" fillId="0" borderId="18" xfId="3" applyNumberFormat="1" applyFont="1" applyBorder="1" applyAlignment="1">
      <alignment horizontal="center" vertical="center" wrapText="1"/>
    </xf>
    <xf numFmtId="0" fontId="2" fillId="0" borderId="18" xfId="3" applyFont="1" applyBorder="1" applyAlignment="1">
      <alignment horizontal="center" vertical="center"/>
    </xf>
    <xf numFmtId="0" fontId="2" fillId="0" borderId="25" xfId="3" applyFont="1" applyBorder="1" applyAlignment="1">
      <alignment horizontal="center" vertical="center"/>
    </xf>
    <xf numFmtId="0" fontId="2" fillId="0" borderId="2" xfId="3" applyFont="1" applyBorder="1" applyAlignment="1">
      <alignment horizontal="center" vertical="center"/>
    </xf>
    <xf numFmtId="1" fontId="4" fillId="5" borderId="7" xfId="0" applyNumberFormat="1" applyFont="1" applyFill="1" applyBorder="1" applyAlignment="1">
      <alignment horizontal="left" vertical="center"/>
    </xf>
    <xf numFmtId="1" fontId="4" fillId="5" borderId="8" xfId="0" applyNumberFormat="1" applyFont="1" applyFill="1" applyBorder="1" applyAlignment="1">
      <alignment horizontal="left" vertical="center"/>
    </xf>
    <xf numFmtId="1" fontId="4" fillId="5" borderId="17" xfId="0" applyNumberFormat="1" applyFont="1" applyFill="1" applyBorder="1" applyAlignment="1">
      <alignment horizontal="left" vertical="center"/>
    </xf>
    <xf numFmtId="0" fontId="4" fillId="5" borderId="7" xfId="3" applyFont="1" applyFill="1" applyBorder="1" applyAlignment="1">
      <alignment horizontal="left" vertical="center"/>
    </xf>
    <xf numFmtId="0" fontId="4" fillId="5" borderId="8" xfId="3" applyFont="1" applyFill="1" applyBorder="1" applyAlignment="1">
      <alignment horizontal="left" vertical="center"/>
    </xf>
    <xf numFmtId="0" fontId="4" fillId="5" borderId="17" xfId="3" applyFont="1" applyFill="1" applyBorder="1" applyAlignment="1">
      <alignment horizontal="left" vertical="center"/>
    </xf>
    <xf numFmtId="172" fontId="22" fillId="0" borderId="66" xfId="0" applyNumberFormat="1" applyFont="1" applyBorder="1" applyAlignment="1">
      <alignment horizontal="center" vertical="center" wrapText="1"/>
    </xf>
    <xf numFmtId="172" fontId="22" fillId="0" borderId="65" xfId="0" applyNumberFormat="1" applyFont="1" applyBorder="1" applyAlignment="1">
      <alignment horizontal="center" vertical="center" wrapText="1"/>
    </xf>
    <xf numFmtId="172" fontId="22" fillId="9" borderId="63" xfId="0" applyNumberFormat="1" applyFont="1" applyFill="1" applyBorder="1" applyAlignment="1">
      <alignment horizontal="center" vertical="center"/>
    </xf>
    <xf numFmtId="172" fontId="22" fillId="9" borderId="67" xfId="0" applyNumberFormat="1" applyFont="1" applyFill="1" applyBorder="1" applyAlignment="1">
      <alignment horizontal="center" vertical="center"/>
    </xf>
    <xf numFmtId="172" fontId="22" fillId="9" borderId="63" xfId="0" applyNumberFormat="1" applyFont="1" applyFill="1" applyBorder="1" applyAlignment="1">
      <alignment horizontal="center" vertical="center" wrapText="1"/>
    </xf>
    <xf numFmtId="172" fontId="22" fillId="9" borderId="67" xfId="0" applyNumberFormat="1" applyFont="1" applyFill="1" applyBorder="1" applyAlignment="1">
      <alignment horizontal="center" vertical="center" wrapText="1"/>
    </xf>
    <xf numFmtId="172" fontId="22" fillId="0" borderId="31" xfId="0" applyNumberFormat="1" applyFont="1" applyBorder="1" applyAlignment="1">
      <alignment horizontal="center" vertical="center" wrapText="1"/>
    </xf>
    <xf numFmtId="172" fontId="22" fillId="0" borderId="39" xfId="0" applyNumberFormat="1" applyFont="1" applyBorder="1" applyAlignment="1">
      <alignment horizontal="center" vertical="center" wrapText="1"/>
    </xf>
    <xf numFmtId="172" fontId="22" fillId="0" borderId="64" xfId="0" applyNumberFormat="1" applyFont="1" applyBorder="1" applyAlignment="1">
      <alignment horizontal="center" vertical="center" wrapText="1"/>
    </xf>
    <xf numFmtId="172" fontId="22" fillId="0" borderId="0" xfId="0" applyNumberFormat="1" applyFont="1" applyAlignment="1">
      <alignment horizontal="center" vertical="center" wrapText="1"/>
    </xf>
    <xf numFmtId="0" fontId="17" fillId="8" borderId="66" xfId="0" applyFont="1" applyFill="1" applyBorder="1" applyAlignment="1">
      <alignment horizontal="center"/>
    </xf>
    <xf numFmtId="0" fontId="17" fillId="8" borderId="64" xfId="0" applyFont="1" applyFill="1" applyBorder="1" applyAlignment="1">
      <alignment horizontal="center"/>
    </xf>
    <xf numFmtId="0" fontId="17" fillId="8" borderId="65" xfId="0" applyFont="1" applyFill="1" applyBorder="1" applyAlignment="1">
      <alignment horizontal="center"/>
    </xf>
    <xf numFmtId="172" fontId="33" fillId="8" borderId="9" xfId="0" applyNumberFormat="1" applyFont="1" applyFill="1" applyBorder="1" applyAlignment="1">
      <alignment horizontal="center" vertical="center" wrapText="1"/>
    </xf>
    <xf numFmtId="172" fontId="33" fillId="8" borderId="10" xfId="0" applyNumberFormat="1" applyFont="1" applyFill="1" applyBorder="1" applyAlignment="1">
      <alignment horizontal="center" vertical="center" wrapText="1"/>
    </xf>
    <xf numFmtId="172" fontId="33" fillId="8" borderId="43" xfId="0" applyNumberFormat="1" applyFont="1" applyFill="1" applyBorder="1" applyAlignment="1">
      <alignment horizontal="center" vertical="center" wrapText="1"/>
    </xf>
    <xf numFmtId="172" fontId="33" fillId="8" borderId="12" xfId="0" applyNumberFormat="1" applyFont="1" applyFill="1" applyBorder="1" applyAlignment="1">
      <alignment horizontal="center" vertical="center" wrapText="1"/>
    </xf>
    <xf numFmtId="172" fontId="33" fillId="8" borderId="0" xfId="0" applyNumberFormat="1" applyFont="1" applyFill="1" applyAlignment="1">
      <alignment horizontal="center" vertical="center" wrapText="1"/>
    </xf>
    <xf numFmtId="172" fontId="33" fillId="8" borderId="26" xfId="0" applyNumberFormat="1" applyFont="1" applyFill="1" applyBorder="1" applyAlignment="1">
      <alignment horizontal="center" vertical="center" wrapText="1"/>
    </xf>
    <xf numFmtId="172" fontId="33" fillId="8" borderId="3" xfId="0" applyNumberFormat="1" applyFont="1" applyFill="1" applyBorder="1" applyAlignment="1">
      <alignment horizontal="center" vertical="center" wrapText="1"/>
    </xf>
    <xf numFmtId="172" fontId="33" fillId="8" borderId="14" xfId="0" applyNumberFormat="1" applyFont="1" applyFill="1" applyBorder="1" applyAlignment="1">
      <alignment horizontal="center" vertical="center" wrapText="1"/>
    </xf>
    <xf numFmtId="172" fontId="33" fillId="8" borderId="40" xfId="0" applyNumberFormat="1" applyFont="1" applyFill="1" applyBorder="1" applyAlignment="1">
      <alignment horizontal="center" vertical="center" wrapText="1"/>
    </xf>
    <xf numFmtId="0" fontId="18" fillId="8" borderId="58" xfId="0" applyFont="1" applyFill="1" applyBorder="1" applyAlignment="1">
      <alignment horizontal="left" vertical="center"/>
    </xf>
    <xf numFmtId="0" fontId="18" fillId="8" borderId="19" xfId="0" applyFont="1" applyFill="1" applyBorder="1" applyAlignment="1">
      <alignment horizontal="left" vertical="center"/>
    </xf>
    <xf numFmtId="14" fontId="19" fillId="0" borderId="30" xfId="0" applyNumberFormat="1" applyFont="1" applyBorder="1" applyAlignment="1">
      <alignment horizontal="right" vertical="center"/>
    </xf>
    <xf numFmtId="14" fontId="19" fillId="0" borderId="20" xfId="0" applyNumberFormat="1" applyFont="1" applyBorder="1" applyAlignment="1">
      <alignment horizontal="right" vertical="center"/>
    </xf>
    <xf numFmtId="49" fontId="19" fillId="8" borderId="61" xfId="0" applyNumberFormat="1" applyFont="1" applyFill="1" applyBorder="1" applyAlignment="1">
      <alignment horizontal="right" vertical="center"/>
    </xf>
    <xf numFmtId="49" fontId="19" fillId="8" borderId="37" xfId="0" applyNumberFormat="1" applyFont="1" applyFill="1" applyBorder="1" applyAlignment="1">
      <alignment horizontal="right" vertical="center"/>
    </xf>
    <xf numFmtId="0" fontId="18" fillId="8" borderId="30" xfId="0" applyFont="1" applyFill="1" applyBorder="1" applyAlignment="1">
      <alignment horizontal="center" vertical="center"/>
    </xf>
    <xf numFmtId="0" fontId="18" fillId="8" borderId="20" xfId="0" applyFont="1" applyFill="1" applyBorder="1" applyAlignment="1">
      <alignment horizontal="center" vertical="center"/>
    </xf>
  </cellXfs>
  <cellStyles count="7">
    <cellStyle name="Normal" xfId="0" builtinId="0"/>
    <cellStyle name="Normal 11" xfId="3" xr:uid="{00000000-0005-0000-0000-000001000000}"/>
    <cellStyle name="Normal 2 2 2" xfId="6" xr:uid="{00000000-0005-0000-0000-000002000000}"/>
    <cellStyle name="Porcentagem" xfId="2" builtinId="5"/>
    <cellStyle name="Porcentagem 11" xfId="4" xr:uid="{00000000-0005-0000-0000-000004000000}"/>
    <cellStyle name="Porcentagem 11 2" xfId="5" xr:uid="{00000000-0005-0000-0000-000005000000}"/>
    <cellStyle name="Vírgula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152400</xdr:colOff>
          <xdr:row>0</xdr:row>
          <xdr:rowOff>95250</xdr:rowOff>
        </xdr:from>
        <xdr:to>
          <xdr:col>1</xdr:col>
          <xdr:colOff>1438275</xdr:colOff>
          <xdr:row>4</xdr:row>
          <xdr:rowOff>28575</xdr:rowOff>
        </xdr:to>
        <xdr:sp macro="" textlink="">
          <xdr:nvSpPr>
            <xdr:cNvPr id="31745" name="Object 1" hidden="1">
              <a:extLst>
                <a:ext uri="{63B3BB69-23CF-44E3-9099-C40C66FF867C}">
                  <a14:compatExt spid="_x0000_s31745"/>
                </a:ext>
                <a:ext uri="{FF2B5EF4-FFF2-40B4-BE49-F238E27FC236}">
                  <a16:creationId xmlns:a16="http://schemas.microsoft.com/office/drawing/2014/main" id="{00000000-0008-0000-0400-0000017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13</xdr:col>
      <xdr:colOff>453866</xdr:colOff>
      <xdr:row>47</xdr:row>
      <xdr:rowOff>161924</xdr:rowOff>
    </xdr:from>
    <xdr:to>
      <xdr:col>16</xdr:col>
      <xdr:colOff>427673</xdr:colOff>
      <xdr:row>47</xdr:row>
      <xdr:rowOff>161924</xdr:rowOff>
    </xdr:to>
    <xdr:cxnSp macro="">
      <xdr:nvCxnSpPr>
        <xdr:cNvPr id="3" name="Conector reto 2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CxnSpPr/>
      </xdr:nvCxnSpPr>
      <xdr:spPr>
        <a:xfrm>
          <a:off x="9893141" y="8829674"/>
          <a:ext cx="2040732" cy="0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163830</xdr:colOff>
      <xdr:row>48</xdr:row>
      <xdr:rowOff>0</xdr:rowOff>
    </xdr:from>
    <xdr:to>
      <xdr:col>11</xdr:col>
      <xdr:colOff>394335</xdr:colOff>
      <xdr:row>48</xdr:row>
      <xdr:rowOff>0</xdr:rowOff>
    </xdr:to>
    <xdr:cxnSp macro="">
      <xdr:nvCxnSpPr>
        <xdr:cNvPr id="4" name="Conector reto 3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CxnSpPr/>
      </xdr:nvCxnSpPr>
      <xdr:spPr>
        <a:xfrm>
          <a:off x="6097905" y="7391400"/>
          <a:ext cx="2478405" cy="0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453866</xdr:colOff>
      <xdr:row>101</xdr:row>
      <xdr:rowOff>161924</xdr:rowOff>
    </xdr:from>
    <xdr:to>
      <xdr:col>16</xdr:col>
      <xdr:colOff>427673</xdr:colOff>
      <xdr:row>101</xdr:row>
      <xdr:rowOff>161924</xdr:rowOff>
    </xdr:to>
    <xdr:cxnSp macro="">
      <xdr:nvCxnSpPr>
        <xdr:cNvPr id="5" name="Conector reto 4"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CxnSpPr/>
      </xdr:nvCxnSpPr>
      <xdr:spPr>
        <a:xfrm>
          <a:off x="9893141" y="8829674"/>
          <a:ext cx="2040732" cy="0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163830</xdr:colOff>
      <xdr:row>102</xdr:row>
      <xdr:rowOff>0</xdr:rowOff>
    </xdr:from>
    <xdr:to>
      <xdr:col>11</xdr:col>
      <xdr:colOff>394335</xdr:colOff>
      <xdr:row>102</xdr:row>
      <xdr:rowOff>0</xdr:rowOff>
    </xdr:to>
    <xdr:cxnSp macro="">
      <xdr:nvCxnSpPr>
        <xdr:cNvPr id="6" name="Conector reto 5">
          <a:extLst>
            <a:ext uri="{FF2B5EF4-FFF2-40B4-BE49-F238E27FC236}">
              <a16:creationId xmlns:a16="http://schemas.microsoft.com/office/drawing/2014/main" id="{00000000-0008-0000-0400-000006000000}"/>
            </a:ext>
          </a:extLst>
        </xdr:cNvPr>
        <xdr:cNvCxnSpPr/>
      </xdr:nvCxnSpPr>
      <xdr:spPr>
        <a:xfrm>
          <a:off x="6297930" y="8829675"/>
          <a:ext cx="2059305" cy="0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453866</xdr:colOff>
      <xdr:row>152</xdr:row>
      <xdr:rowOff>161924</xdr:rowOff>
    </xdr:from>
    <xdr:to>
      <xdr:col>16</xdr:col>
      <xdr:colOff>427673</xdr:colOff>
      <xdr:row>152</xdr:row>
      <xdr:rowOff>161924</xdr:rowOff>
    </xdr:to>
    <xdr:cxnSp macro="">
      <xdr:nvCxnSpPr>
        <xdr:cNvPr id="7" name="Conector reto 6">
          <a:extLst>
            <a:ext uri="{FF2B5EF4-FFF2-40B4-BE49-F238E27FC236}">
              <a16:creationId xmlns:a16="http://schemas.microsoft.com/office/drawing/2014/main" id="{00000000-0008-0000-0400-000007000000}"/>
            </a:ext>
          </a:extLst>
        </xdr:cNvPr>
        <xdr:cNvCxnSpPr/>
      </xdr:nvCxnSpPr>
      <xdr:spPr>
        <a:xfrm>
          <a:off x="9893141" y="17059274"/>
          <a:ext cx="2040732" cy="0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163830</xdr:colOff>
      <xdr:row>153</xdr:row>
      <xdr:rowOff>0</xdr:rowOff>
    </xdr:from>
    <xdr:to>
      <xdr:col>11</xdr:col>
      <xdr:colOff>394335</xdr:colOff>
      <xdr:row>153</xdr:row>
      <xdr:rowOff>0</xdr:rowOff>
    </xdr:to>
    <xdr:cxnSp macro="">
      <xdr:nvCxnSpPr>
        <xdr:cNvPr id="8" name="Conector reto 7">
          <a:extLst>
            <a:ext uri="{FF2B5EF4-FFF2-40B4-BE49-F238E27FC236}">
              <a16:creationId xmlns:a16="http://schemas.microsoft.com/office/drawing/2014/main" id="{00000000-0008-0000-0400-000008000000}"/>
            </a:ext>
          </a:extLst>
        </xdr:cNvPr>
        <xdr:cNvCxnSpPr/>
      </xdr:nvCxnSpPr>
      <xdr:spPr>
        <a:xfrm>
          <a:off x="6297930" y="17059275"/>
          <a:ext cx="2059305" cy="0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453866</xdr:colOff>
      <xdr:row>205</xdr:row>
      <xdr:rowOff>161924</xdr:rowOff>
    </xdr:from>
    <xdr:to>
      <xdr:col>16</xdr:col>
      <xdr:colOff>427673</xdr:colOff>
      <xdr:row>205</xdr:row>
      <xdr:rowOff>161924</xdr:rowOff>
    </xdr:to>
    <xdr:cxnSp macro="">
      <xdr:nvCxnSpPr>
        <xdr:cNvPr id="9" name="Conector reto 8">
          <a:extLst>
            <a:ext uri="{FF2B5EF4-FFF2-40B4-BE49-F238E27FC236}">
              <a16:creationId xmlns:a16="http://schemas.microsoft.com/office/drawing/2014/main" id="{00000000-0008-0000-0400-000009000000}"/>
            </a:ext>
          </a:extLst>
        </xdr:cNvPr>
        <xdr:cNvCxnSpPr/>
      </xdr:nvCxnSpPr>
      <xdr:spPr>
        <a:xfrm>
          <a:off x="9893141" y="24945974"/>
          <a:ext cx="2040732" cy="0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163830</xdr:colOff>
      <xdr:row>206</xdr:row>
      <xdr:rowOff>0</xdr:rowOff>
    </xdr:from>
    <xdr:to>
      <xdr:col>11</xdr:col>
      <xdr:colOff>394335</xdr:colOff>
      <xdr:row>206</xdr:row>
      <xdr:rowOff>0</xdr:rowOff>
    </xdr:to>
    <xdr:cxnSp macro="">
      <xdr:nvCxnSpPr>
        <xdr:cNvPr id="10" name="Conector reto 9">
          <a:extLst>
            <a:ext uri="{FF2B5EF4-FFF2-40B4-BE49-F238E27FC236}">
              <a16:creationId xmlns:a16="http://schemas.microsoft.com/office/drawing/2014/main" id="{00000000-0008-0000-0400-00000A000000}"/>
            </a:ext>
          </a:extLst>
        </xdr:cNvPr>
        <xdr:cNvCxnSpPr/>
      </xdr:nvCxnSpPr>
      <xdr:spPr>
        <a:xfrm>
          <a:off x="6297930" y="24945975"/>
          <a:ext cx="2059305" cy="0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453866</xdr:colOff>
      <xdr:row>257</xdr:row>
      <xdr:rowOff>161924</xdr:rowOff>
    </xdr:from>
    <xdr:to>
      <xdr:col>16</xdr:col>
      <xdr:colOff>427673</xdr:colOff>
      <xdr:row>257</xdr:row>
      <xdr:rowOff>161924</xdr:rowOff>
    </xdr:to>
    <xdr:cxnSp macro="">
      <xdr:nvCxnSpPr>
        <xdr:cNvPr id="11" name="Conector reto 10">
          <a:extLst>
            <a:ext uri="{FF2B5EF4-FFF2-40B4-BE49-F238E27FC236}">
              <a16:creationId xmlns:a16="http://schemas.microsoft.com/office/drawing/2014/main" id="{00000000-0008-0000-0400-00000B000000}"/>
            </a:ext>
          </a:extLst>
        </xdr:cNvPr>
        <xdr:cNvCxnSpPr/>
      </xdr:nvCxnSpPr>
      <xdr:spPr>
        <a:xfrm>
          <a:off x="9893141" y="33070799"/>
          <a:ext cx="2040732" cy="0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163830</xdr:colOff>
      <xdr:row>258</xdr:row>
      <xdr:rowOff>0</xdr:rowOff>
    </xdr:from>
    <xdr:to>
      <xdr:col>11</xdr:col>
      <xdr:colOff>394335</xdr:colOff>
      <xdr:row>258</xdr:row>
      <xdr:rowOff>0</xdr:rowOff>
    </xdr:to>
    <xdr:cxnSp macro="">
      <xdr:nvCxnSpPr>
        <xdr:cNvPr id="12" name="Conector reto 11">
          <a:extLst>
            <a:ext uri="{FF2B5EF4-FFF2-40B4-BE49-F238E27FC236}">
              <a16:creationId xmlns:a16="http://schemas.microsoft.com/office/drawing/2014/main" id="{00000000-0008-0000-0400-00000C000000}"/>
            </a:ext>
          </a:extLst>
        </xdr:cNvPr>
        <xdr:cNvCxnSpPr/>
      </xdr:nvCxnSpPr>
      <xdr:spPr>
        <a:xfrm>
          <a:off x="6297930" y="33070800"/>
          <a:ext cx="2059305" cy="0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453866</xdr:colOff>
      <xdr:row>310</xdr:row>
      <xdr:rowOff>161924</xdr:rowOff>
    </xdr:from>
    <xdr:to>
      <xdr:col>16</xdr:col>
      <xdr:colOff>427673</xdr:colOff>
      <xdr:row>310</xdr:row>
      <xdr:rowOff>161924</xdr:rowOff>
    </xdr:to>
    <xdr:cxnSp macro="">
      <xdr:nvCxnSpPr>
        <xdr:cNvPr id="13" name="Conector reto 12">
          <a:extLst>
            <a:ext uri="{FF2B5EF4-FFF2-40B4-BE49-F238E27FC236}">
              <a16:creationId xmlns:a16="http://schemas.microsoft.com/office/drawing/2014/main" id="{00000000-0008-0000-0400-00000D000000}"/>
            </a:ext>
          </a:extLst>
        </xdr:cNvPr>
        <xdr:cNvCxnSpPr/>
      </xdr:nvCxnSpPr>
      <xdr:spPr>
        <a:xfrm>
          <a:off x="9893141" y="41043224"/>
          <a:ext cx="2040732" cy="0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163830</xdr:colOff>
      <xdr:row>311</xdr:row>
      <xdr:rowOff>0</xdr:rowOff>
    </xdr:from>
    <xdr:to>
      <xdr:col>11</xdr:col>
      <xdr:colOff>394335</xdr:colOff>
      <xdr:row>311</xdr:row>
      <xdr:rowOff>0</xdr:rowOff>
    </xdr:to>
    <xdr:cxnSp macro="">
      <xdr:nvCxnSpPr>
        <xdr:cNvPr id="14" name="Conector reto 13">
          <a:extLst>
            <a:ext uri="{FF2B5EF4-FFF2-40B4-BE49-F238E27FC236}">
              <a16:creationId xmlns:a16="http://schemas.microsoft.com/office/drawing/2014/main" id="{00000000-0008-0000-0400-00000E000000}"/>
            </a:ext>
          </a:extLst>
        </xdr:cNvPr>
        <xdr:cNvCxnSpPr/>
      </xdr:nvCxnSpPr>
      <xdr:spPr>
        <a:xfrm>
          <a:off x="6297930" y="41043225"/>
          <a:ext cx="2059305" cy="0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453866</xdr:colOff>
      <xdr:row>362</xdr:row>
      <xdr:rowOff>161924</xdr:rowOff>
    </xdr:from>
    <xdr:to>
      <xdr:col>16</xdr:col>
      <xdr:colOff>427673</xdr:colOff>
      <xdr:row>362</xdr:row>
      <xdr:rowOff>161924</xdr:rowOff>
    </xdr:to>
    <xdr:cxnSp macro="">
      <xdr:nvCxnSpPr>
        <xdr:cNvPr id="15" name="Conector reto 14">
          <a:extLst>
            <a:ext uri="{FF2B5EF4-FFF2-40B4-BE49-F238E27FC236}">
              <a16:creationId xmlns:a16="http://schemas.microsoft.com/office/drawing/2014/main" id="{00000000-0008-0000-0400-00000F000000}"/>
            </a:ext>
          </a:extLst>
        </xdr:cNvPr>
        <xdr:cNvCxnSpPr/>
      </xdr:nvCxnSpPr>
      <xdr:spPr>
        <a:xfrm>
          <a:off x="9893141" y="49168049"/>
          <a:ext cx="2040732" cy="0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163830</xdr:colOff>
      <xdr:row>363</xdr:row>
      <xdr:rowOff>0</xdr:rowOff>
    </xdr:from>
    <xdr:to>
      <xdr:col>11</xdr:col>
      <xdr:colOff>394335</xdr:colOff>
      <xdr:row>363</xdr:row>
      <xdr:rowOff>0</xdr:rowOff>
    </xdr:to>
    <xdr:cxnSp macro="">
      <xdr:nvCxnSpPr>
        <xdr:cNvPr id="16" name="Conector reto 15">
          <a:extLst>
            <a:ext uri="{FF2B5EF4-FFF2-40B4-BE49-F238E27FC236}">
              <a16:creationId xmlns:a16="http://schemas.microsoft.com/office/drawing/2014/main" id="{00000000-0008-0000-0400-000010000000}"/>
            </a:ext>
          </a:extLst>
        </xdr:cNvPr>
        <xdr:cNvCxnSpPr/>
      </xdr:nvCxnSpPr>
      <xdr:spPr>
        <a:xfrm>
          <a:off x="6297930" y="49168050"/>
          <a:ext cx="2059305" cy="0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k-mc-0218\Marcia\PATO\Documents%20and%20Settings\USER\Meus%20documentos\Dnit\Documentos\PATO\BR-262-PATONOV06-ANASTACIO-MIRANDA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Users\rodrigo.zavan\Desktop\Adequa&#231;&#227;o%2520AGESUL\Fernando\Mem.%2520C&#225;lculo%2520Reprograma&#231;&#227;o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Projetos%20(Z)\DOCUME~1\Lucas\LOCALS~1\Temp\Rar$DI00.515\OR&#199;AMENTO%20CG%20-TL%20-%20DEFINITIVO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VENTÁRIO"/>
      <sheetName val="TREVOS"/>
      <sheetName val="CROQUIS"/>
      <sheetName val="MB"/>
      <sheetName val="AQ TR MB"/>
      <sheetName val="MOBIL-CANT"/>
      <sheetName val="MAT PLACA"/>
      <sheetName val="SERVIÇOS"/>
      <sheetName val="ORÇAMENTO"/>
      <sheetName val="TLCB5"/>
      <sheetName val="TLMR"/>
      <sheetName val="TLCC4"/>
      <sheetName val="TLMB"/>
      <sheetName val="TCCB10"/>
      <sheetName val="CRONOGAMA 1º"/>
      <sheetName val="CRONOGAMA 2º"/>
      <sheetName val="COMPAUTO"/>
      <sheetName val="COMPSERVENC"/>
      <sheetName val="COMPMOTSER"/>
      <sheetName val="COMPOSIÇÕES2 (2)"/>
      <sheetName val="Detalhada por serviço"/>
      <sheetName val="PlanMedição"/>
      <sheetName val="Mem Cálc Campo "/>
      <sheetName val="Aquidauana"/>
      <sheetName val="Corguinho"/>
      <sheetName val="Camapuã"/>
      <sheetName val="Memoria Cálc Terraplenagem"/>
      <sheetName val="Mem Cálc Terraplen Aquidauana "/>
      <sheetName val="Mem Cálc Terraplen Corguinho"/>
      <sheetName val="Mem Cálc Terraplen Camapuã"/>
      <sheetName val="Memoria Cálc Drenagem"/>
      <sheetName val="Mem Cálc Dren Aquidauana"/>
      <sheetName val="Mem Cálc Dren Corguinho"/>
      <sheetName val="Mem Cálc Dren Camapuã"/>
      <sheetName val="Memoria Cálc Transporte"/>
      <sheetName val="Mem Cálc Transp Aquidauana"/>
      <sheetName val="Mem Cálc Transp Corguinho"/>
      <sheetName val="Mem Cálc Transp Camapuã"/>
      <sheetName val="Memoria Cálc Adm Local"/>
      <sheetName val="Mem Cálc Adm Local Aquidauana"/>
      <sheetName val="Mem Cálc Adm Local Corguinho"/>
      <sheetName val="Mem Cálc Adm Local Camapuã"/>
      <sheetName val="Plan1"/>
      <sheetName val="1.6"/>
    </sheetNames>
    <sheetDataSet>
      <sheetData sheetId="0" refreshError="1">
        <row r="3">
          <cell r="B3">
            <v>0.23899999999999999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>
        <row r="3">
          <cell r="B3">
            <v>0</v>
          </cell>
        </row>
      </sheetData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odelo"/>
      <sheetName val="Dados"/>
      <sheetName val="CAPAS"/>
      <sheetName val="RESUMO"/>
      <sheetName val="Planilha de Medição"/>
      <sheetName val="Serv. Prelim."/>
      <sheetName val="Mem_RL"/>
      <sheetName val="Rest. Asf."/>
      <sheetName val="Mem_RP"/>
      <sheetName val="Mem_CorrDef"/>
      <sheetName val="Men- aplic CBUQ"/>
      <sheetName val="CROQUI aplic MICRO mod"/>
      <sheetName val="Men-Reciclagem"/>
      <sheetName val="Men-Imprimacao"/>
      <sheetName val="Men-CBUQ-Capa"/>
      <sheetName val="Men-Pintura esp."/>
      <sheetName val="Men-tacha"/>
      <sheetName val="Men-tachao"/>
      <sheetName val="Men-Sarjeta"/>
      <sheetName val="Men-Limp.vala dren."/>
      <sheetName val="CROQUI aplic MICRO"/>
      <sheetName val="Cronograma"/>
      <sheetName val="CROQUI aplic MICRO (5)"/>
    </sheetNames>
    <sheetDataSet>
      <sheetData sheetId="0"/>
      <sheetData sheetId="1">
        <row r="7">
          <cell r="C7" t="str">
            <v>Restauração asfáltica em diversas ruas no município de Terenos/MS, numa área de 51.418,62 m2</v>
          </cell>
        </row>
        <row r="28">
          <cell r="C28" t="str">
            <v>Nº 19/101.097/2014</v>
          </cell>
        </row>
        <row r="29">
          <cell r="C29" t="str">
            <v>OV 120/2014</v>
          </cell>
        </row>
        <row r="31">
          <cell r="C31">
            <v>60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QUIPAMENTOS"/>
      <sheetName val="Cronograma"/>
      <sheetName val="ORÇAMENTO"/>
      <sheetName val="Transp_Mat_Betum"/>
      <sheetName val="RESUMO"/>
      <sheetName val="QUANTIDADES"/>
      <sheetName val="QUADRO 05"/>
      <sheetName val="CRONOGRAMA_P"/>
      <sheetName val="DNIT x EMPRESA"/>
      <sheetName val="QUADRO 03"/>
      <sheetName val="QUADRO 06"/>
      <sheetName val="QUADRO-05"/>
      <sheetName val="QUADRO 07 - I"/>
      <sheetName val="QUADRO 07 - II"/>
      <sheetName val="QUADRO 07 - 13 - III"/>
      <sheetName val="QUADRO 10"/>
      <sheetName val="QUADRO 12"/>
      <sheetName val="QUANTITATIVOS"/>
      <sheetName val="QUADRO 04 (2)"/>
      <sheetName val="L. SOC. (2)"/>
      <sheetName val="COMP. BDI"/>
      <sheetName val="L. SOC."/>
      <sheetName val="MULTIPL."/>
      <sheetName val="EQUIP."/>
      <sheetName val="INSUMOS"/>
      <sheetName val="QUADRO 04"/>
      <sheetName val="DADOS"/>
      <sheetName val="SERVIÇOS"/>
      <sheetName val="PCPU"/>
      <sheetName val="PEM"/>
      <sheetName val="SERV-AUXILIARES"/>
      <sheetName val="C-SERV-AUXILIARES"/>
      <sheetName val="CUSTOS_EQ"/>
      <sheetName val="QUADRO 07 - CRONOG"/>
      <sheetName val="Memória de Cálculo"/>
      <sheetName val="QUADRO_05"/>
      <sheetName val="DNIT_x_EMPRESA"/>
      <sheetName val="QUADRO_03"/>
      <sheetName val="QUADRO_06"/>
      <sheetName val="QUADRO_07_-_I"/>
      <sheetName val="QUADRO_07_-_II"/>
      <sheetName val="QUADRO_07_-_13_-_III"/>
      <sheetName val="QUADRO_10"/>
      <sheetName val="QUADRO_12"/>
      <sheetName val="QUADRO_04_(2)"/>
      <sheetName val="L__SOC__(2)"/>
      <sheetName val="COMP__BDI"/>
      <sheetName val="L__SOC_"/>
      <sheetName val="MULTIPL_"/>
      <sheetName val="EQUIP_"/>
      <sheetName val="QUADRO_04"/>
      <sheetName val="QUADRO_07_-_CRONOG"/>
      <sheetName val="f. mediçao"/>
      <sheetName val="correção"/>
      <sheetName val="MBUQ"/>
      <sheetName val="recomp. revest. cbuq"/>
      <sheetName val="TRANSPORTE"/>
      <sheetName val="T. BURACO"/>
      <sheetName val="Tela"/>
      <sheetName val="Atualizacao"/>
      <sheetName val="Chuvas"/>
      <sheetName val="Mediçã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>
        <row r="3">
          <cell r="B3" t="str">
            <v>Três Lagoas - MS</v>
          </cell>
        </row>
        <row r="12">
          <cell r="B12" t="str">
            <v>Prefeitura Municipal de Três Lagoas</v>
          </cell>
        </row>
        <row r="50">
          <cell r="B50" t="str">
            <v>Implantação do Contorno Ferroviário de Três Lagoas</v>
          </cell>
        </row>
      </sheetData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5.bin"/><Relationship Id="rId6" Type="http://schemas.openxmlformats.org/officeDocument/2006/relationships/comments" Target="../comments2.xml"/><Relationship Id="rId5" Type="http://schemas.openxmlformats.org/officeDocument/2006/relationships/image" Target="../media/image1.emf"/><Relationship Id="rId4" Type="http://schemas.openxmlformats.org/officeDocument/2006/relationships/oleObject" Target="../embeddings/oleObject1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B0F0"/>
    <pageSetUpPr fitToPage="1"/>
  </sheetPr>
  <dimension ref="A1:AK42"/>
  <sheetViews>
    <sheetView view="pageBreakPreview" zoomScaleNormal="100" zoomScaleSheetLayoutView="100" workbookViewId="0">
      <selection activeCell="A33" sqref="A33"/>
    </sheetView>
  </sheetViews>
  <sheetFormatPr defaultColWidth="9.140625" defaultRowHeight="12" x14ac:dyDescent="0.2"/>
  <cols>
    <col min="1" max="1" width="9.28515625" style="48" customWidth="1"/>
    <col min="2" max="2" width="23.5703125" style="48" customWidth="1"/>
    <col min="3" max="3" width="14.85546875" style="48" customWidth="1"/>
    <col min="4" max="4" width="28.28515625" style="48" bestFit="1" customWidth="1"/>
    <col min="5" max="5" width="22.85546875" style="48" customWidth="1"/>
    <col min="6" max="6" width="14.28515625" style="48" customWidth="1"/>
    <col min="7" max="8" width="13.42578125" style="48" customWidth="1"/>
    <col min="9" max="9" width="12.85546875" style="48" customWidth="1"/>
    <col min="10" max="12" width="13.42578125" style="48" customWidth="1"/>
    <col min="13" max="13" width="16.140625" style="48" customWidth="1"/>
    <col min="14" max="16384" width="9.140625" style="48"/>
  </cols>
  <sheetData>
    <row r="1" spans="1:37" ht="15" customHeight="1" x14ac:dyDescent="0.2">
      <c r="A1" s="453" t="s">
        <v>522</v>
      </c>
      <c r="B1" s="454"/>
      <c r="C1" s="454"/>
      <c r="D1" s="454"/>
      <c r="E1" s="454"/>
      <c r="F1" s="454"/>
      <c r="G1" s="454"/>
      <c r="H1" s="454"/>
      <c r="I1" s="454"/>
      <c r="J1" s="454"/>
      <c r="K1" s="454"/>
      <c r="L1" s="454"/>
      <c r="M1" s="455"/>
    </row>
    <row r="2" spans="1:37" ht="15" customHeight="1" x14ac:dyDescent="0.2">
      <c r="A2" s="456" t="s">
        <v>523</v>
      </c>
      <c r="B2" s="457"/>
      <c r="C2" s="457"/>
      <c r="D2" s="457"/>
      <c r="E2" s="457"/>
      <c r="F2" s="457"/>
      <c r="G2" s="457"/>
      <c r="H2" s="457"/>
      <c r="I2" s="457"/>
      <c r="J2" s="457"/>
      <c r="K2" s="457"/>
      <c r="L2" s="457"/>
      <c r="M2" s="458"/>
    </row>
    <row r="3" spans="1:37" ht="15" customHeight="1" x14ac:dyDescent="0.2">
      <c r="A3" s="456" t="s">
        <v>521</v>
      </c>
      <c r="B3" s="457"/>
      <c r="C3" s="457"/>
      <c r="D3" s="457"/>
      <c r="E3" s="457"/>
      <c r="F3" s="457"/>
      <c r="G3" s="457"/>
      <c r="H3" s="457"/>
      <c r="I3" s="457"/>
      <c r="J3" s="457"/>
      <c r="K3" s="457"/>
      <c r="L3" s="457"/>
      <c r="M3" s="458"/>
    </row>
    <row r="4" spans="1:37" ht="15" customHeight="1" x14ac:dyDescent="0.2">
      <c r="A4" s="456" t="s">
        <v>520</v>
      </c>
      <c r="B4" s="457"/>
      <c r="C4" s="457"/>
      <c r="D4" s="457"/>
      <c r="E4" s="457"/>
      <c r="F4" s="457"/>
      <c r="G4" s="457"/>
      <c r="H4" s="457"/>
      <c r="I4" s="457"/>
      <c r="J4" s="457"/>
      <c r="K4" s="457"/>
      <c r="L4" s="457"/>
      <c r="M4" s="458"/>
    </row>
    <row r="5" spans="1:37" ht="15" customHeight="1" x14ac:dyDescent="0.2">
      <c r="A5" s="459"/>
      <c r="B5" s="460"/>
      <c r="C5" s="460"/>
      <c r="D5" s="460"/>
      <c r="E5" s="460"/>
      <c r="F5" s="460"/>
      <c r="G5" s="460"/>
      <c r="H5" s="460"/>
      <c r="I5" s="460"/>
      <c r="J5" s="460"/>
      <c r="K5" s="460"/>
      <c r="L5" s="460"/>
      <c r="M5" s="461"/>
    </row>
    <row r="6" spans="1:37" ht="34.5" customHeight="1" x14ac:dyDescent="0.2">
      <c r="A6" s="450" t="s">
        <v>337</v>
      </c>
      <c r="B6" s="450"/>
      <c r="C6" s="450"/>
      <c r="D6" s="450"/>
      <c r="E6" s="450"/>
      <c r="F6" s="450"/>
      <c r="G6" s="450"/>
      <c r="H6" s="450"/>
      <c r="I6" s="450"/>
      <c r="J6" s="450"/>
      <c r="K6" s="450"/>
      <c r="L6" s="450"/>
      <c r="M6" s="450"/>
    </row>
    <row r="7" spans="1:37" ht="19.5" customHeight="1" x14ac:dyDescent="0.2">
      <c r="A7" s="451" t="s">
        <v>80</v>
      </c>
      <c r="B7" s="449" t="s">
        <v>216</v>
      </c>
      <c r="C7" s="449" t="s">
        <v>220</v>
      </c>
      <c r="D7" s="449" t="s">
        <v>334</v>
      </c>
      <c r="E7" s="449" t="s">
        <v>353</v>
      </c>
      <c r="F7" s="449" t="s">
        <v>217</v>
      </c>
      <c r="G7" s="449" t="s">
        <v>218</v>
      </c>
      <c r="H7" s="449" t="s">
        <v>362</v>
      </c>
      <c r="I7" s="449" t="s">
        <v>356</v>
      </c>
      <c r="J7" s="449" t="s">
        <v>357</v>
      </c>
      <c r="K7" s="449" t="s">
        <v>358</v>
      </c>
      <c r="L7" s="449" t="s">
        <v>335</v>
      </c>
      <c r="M7" s="449" t="s">
        <v>479</v>
      </c>
    </row>
    <row r="8" spans="1:37" x14ac:dyDescent="0.2">
      <c r="A8" s="452"/>
      <c r="B8" s="449"/>
      <c r="C8" s="449"/>
      <c r="D8" s="449"/>
      <c r="E8" s="449"/>
      <c r="F8" s="449"/>
      <c r="G8" s="449"/>
      <c r="H8" s="449"/>
      <c r="I8" s="449"/>
      <c r="J8" s="449"/>
      <c r="K8" s="449"/>
      <c r="L8" s="449"/>
      <c r="M8" s="449"/>
    </row>
    <row r="9" spans="1:37" x14ac:dyDescent="0.2">
      <c r="A9" s="7">
        <v>1</v>
      </c>
      <c r="B9" s="289" t="s">
        <v>351</v>
      </c>
      <c r="C9" s="138" t="s">
        <v>359</v>
      </c>
      <c r="D9" s="7" t="s">
        <v>373</v>
      </c>
      <c r="E9" s="290" t="s">
        <v>505</v>
      </c>
      <c r="F9" s="289" t="s">
        <v>418</v>
      </c>
      <c r="G9" s="289" t="s">
        <v>419</v>
      </c>
      <c r="H9" s="289" t="s">
        <v>361</v>
      </c>
      <c r="I9" s="292">
        <f>ROUND(M9/6,0)</f>
        <v>2</v>
      </c>
      <c r="J9" s="292">
        <f>(I9+1)*4</f>
        <v>12</v>
      </c>
      <c r="K9" s="292">
        <v>3</v>
      </c>
      <c r="L9" s="140">
        <v>5</v>
      </c>
      <c r="M9" s="140">
        <v>13</v>
      </c>
      <c r="O9" s="423"/>
    </row>
    <row r="10" spans="1:37" s="267" customFormat="1" ht="12" customHeight="1" x14ac:dyDescent="0.2">
      <c r="A10" s="7">
        <f>A9+1</f>
        <v>2</v>
      </c>
      <c r="B10" s="289" t="s">
        <v>351</v>
      </c>
      <c r="C10" s="138" t="s">
        <v>359</v>
      </c>
      <c r="D10" s="7" t="s">
        <v>374</v>
      </c>
      <c r="E10" s="297" t="s">
        <v>365</v>
      </c>
      <c r="F10" s="289" t="s">
        <v>420</v>
      </c>
      <c r="G10" s="289" t="s">
        <v>421</v>
      </c>
      <c r="H10" s="289" t="s">
        <v>361</v>
      </c>
      <c r="I10" s="292">
        <f t="shared" ref="I10:I18" si="0">ROUND(M10/6,0)</f>
        <v>1</v>
      </c>
      <c r="J10" s="292">
        <f t="shared" ref="J10:J34" si="1">(I10+1)*4</f>
        <v>8</v>
      </c>
      <c r="K10" s="292">
        <v>3</v>
      </c>
      <c r="L10" s="140">
        <v>4.4000000000000004</v>
      </c>
      <c r="M10" s="140">
        <v>6</v>
      </c>
      <c r="N10" s="344"/>
      <c r="O10" s="423"/>
      <c r="P10" s="344"/>
      <c r="Q10" s="344"/>
      <c r="R10" s="344"/>
      <c r="S10" s="344"/>
      <c r="T10" s="344"/>
      <c r="U10" s="344"/>
      <c r="V10" s="344"/>
      <c r="W10" s="344"/>
      <c r="X10" s="344"/>
      <c r="Y10" s="344"/>
      <c r="Z10" s="344"/>
      <c r="AA10" s="344"/>
      <c r="AB10" s="344"/>
      <c r="AC10" s="344"/>
      <c r="AD10" s="344"/>
      <c r="AE10" s="344"/>
      <c r="AF10" s="344"/>
      <c r="AG10" s="344"/>
      <c r="AH10" s="344"/>
      <c r="AI10" s="344"/>
      <c r="AJ10" s="345"/>
      <c r="AK10" s="345"/>
    </row>
    <row r="11" spans="1:37" s="267" customFormat="1" ht="12" customHeight="1" x14ac:dyDescent="0.2">
      <c r="A11" s="7">
        <f t="shared" ref="A11:A34" si="2">A10+1</f>
        <v>3</v>
      </c>
      <c r="B11" s="289" t="s">
        <v>351</v>
      </c>
      <c r="C11" s="138" t="s">
        <v>359</v>
      </c>
      <c r="D11" s="7" t="s">
        <v>375</v>
      </c>
      <c r="E11" s="297" t="s">
        <v>366</v>
      </c>
      <c r="F11" s="289" t="s">
        <v>422</v>
      </c>
      <c r="G11" s="289" t="s">
        <v>423</v>
      </c>
      <c r="H11" s="289" t="s">
        <v>361</v>
      </c>
      <c r="I11" s="292">
        <f t="shared" si="0"/>
        <v>2</v>
      </c>
      <c r="J11" s="292">
        <f t="shared" si="1"/>
        <v>12</v>
      </c>
      <c r="K11" s="292">
        <v>3</v>
      </c>
      <c r="L11" s="140">
        <v>4.8</v>
      </c>
      <c r="M11" s="140">
        <v>12</v>
      </c>
      <c r="N11" s="344"/>
      <c r="O11" s="423"/>
      <c r="P11" s="344"/>
      <c r="Q11" s="344"/>
      <c r="R11" s="344"/>
      <c r="S11" s="344"/>
      <c r="T11" s="344"/>
      <c r="U11" s="344"/>
      <c r="V11" s="344"/>
      <c r="W11" s="344"/>
      <c r="X11" s="344"/>
      <c r="Y11" s="344"/>
      <c r="Z11" s="344"/>
      <c r="AA11" s="344"/>
      <c r="AB11" s="344"/>
      <c r="AC11" s="344"/>
      <c r="AD11" s="344"/>
      <c r="AE11" s="344"/>
      <c r="AF11" s="344"/>
      <c r="AG11" s="344"/>
      <c r="AH11" s="344"/>
      <c r="AI11" s="344"/>
      <c r="AJ11" s="345"/>
      <c r="AK11" s="345"/>
    </row>
    <row r="12" spans="1:37" s="267" customFormat="1" ht="12" customHeight="1" x14ac:dyDescent="0.2">
      <c r="A12" s="7">
        <f t="shared" si="2"/>
        <v>4</v>
      </c>
      <c r="B12" s="289" t="s">
        <v>351</v>
      </c>
      <c r="C12" s="138" t="s">
        <v>359</v>
      </c>
      <c r="D12" s="7" t="s">
        <v>376</v>
      </c>
      <c r="E12" s="297" t="s">
        <v>367</v>
      </c>
      <c r="F12" s="289" t="s">
        <v>424</v>
      </c>
      <c r="G12" s="289" t="s">
        <v>425</v>
      </c>
      <c r="H12" s="289" t="s">
        <v>361</v>
      </c>
      <c r="I12" s="292">
        <f t="shared" si="0"/>
        <v>2</v>
      </c>
      <c r="J12" s="292">
        <f t="shared" si="1"/>
        <v>12</v>
      </c>
      <c r="K12" s="292">
        <v>3</v>
      </c>
      <c r="L12" s="140">
        <v>4.4000000000000004</v>
      </c>
      <c r="M12" s="140">
        <v>13.2</v>
      </c>
      <c r="N12" s="344"/>
      <c r="O12" s="423"/>
      <c r="P12" s="344"/>
      <c r="Q12" s="344"/>
      <c r="R12" s="344"/>
      <c r="S12" s="344"/>
      <c r="T12" s="344"/>
      <c r="U12" s="344"/>
      <c r="V12" s="344"/>
      <c r="W12" s="344"/>
      <c r="X12" s="344"/>
      <c r="Y12" s="344"/>
      <c r="Z12" s="344"/>
      <c r="AA12" s="344"/>
      <c r="AB12" s="344"/>
      <c r="AC12" s="344"/>
      <c r="AD12" s="344"/>
      <c r="AE12" s="344"/>
      <c r="AF12" s="344"/>
      <c r="AG12" s="344"/>
      <c r="AH12" s="344"/>
      <c r="AI12" s="344"/>
      <c r="AJ12" s="345"/>
      <c r="AK12" s="345"/>
    </row>
    <row r="13" spans="1:37" s="267" customFormat="1" ht="12" customHeight="1" x14ac:dyDescent="0.2">
      <c r="A13" s="7">
        <f t="shared" si="2"/>
        <v>5</v>
      </c>
      <c r="B13" s="289" t="s">
        <v>351</v>
      </c>
      <c r="C13" s="138" t="s">
        <v>359</v>
      </c>
      <c r="D13" s="7" t="s">
        <v>377</v>
      </c>
      <c r="E13" s="297" t="s">
        <v>528</v>
      </c>
      <c r="F13" s="289" t="s">
        <v>427</v>
      </c>
      <c r="G13" s="289" t="s">
        <v>426</v>
      </c>
      <c r="H13" s="289" t="s">
        <v>361</v>
      </c>
      <c r="I13" s="292">
        <f t="shared" si="0"/>
        <v>1</v>
      </c>
      <c r="J13" s="292">
        <f t="shared" si="1"/>
        <v>8</v>
      </c>
      <c r="K13" s="292">
        <v>3</v>
      </c>
      <c r="L13" s="140">
        <v>4.4000000000000004</v>
      </c>
      <c r="M13" s="140">
        <v>7.2</v>
      </c>
      <c r="N13" s="344"/>
      <c r="O13" s="423"/>
      <c r="P13" s="344"/>
      <c r="Q13" s="344"/>
      <c r="R13" s="344"/>
      <c r="S13" s="344"/>
      <c r="T13" s="344"/>
      <c r="U13" s="344"/>
      <c r="V13" s="344"/>
      <c r="W13" s="344"/>
      <c r="X13" s="344"/>
      <c r="Y13" s="344"/>
      <c r="Z13" s="344"/>
      <c r="AA13" s="344"/>
      <c r="AB13" s="344"/>
      <c r="AC13" s="344"/>
      <c r="AD13" s="344"/>
      <c r="AE13" s="344"/>
      <c r="AF13" s="344"/>
      <c r="AG13" s="344"/>
      <c r="AH13" s="344"/>
      <c r="AI13" s="344"/>
      <c r="AJ13" s="345"/>
      <c r="AK13" s="345"/>
    </row>
    <row r="14" spans="1:37" s="267" customFormat="1" ht="12" customHeight="1" x14ac:dyDescent="0.2">
      <c r="A14" s="7">
        <f t="shared" si="2"/>
        <v>6</v>
      </c>
      <c r="B14" s="289" t="s">
        <v>351</v>
      </c>
      <c r="C14" s="138" t="s">
        <v>359</v>
      </c>
      <c r="D14" s="7" t="s">
        <v>376</v>
      </c>
      <c r="E14" s="297" t="s">
        <v>529</v>
      </c>
      <c r="F14" s="289" t="s">
        <v>428</v>
      </c>
      <c r="G14" s="289" t="s">
        <v>429</v>
      </c>
      <c r="H14" s="289" t="s">
        <v>361</v>
      </c>
      <c r="I14" s="292">
        <f t="shared" si="0"/>
        <v>2</v>
      </c>
      <c r="J14" s="292">
        <f t="shared" si="1"/>
        <v>12</v>
      </c>
      <c r="K14" s="292">
        <v>3</v>
      </c>
      <c r="L14" s="140">
        <v>4.4000000000000004</v>
      </c>
      <c r="M14" s="140">
        <v>12</v>
      </c>
      <c r="N14" s="344"/>
      <c r="O14" s="423"/>
      <c r="P14" s="344"/>
      <c r="Q14" s="344"/>
      <c r="R14" s="344"/>
      <c r="S14" s="344"/>
      <c r="T14" s="344"/>
      <c r="U14" s="344"/>
      <c r="V14" s="344"/>
      <c r="W14" s="344"/>
      <c r="X14" s="344"/>
      <c r="Y14" s="344"/>
      <c r="Z14" s="344"/>
      <c r="AA14" s="344"/>
      <c r="AB14" s="344"/>
      <c r="AC14" s="344"/>
      <c r="AD14" s="344"/>
      <c r="AE14" s="344"/>
      <c r="AF14" s="344"/>
      <c r="AG14" s="344"/>
      <c r="AH14" s="344"/>
      <c r="AI14" s="344"/>
      <c r="AJ14" s="345"/>
      <c r="AK14" s="345"/>
    </row>
    <row r="15" spans="1:37" s="267" customFormat="1" ht="12" customHeight="1" x14ac:dyDescent="0.2">
      <c r="A15" s="7">
        <f t="shared" si="2"/>
        <v>7</v>
      </c>
      <c r="B15" s="289" t="s">
        <v>351</v>
      </c>
      <c r="C15" s="138" t="s">
        <v>359</v>
      </c>
      <c r="D15" s="7" t="s">
        <v>378</v>
      </c>
      <c r="E15" s="297" t="s">
        <v>529</v>
      </c>
      <c r="F15" s="289" t="s">
        <v>430</v>
      </c>
      <c r="G15" s="289" t="s">
        <v>431</v>
      </c>
      <c r="H15" s="289" t="s">
        <v>361</v>
      </c>
      <c r="I15" s="292">
        <f t="shared" si="0"/>
        <v>1</v>
      </c>
      <c r="J15" s="292">
        <f t="shared" si="1"/>
        <v>8</v>
      </c>
      <c r="K15" s="292">
        <v>3</v>
      </c>
      <c r="L15" s="140">
        <v>4.4000000000000004</v>
      </c>
      <c r="M15" s="140">
        <v>6.8</v>
      </c>
      <c r="N15" s="344"/>
      <c r="O15" s="424"/>
      <c r="P15" s="344"/>
      <c r="Q15" s="344"/>
      <c r="R15" s="344"/>
      <c r="S15" s="344"/>
      <c r="T15" s="344"/>
      <c r="U15" s="344"/>
      <c r="V15" s="344"/>
      <c r="W15" s="344"/>
      <c r="X15" s="344"/>
      <c r="Y15" s="344"/>
      <c r="Z15" s="344"/>
      <c r="AA15" s="344"/>
      <c r="AB15" s="344"/>
      <c r="AC15" s="344"/>
      <c r="AD15" s="344"/>
      <c r="AE15" s="344"/>
      <c r="AF15" s="344"/>
      <c r="AG15" s="344"/>
      <c r="AH15" s="344"/>
      <c r="AI15" s="344"/>
      <c r="AJ15" s="345"/>
      <c r="AK15" s="345"/>
    </row>
    <row r="16" spans="1:37" s="267" customFormat="1" ht="12" customHeight="1" x14ac:dyDescent="0.2">
      <c r="A16" s="7">
        <f t="shared" si="2"/>
        <v>8</v>
      </c>
      <c r="B16" s="289" t="s">
        <v>351</v>
      </c>
      <c r="C16" s="138" t="s">
        <v>359</v>
      </c>
      <c r="D16" s="7" t="s">
        <v>379</v>
      </c>
      <c r="E16" s="297" t="s">
        <v>530</v>
      </c>
      <c r="F16" s="289" t="s">
        <v>432</v>
      </c>
      <c r="G16" s="289" t="s">
        <v>433</v>
      </c>
      <c r="H16" s="289" t="s">
        <v>361</v>
      </c>
      <c r="I16" s="292">
        <f t="shared" si="0"/>
        <v>1</v>
      </c>
      <c r="J16" s="292">
        <f t="shared" si="1"/>
        <v>8</v>
      </c>
      <c r="K16" s="292">
        <v>3</v>
      </c>
      <c r="L16" s="140">
        <v>4.4000000000000004</v>
      </c>
      <c r="M16" s="140">
        <v>5.8</v>
      </c>
      <c r="N16" s="344"/>
      <c r="O16" s="423"/>
      <c r="P16" s="344"/>
      <c r="Q16" s="344"/>
      <c r="R16" s="344"/>
      <c r="S16" s="344"/>
      <c r="T16" s="344"/>
      <c r="U16" s="344"/>
      <c r="V16" s="344"/>
      <c r="W16" s="344"/>
      <c r="X16" s="344"/>
      <c r="Y16" s="344"/>
      <c r="Z16" s="344"/>
      <c r="AA16" s="344"/>
      <c r="AB16" s="344"/>
      <c r="AC16" s="344"/>
      <c r="AD16" s="344"/>
      <c r="AE16" s="344"/>
      <c r="AF16" s="344"/>
      <c r="AG16" s="344"/>
      <c r="AH16" s="344"/>
      <c r="AI16" s="344"/>
      <c r="AJ16" s="345"/>
      <c r="AK16" s="345"/>
    </row>
    <row r="17" spans="1:37" s="267" customFormat="1" ht="12" customHeight="1" x14ac:dyDescent="0.2">
      <c r="A17" s="7">
        <f t="shared" si="2"/>
        <v>9</v>
      </c>
      <c r="B17" s="289" t="s">
        <v>351</v>
      </c>
      <c r="C17" s="138" t="s">
        <v>359</v>
      </c>
      <c r="D17" s="7" t="s">
        <v>380</v>
      </c>
      <c r="E17" s="297" t="s">
        <v>530</v>
      </c>
      <c r="F17" s="289" t="s">
        <v>543</v>
      </c>
      <c r="G17" s="289" t="s">
        <v>542</v>
      </c>
      <c r="H17" s="289" t="s">
        <v>361</v>
      </c>
      <c r="I17" s="292">
        <f t="shared" si="0"/>
        <v>2</v>
      </c>
      <c r="J17" s="292">
        <f>(I17+1)*4</f>
        <v>12</v>
      </c>
      <c r="K17" s="292">
        <v>3</v>
      </c>
      <c r="L17" s="140">
        <v>4.4000000000000004</v>
      </c>
      <c r="M17" s="140">
        <v>10.6</v>
      </c>
      <c r="N17" s="344"/>
      <c r="O17" s="426"/>
      <c r="P17" s="344"/>
      <c r="Q17" s="344"/>
      <c r="R17" s="344"/>
      <c r="S17" s="344"/>
      <c r="T17" s="344"/>
      <c r="U17" s="344"/>
      <c r="V17" s="344"/>
      <c r="W17" s="344"/>
      <c r="X17" s="344"/>
      <c r="Y17" s="344"/>
      <c r="Z17" s="344"/>
      <c r="AA17" s="344"/>
      <c r="AB17" s="344"/>
      <c r="AC17" s="344"/>
      <c r="AD17" s="344"/>
      <c r="AE17" s="344"/>
      <c r="AF17" s="344"/>
      <c r="AG17" s="344"/>
      <c r="AH17" s="344"/>
      <c r="AI17" s="344"/>
      <c r="AJ17" s="345"/>
      <c r="AK17" s="345"/>
    </row>
    <row r="18" spans="1:37" s="267" customFormat="1" ht="12" customHeight="1" x14ac:dyDescent="0.2">
      <c r="A18" s="7">
        <f t="shared" si="2"/>
        <v>10</v>
      </c>
      <c r="B18" s="289" t="s">
        <v>351</v>
      </c>
      <c r="C18" s="138" t="s">
        <v>359</v>
      </c>
      <c r="D18" s="7" t="s">
        <v>378</v>
      </c>
      <c r="E18" s="297" t="s">
        <v>531</v>
      </c>
      <c r="F18" s="289" t="s">
        <v>435</v>
      </c>
      <c r="G18" s="289" t="s">
        <v>434</v>
      </c>
      <c r="H18" s="289" t="s">
        <v>361</v>
      </c>
      <c r="I18" s="292">
        <f t="shared" si="0"/>
        <v>1</v>
      </c>
      <c r="J18" s="292">
        <f t="shared" si="1"/>
        <v>8</v>
      </c>
      <c r="K18" s="292">
        <v>3</v>
      </c>
      <c r="L18" s="140">
        <v>4.4000000000000004</v>
      </c>
      <c r="M18" s="140">
        <v>5.8</v>
      </c>
      <c r="N18" s="344"/>
      <c r="O18" s="423"/>
      <c r="P18" s="344"/>
      <c r="Q18" s="344"/>
      <c r="R18" s="344"/>
      <c r="S18" s="344"/>
      <c r="T18" s="344"/>
      <c r="U18" s="344"/>
      <c r="V18" s="344"/>
      <c r="W18" s="344"/>
      <c r="X18" s="344"/>
      <c r="Y18" s="344"/>
      <c r="Z18" s="344"/>
      <c r="AA18" s="344"/>
      <c r="AB18" s="344"/>
      <c r="AC18" s="344"/>
      <c r="AD18" s="344"/>
      <c r="AE18" s="344"/>
      <c r="AF18" s="344"/>
      <c r="AG18" s="344"/>
      <c r="AH18" s="344"/>
      <c r="AI18" s="344"/>
      <c r="AJ18" s="345"/>
      <c r="AK18" s="345"/>
    </row>
    <row r="19" spans="1:37" s="267" customFormat="1" ht="12" customHeight="1" x14ac:dyDescent="0.2">
      <c r="A19" s="7">
        <f t="shared" si="2"/>
        <v>11</v>
      </c>
      <c r="B19" s="289" t="s">
        <v>351</v>
      </c>
      <c r="C19" s="138" t="s">
        <v>359</v>
      </c>
      <c r="D19" s="7" t="s">
        <v>381</v>
      </c>
      <c r="E19" s="297" t="s">
        <v>532</v>
      </c>
      <c r="F19" s="289" t="s">
        <v>544</v>
      </c>
      <c r="G19" s="289" t="s">
        <v>545</v>
      </c>
      <c r="H19" s="289" t="s">
        <v>361</v>
      </c>
      <c r="I19" s="292">
        <f t="shared" ref="I19:I24" si="3">ROUND(M19/6,0)</f>
        <v>2</v>
      </c>
      <c r="J19" s="292">
        <f t="shared" si="1"/>
        <v>12</v>
      </c>
      <c r="K19" s="292">
        <v>3</v>
      </c>
      <c r="L19" s="140">
        <v>4.4000000000000004</v>
      </c>
      <c r="M19" s="140">
        <v>10.8</v>
      </c>
      <c r="N19" s="344"/>
      <c r="O19" s="426"/>
      <c r="P19" s="344"/>
      <c r="Q19" s="344"/>
      <c r="R19" s="344"/>
      <c r="S19" s="344"/>
      <c r="T19" s="344"/>
      <c r="U19" s="344"/>
      <c r="V19" s="344"/>
      <c r="W19" s="344"/>
      <c r="X19" s="344"/>
      <c r="Y19" s="344"/>
      <c r="Z19" s="344"/>
      <c r="AA19" s="344"/>
      <c r="AB19" s="344"/>
      <c r="AC19" s="344"/>
      <c r="AD19" s="344"/>
      <c r="AE19" s="344"/>
      <c r="AF19" s="344"/>
      <c r="AG19" s="344"/>
      <c r="AH19" s="344"/>
      <c r="AI19" s="344"/>
      <c r="AJ19" s="345"/>
      <c r="AK19" s="345"/>
    </row>
    <row r="20" spans="1:37" s="267" customFormat="1" ht="12" customHeight="1" x14ac:dyDescent="0.2">
      <c r="A20" s="7">
        <f t="shared" si="2"/>
        <v>12</v>
      </c>
      <c r="B20" s="289" t="s">
        <v>351</v>
      </c>
      <c r="C20" s="138" t="s">
        <v>359</v>
      </c>
      <c r="D20" s="7" t="s">
        <v>382</v>
      </c>
      <c r="E20" s="297" t="s">
        <v>533</v>
      </c>
      <c r="F20" s="289" t="s">
        <v>436</v>
      </c>
      <c r="G20" s="289" t="s">
        <v>437</v>
      </c>
      <c r="H20" s="289" t="s">
        <v>361</v>
      </c>
      <c r="I20" s="292">
        <f t="shared" si="3"/>
        <v>1</v>
      </c>
      <c r="J20" s="292">
        <f t="shared" si="1"/>
        <v>8</v>
      </c>
      <c r="K20" s="292">
        <v>3</v>
      </c>
      <c r="L20" s="140">
        <v>4.4000000000000004</v>
      </c>
      <c r="M20" s="140">
        <v>7.1</v>
      </c>
      <c r="N20" s="344"/>
      <c r="O20" s="423"/>
      <c r="P20" s="344"/>
      <c r="Q20" s="344"/>
      <c r="R20" s="344"/>
      <c r="S20" s="344"/>
      <c r="T20" s="344"/>
      <c r="U20" s="344"/>
      <c r="V20" s="344"/>
      <c r="W20" s="344"/>
      <c r="X20" s="344"/>
      <c r="Y20" s="344"/>
      <c r="Z20" s="344"/>
      <c r="AA20" s="344"/>
      <c r="AB20" s="344"/>
      <c r="AC20" s="344"/>
      <c r="AD20" s="344"/>
      <c r="AE20" s="344"/>
      <c r="AF20" s="344"/>
      <c r="AG20" s="344"/>
      <c r="AH20" s="344"/>
      <c r="AI20" s="344"/>
      <c r="AJ20" s="345"/>
      <c r="AK20" s="345"/>
    </row>
    <row r="21" spans="1:37" s="267" customFormat="1" ht="12" customHeight="1" x14ac:dyDescent="0.2">
      <c r="A21" s="7">
        <f t="shared" si="2"/>
        <v>13</v>
      </c>
      <c r="B21" s="289" t="s">
        <v>351</v>
      </c>
      <c r="C21" s="138" t="s">
        <v>359</v>
      </c>
      <c r="D21" s="7" t="s">
        <v>383</v>
      </c>
      <c r="E21" s="297" t="s">
        <v>534</v>
      </c>
      <c r="F21" s="289" t="s">
        <v>438</v>
      </c>
      <c r="G21" s="289" t="s">
        <v>439</v>
      </c>
      <c r="H21" s="289" t="s">
        <v>361</v>
      </c>
      <c r="I21" s="292">
        <f t="shared" si="3"/>
        <v>1</v>
      </c>
      <c r="J21" s="292">
        <f t="shared" si="1"/>
        <v>8</v>
      </c>
      <c r="K21" s="292">
        <v>3</v>
      </c>
      <c r="L21" s="140">
        <v>4.4000000000000004</v>
      </c>
      <c r="M21" s="140">
        <v>6.4</v>
      </c>
      <c r="N21" s="344"/>
      <c r="O21" s="426"/>
      <c r="P21" s="344"/>
      <c r="Q21" s="344"/>
      <c r="R21" s="344"/>
      <c r="S21" s="344"/>
      <c r="T21" s="344"/>
      <c r="U21" s="344"/>
      <c r="V21" s="344"/>
      <c r="W21" s="344"/>
      <c r="X21" s="344"/>
      <c r="Y21" s="344"/>
      <c r="Z21" s="344"/>
      <c r="AA21" s="344"/>
      <c r="AB21" s="344"/>
      <c r="AC21" s="344"/>
      <c r="AD21" s="344"/>
      <c r="AE21" s="344"/>
      <c r="AF21" s="344"/>
      <c r="AG21" s="344"/>
      <c r="AH21" s="344"/>
      <c r="AI21" s="344"/>
      <c r="AJ21" s="345"/>
      <c r="AK21" s="345"/>
    </row>
    <row r="22" spans="1:37" s="267" customFormat="1" ht="12" customHeight="1" x14ac:dyDescent="0.2">
      <c r="A22" s="7">
        <f t="shared" si="2"/>
        <v>14</v>
      </c>
      <c r="B22" s="289" t="s">
        <v>351</v>
      </c>
      <c r="C22" s="138" t="s">
        <v>359</v>
      </c>
      <c r="D22" s="7" t="s">
        <v>384</v>
      </c>
      <c r="E22" s="297" t="s">
        <v>535</v>
      </c>
      <c r="F22" s="289" t="s">
        <v>440</v>
      </c>
      <c r="G22" s="289" t="s">
        <v>441</v>
      </c>
      <c r="H22" s="289" t="s">
        <v>361</v>
      </c>
      <c r="I22" s="292">
        <f t="shared" si="3"/>
        <v>2</v>
      </c>
      <c r="J22" s="292">
        <f t="shared" si="1"/>
        <v>12</v>
      </c>
      <c r="K22" s="292">
        <v>3</v>
      </c>
      <c r="L22" s="140">
        <v>4.4000000000000004</v>
      </c>
      <c r="M22" s="140">
        <v>11.8</v>
      </c>
      <c r="N22" s="344"/>
      <c r="O22" s="423"/>
      <c r="P22" s="344"/>
      <c r="Q22" s="344"/>
      <c r="R22" s="344"/>
      <c r="S22" s="344"/>
      <c r="T22" s="344"/>
      <c r="U22" s="344"/>
      <c r="V22" s="344"/>
      <c r="W22" s="344"/>
      <c r="X22" s="344"/>
      <c r="Y22" s="344"/>
      <c r="Z22" s="344"/>
      <c r="AA22" s="344"/>
      <c r="AB22" s="344"/>
      <c r="AC22" s="344"/>
      <c r="AD22" s="344"/>
      <c r="AE22" s="344"/>
      <c r="AF22" s="344"/>
      <c r="AG22" s="344"/>
      <c r="AH22" s="344"/>
      <c r="AI22" s="344"/>
      <c r="AJ22" s="345"/>
      <c r="AK22" s="345"/>
    </row>
    <row r="23" spans="1:37" s="267" customFormat="1" ht="12" customHeight="1" x14ac:dyDescent="0.2">
      <c r="A23" s="7">
        <f t="shared" si="2"/>
        <v>15</v>
      </c>
      <c r="B23" s="289" t="s">
        <v>351</v>
      </c>
      <c r="C23" s="138" t="s">
        <v>359</v>
      </c>
      <c r="D23" s="7" t="s">
        <v>385</v>
      </c>
      <c r="E23" s="297" t="s">
        <v>368</v>
      </c>
      <c r="F23" s="289" t="s">
        <v>442</v>
      </c>
      <c r="G23" s="289" t="s">
        <v>443</v>
      </c>
      <c r="H23" s="289" t="s">
        <v>361</v>
      </c>
      <c r="I23" s="292">
        <f t="shared" si="3"/>
        <v>2</v>
      </c>
      <c r="J23" s="292">
        <f t="shared" si="1"/>
        <v>12</v>
      </c>
      <c r="K23" s="292">
        <v>3</v>
      </c>
      <c r="L23" s="140">
        <v>5</v>
      </c>
      <c r="M23" s="140">
        <v>12</v>
      </c>
      <c r="N23" s="344"/>
      <c r="O23" s="423"/>
      <c r="P23" s="344"/>
      <c r="Q23" s="344"/>
      <c r="R23" s="344"/>
      <c r="S23" s="344"/>
      <c r="T23" s="344"/>
      <c r="U23" s="344"/>
      <c r="V23" s="344"/>
      <c r="W23" s="344"/>
      <c r="X23" s="344"/>
      <c r="Y23" s="344"/>
      <c r="Z23" s="344"/>
      <c r="AA23" s="344"/>
      <c r="AB23" s="344"/>
      <c r="AC23" s="344"/>
      <c r="AD23" s="344"/>
      <c r="AE23" s="344"/>
      <c r="AF23" s="344"/>
      <c r="AG23" s="344"/>
      <c r="AH23" s="344"/>
      <c r="AI23" s="344"/>
      <c r="AJ23" s="345"/>
      <c r="AK23" s="345"/>
    </row>
    <row r="24" spans="1:37" s="267" customFormat="1" ht="12" customHeight="1" x14ac:dyDescent="0.2">
      <c r="A24" s="7">
        <f t="shared" si="2"/>
        <v>16</v>
      </c>
      <c r="B24" s="289" t="s">
        <v>351</v>
      </c>
      <c r="C24" s="138" t="s">
        <v>359</v>
      </c>
      <c r="D24" s="7" t="s">
        <v>386</v>
      </c>
      <c r="E24" s="288" t="s">
        <v>536</v>
      </c>
      <c r="F24" s="289" t="s">
        <v>444</v>
      </c>
      <c r="G24" s="289" t="s">
        <v>445</v>
      </c>
      <c r="H24" s="289" t="s">
        <v>361</v>
      </c>
      <c r="I24" s="292">
        <f t="shared" si="3"/>
        <v>4</v>
      </c>
      <c r="J24" s="292">
        <f t="shared" si="1"/>
        <v>20</v>
      </c>
      <c r="K24" s="292">
        <v>3</v>
      </c>
      <c r="L24" s="140">
        <v>4.4000000000000004</v>
      </c>
      <c r="M24" s="140">
        <v>22.1</v>
      </c>
      <c r="N24" s="344"/>
      <c r="O24" s="423"/>
      <c r="P24" s="344"/>
      <c r="Q24" s="344"/>
      <c r="R24" s="344"/>
      <c r="S24" s="344"/>
      <c r="T24" s="344"/>
      <c r="U24" s="344"/>
      <c r="V24" s="344"/>
      <c r="W24" s="344"/>
      <c r="X24" s="344"/>
      <c r="Y24" s="344"/>
      <c r="Z24" s="344"/>
      <c r="AA24" s="344"/>
      <c r="AB24" s="344"/>
      <c r="AC24" s="344"/>
      <c r="AD24" s="344"/>
      <c r="AE24" s="344"/>
      <c r="AF24" s="344"/>
      <c r="AG24" s="344"/>
      <c r="AH24" s="344"/>
      <c r="AI24" s="344"/>
      <c r="AJ24" s="345"/>
      <c r="AK24" s="345"/>
    </row>
    <row r="25" spans="1:37" s="267" customFormat="1" ht="12" customHeight="1" x14ac:dyDescent="0.2">
      <c r="A25" s="7">
        <f t="shared" si="2"/>
        <v>17</v>
      </c>
      <c r="B25" s="289" t="s">
        <v>351</v>
      </c>
      <c r="C25" s="138" t="s">
        <v>359</v>
      </c>
      <c r="D25" s="7" t="s">
        <v>387</v>
      </c>
      <c r="E25" s="288" t="s">
        <v>369</v>
      </c>
      <c r="F25" s="289" t="s">
        <v>446</v>
      </c>
      <c r="G25" s="289" t="s">
        <v>447</v>
      </c>
      <c r="H25" s="289" t="s">
        <v>361</v>
      </c>
      <c r="I25" s="292">
        <f t="shared" ref="I25:I34" si="4">ROUND(M25/6,0)</f>
        <v>4</v>
      </c>
      <c r="J25" s="292">
        <f t="shared" si="1"/>
        <v>20</v>
      </c>
      <c r="K25" s="292">
        <v>3</v>
      </c>
      <c r="L25" s="140">
        <v>4.4000000000000004</v>
      </c>
      <c r="M25" s="140">
        <v>24.6</v>
      </c>
      <c r="N25" s="344"/>
      <c r="O25" s="424"/>
      <c r="P25" s="344"/>
      <c r="Q25" s="344"/>
      <c r="R25" s="344"/>
      <c r="S25" s="344"/>
      <c r="T25" s="344"/>
      <c r="U25" s="344"/>
      <c r="V25" s="344"/>
      <c r="W25" s="344"/>
      <c r="X25" s="344"/>
      <c r="Y25" s="344"/>
      <c r="Z25" s="344"/>
      <c r="AA25" s="344"/>
      <c r="AB25" s="344"/>
      <c r="AC25" s="344"/>
      <c r="AD25" s="344"/>
      <c r="AE25" s="344"/>
      <c r="AF25" s="344"/>
      <c r="AG25" s="344"/>
      <c r="AH25" s="344"/>
      <c r="AI25" s="344"/>
      <c r="AJ25" s="345"/>
      <c r="AK25" s="345"/>
    </row>
    <row r="26" spans="1:37" s="267" customFormat="1" ht="12" customHeight="1" x14ac:dyDescent="0.2">
      <c r="A26" s="7">
        <f t="shared" si="2"/>
        <v>18</v>
      </c>
      <c r="B26" s="289" t="s">
        <v>351</v>
      </c>
      <c r="C26" s="138" t="s">
        <v>359</v>
      </c>
      <c r="D26" s="7" t="s">
        <v>388</v>
      </c>
      <c r="E26" s="288" t="s">
        <v>537</v>
      </c>
      <c r="F26" s="139" t="s">
        <v>464</v>
      </c>
      <c r="G26" s="139" t="s">
        <v>448</v>
      </c>
      <c r="H26" s="289" t="s">
        <v>361</v>
      </c>
      <c r="I26" s="292">
        <f t="shared" si="4"/>
        <v>3</v>
      </c>
      <c r="J26" s="292">
        <f t="shared" si="1"/>
        <v>16</v>
      </c>
      <c r="K26" s="292">
        <v>3</v>
      </c>
      <c r="L26" s="140">
        <v>4.4000000000000004</v>
      </c>
      <c r="M26" s="140">
        <v>16.399999999999999</v>
      </c>
      <c r="N26" s="344"/>
      <c r="O26" s="423"/>
      <c r="P26" s="344"/>
      <c r="Q26" s="344"/>
      <c r="R26" s="344"/>
      <c r="S26" s="344"/>
      <c r="T26" s="344"/>
      <c r="U26" s="344"/>
      <c r="V26" s="344"/>
      <c r="W26" s="344"/>
      <c r="X26" s="344"/>
      <c r="Y26" s="344"/>
      <c r="Z26" s="344"/>
      <c r="AA26" s="344"/>
      <c r="AB26" s="344"/>
      <c r="AC26" s="344"/>
      <c r="AD26" s="344"/>
      <c r="AE26" s="344"/>
      <c r="AF26" s="344"/>
      <c r="AG26" s="344"/>
      <c r="AH26" s="344"/>
      <c r="AI26" s="344"/>
      <c r="AJ26" s="345"/>
      <c r="AK26" s="345"/>
    </row>
    <row r="27" spans="1:37" s="267" customFormat="1" ht="12" customHeight="1" x14ac:dyDescent="0.2">
      <c r="A27" s="289">
        <f t="shared" si="2"/>
        <v>19</v>
      </c>
      <c r="B27" s="289" t="s">
        <v>351</v>
      </c>
      <c r="C27" s="422" t="s">
        <v>359</v>
      </c>
      <c r="D27" s="7" t="s">
        <v>389</v>
      </c>
      <c r="E27" s="297" t="s">
        <v>537</v>
      </c>
      <c r="F27" s="289" t="s">
        <v>449</v>
      </c>
      <c r="G27" s="289" t="s">
        <v>450</v>
      </c>
      <c r="H27" s="289" t="s">
        <v>361</v>
      </c>
      <c r="I27" s="292">
        <f t="shared" si="4"/>
        <v>3</v>
      </c>
      <c r="J27" s="292">
        <f t="shared" si="1"/>
        <v>16</v>
      </c>
      <c r="K27" s="292">
        <v>3</v>
      </c>
      <c r="L27" s="140">
        <v>4.4000000000000004</v>
      </c>
      <c r="M27" s="140">
        <v>19.600000000000001</v>
      </c>
      <c r="N27" s="344"/>
      <c r="O27" s="423"/>
      <c r="P27" s="344"/>
      <c r="Q27" s="344"/>
      <c r="R27" s="344"/>
      <c r="S27" s="344"/>
      <c r="T27" s="344"/>
      <c r="U27" s="344"/>
      <c r="V27" s="344"/>
      <c r="W27" s="344"/>
      <c r="X27" s="344"/>
      <c r="Y27" s="344"/>
      <c r="Z27" s="344"/>
      <c r="AA27" s="344"/>
      <c r="AB27" s="344"/>
      <c r="AC27" s="344"/>
      <c r="AD27" s="344"/>
      <c r="AE27" s="344"/>
      <c r="AF27" s="344"/>
      <c r="AG27" s="344"/>
      <c r="AH27" s="344"/>
      <c r="AI27" s="344"/>
      <c r="AJ27" s="345"/>
      <c r="AK27" s="345"/>
    </row>
    <row r="28" spans="1:37" s="267" customFormat="1" ht="12" customHeight="1" x14ac:dyDescent="0.2">
      <c r="A28" s="7">
        <f t="shared" si="2"/>
        <v>20</v>
      </c>
      <c r="B28" s="289" t="s">
        <v>351</v>
      </c>
      <c r="C28" s="138" t="s">
        <v>359</v>
      </c>
      <c r="D28" s="7" t="s">
        <v>498</v>
      </c>
      <c r="E28" s="288" t="s">
        <v>538</v>
      </c>
      <c r="F28" s="289" t="s">
        <v>451</v>
      </c>
      <c r="G28" s="289" t="s">
        <v>452</v>
      </c>
      <c r="H28" s="289" t="s">
        <v>361</v>
      </c>
      <c r="I28" s="292">
        <f t="shared" si="4"/>
        <v>1</v>
      </c>
      <c r="J28" s="292">
        <f t="shared" si="1"/>
        <v>8</v>
      </c>
      <c r="K28" s="292">
        <v>3</v>
      </c>
      <c r="L28" s="140">
        <v>5</v>
      </c>
      <c r="M28" s="140">
        <v>6</v>
      </c>
      <c r="N28" s="344"/>
      <c r="O28" s="423"/>
      <c r="P28" s="344"/>
      <c r="Q28" s="344"/>
      <c r="R28" s="344"/>
      <c r="S28" s="344"/>
      <c r="T28" s="344"/>
      <c r="U28" s="344"/>
      <c r="V28" s="344"/>
      <c r="W28" s="344"/>
      <c r="X28" s="344"/>
      <c r="Y28" s="344"/>
      <c r="Z28" s="344"/>
      <c r="AA28" s="344"/>
      <c r="AB28" s="344"/>
      <c r="AC28" s="344"/>
      <c r="AD28" s="344"/>
      <c r="AE28" s="344"/>
      <c r="AF28" s="344"/>
      <c r="AG28" s="344"/>
      <c r="AH28" s="344"/>
      <c r="AI28" s="344"/>
      <c r="AJ28" s="345"/>
      <c r="AK28" s="345"/>
    </row>
    <row r="29" spans="1:37" s="267" customFormat="1" ht="12" customHeight="1" x14ac:dyDescent="0.2">
      <c r="A29" s="7">
        <f t="shared" si="2"/>
        <v>21</v>
      </c>
      <c r="B29" s="289" t="s">
        <v>351</v>
      </c>
      <c r="C29" s="138" t="s">
        <v>359</v>
      </c>
      <c r="D29" s="7" t="s">
        <v>390</v>
      </c>
      <c r="E29" s="288" t="s">
        <v>370</v>
      </c>
      <c r="F29" s="289" t="s">
        <v>453</v>
      </c>
      <c r="G29" s="289" t="s">
        <v>454</v>
      </c>
      <c r="H29" s="289" t="s">
        <v>361</v>
      </c>
      <c r="I29" s="292">
        <f t="shared" si="4"/>
        <v>4</v>
      </c>
      <c r="J29" s="292">
        <f t="shared" si="1"/>
        <v>20</v>
      </c>
      <c r="K29" s="292">
        <v>3</v>
      </c>
      <c r="L29" s="140">
        <v>4.8</v>
      </c>
      <c r="M29" s="140">
        <v>24</v>
      </c>
      <c r="N29" s="344"/>
      <c r="O29" s="423"/>
      <c r="P29" s="344"/>
      <c r="Q29" s="344"/>
      <c r="R29" s="344"/>
      <c r="S29" s="344"/>
      <c r="T29" s="344"/>
      <c r="U29" s="344"/>
      <c r="V29" s="344"/>
      <c r="W29" s="344"/>
      <c r="X29" s="344"/>
      <c r="Y29" s="344"/>
      <c r="Z29" s="344"/>
      <c r="AA29" s="344"/>
      <c r="AB29" s="344"/>
      <c r="AC29" s="344"/>
      <c r="AD29" s="344"/>
      <c r="AE29" s="344"/>
      <c r="AF29" s="344"/>
      <c r="AG29" s="344"/>
      <c r="AH29" s="344"/>
      <c r="AI29" s="344"/>
      <c r="AJ29" s="345"/>
      <c r="AK29" s="345"/>
    </row>
    <row r="30" spans="1:37" s="267" customFormat="1" ht="12" customHeight="1" x14ac:dyDescent="0.2">
      <c r="A30" s="7">
        <f t="shared" si="2"/>
        <v>22</v>
      </c>
      <c r="B30" s="289" t="s">
        <v>351</v>
      </c>
      <c r="C30" s="138" t="s">
        <v>359</v>
      </c>
      <c r="D30" s="7" t="s">
        <v>499</v>
      </c>
      <c r="E30" s="288" t="s">
        <v>539</v>
      </c>
      <c r="F30" s="289" t="s">
        <v>455</v>
      </c>
      <c r="G30" s="289" t="s">
        <v>456</v>
      </c>
      <c r="H30" s="289" t="s">
        <v>361</v>
      </c>
      <c r="I30" s="292">
        <f t="shared" si="4"/>
        <v>2</v>
      </c>
      <c r="J30" s="292">
        <f t="shared" si="1"/>
        <v>12</v>
      </c>
      <c r="K30" s="292">
        <v>3</v>
      </c>
      <c r="L30" s="140">
        <v>4.4000000000000004</v>
      </c>
      <c r="M30" s="140">
        <v>14.3</v>
      </c>
      <c r="N30" s="344"/>
      <c r="O30" s="423"/>
      <c r="P30" s="344"/>
      <c r="Q30" s="344"/>
      <c r="R30" s="344"/>
      <c r="S30" s="344"/>
      <c r="T30" s="344"/>
      <c r="U30" s="344"/>
      <c r="V30" s="344"/>
      <c r="W30" s="344"/>
      <c r="X30" s="344"/>
      <c r="Y30" s="344"/>
      <c r="Z30" s="344"/>
      <c r="AA30" s="344"/>
      <c r="AB30" s="344"/>
      <c r="AC30" s="344"/>
      <c r="AD30" s="344"/>
      <c r="AE30" s="344"/>
      <c r="AF30" s="344"/>
      <c r="AG30" s="344"/>
      <c r="AH30" s="344"/>
      <c r="AI30" s="344"/>
      <c r="AJ30" s="345"/>
      <c r="AK30" s="345"/>
    </row>
    <row r="31" spans="1:37" s="267" customFormat="1" ht="12" customHeight="1" x14ac:dyDescent="0.2">
      <c r="A31" s="7">
        <f t="shared" si="2"/>
        <v>23</v>
      </c>
      <c r="B31" s="289" t="s">
        <v>351</v>
      </c>
      <c r="C31" s="138" t="s">
        <v>359</v>
      </c>
      <c r="D31" s="7" t="s">
        <v>391</v>
      </c>
      <c r="E31" s="288" t="s">
        <v>540</v>
      </c>
      <c r="F31" s="289" t="s">
        <v>457</v>
      </c>
      <c r="G31" s="289" t="s">
        <v>458</v>
      </c>
      <c r="H31" s="289" t="s">
        <v>361</v>
      </c>
      <c r="I31" s="292">
        <f t="shared" si="4"/>
        <v>4</v>
      </c>
      <c r="J31" s="292">
        <f t="shared" si="1"/>
        <v>20</v>
      </c>
      <c r="K31" s="292">
        <v>3</v>
      </c>
      <c r="L31" s="140">
        <v>4.4000000000000004</v>
      </c>
      <c r="M31" s="140">
        <v>22.3</v>
      </c>
      <c r="N31" s="344"/>
      <c r="O31" s="423"/>
      <c r="P31" s="344"/>
      <c r="Q31" s="344"/>
      <c r="R31" s="344"/>
      <c r="S31" s="344"/>
      <c r="T31" s="344"/>
      <c r="U31" s="344"/>
      <c r="V31" s="344"/>
      <c r="W31" s="344"/>
      <c r="X31" s="344"/>
      <c r="Y31" s="344"/>
      <c r="Z31" s="344"/>
      <c r="AA31" s="344"/>
      <c r="AB31" s="344"/>
      <c r="AC31" s="344"/>
      <c r="AD31" s="344"/>
      <c r="AE31" s="344"/>
      <c r="AF31" s="344"/>
      <c r="AG31" s="344"/>
      <c r="AH31" s="344"/>
      <c r="AI31" s="344"/>
      <c r="AJ31" s="345"/>
      <c r="AK31" s="345"/>
    </row>
    <row r="32" spans="1:37" s="267" customFormat="1" ht="12" customHeight="1" x14ac:dyDescent="0.2">
      <c r="A32" s="7">
        <f t="shared" si="2"/>
        <v>24</v>
      </c>
      <c r="B32" s="289" t="s">
        <v>351</v>
      </c>
      <c r="C32" s="138" t="s">
        <v>359</v>
      </c>
      <c r="D32" s="7" t="s">
        <v>392</v>
      </c>
      <c r="E32" s="288" t="s">
        <v>371</v>
      </c>
      <c r="F32" s="289" t="s">
        <v>459</v>
      </c>
      <c r="G32" s="289" t="s">
        <v>460</v>
      </c>
      <c r="H32" s="289" t="s">
        <v>361</v>
      </c>
      <c r="I32" s="292">
        <f t="shared" si="4"/>
        <v>3</v>
      </c>
      <c r="J32" s="292">
        <f t="shared" si="1"/>
        <v>16</v>
      </c>
      <c r="K32" s="292">
        <v>3</v>
      </c>
      <c r="L32" s="140">
        <v>4.4000000000000004</v>
      </c>
      <c r="M32" s="140">
        <v>18</v>
      </c>
      <c r="N32" s="344"/>
      <c r="O32" s="423"/>
      <c r="P32" s="344"/>
      <c r="Q32" s="344"/>
      <c r="R32" s="344"/>
      <c r="S32" s="344"/>
      <c r="T32" s="344"/>
      <c r="U32" s="344"/>
      <c r="V32" s="344"/>
      <c r="W32" s="344"/>
      <c r="X32" s="344"/>
      <c r="Y32" s="344"/>
      <c r="Z32" s="344"/>
      <c r="AA32" s="344"/>
      <c r="AB32" s="344"/>
      <c r="AC32" s="344"/>
      <c r="AD32" s="344"/>
      <c r="AE32" s="344"/>
      <c r="AF32" s="344"/>
      <c r="AG32" s="344"/>
      <c r="AH32" s="344"/>
      <c r="AI32" s="344"/>
      <c r="AJ32" s="345"/>
      <c r="AK32" s="345"/>
    </row>
    <row r="33" spans="1:37" s="267" customFormat="1" ht="12" customHeight="1" x14ac:dyDescent="0.2">
      <c r="A33" s="7">
        <f t="shared" si="2"/>
        <v>25</v>
      </c>
      <c r="B33" s="289" t="s">
        <v>351</v>
      </c>
      <c r="C33" s="138" t="s">
        <v>359</v>
      </c>
      <c r="D33" s="7" t="s">
        <v>393</v>
      </c>
      <c r="E33" s="288" t="s">
        <v>541</v>
      </c>
      <c r="F33" s="289" t="s">
        <v>547</v>
      </c>
      <c r="G33" s="289" t="s">
        <v>546</v>
      </c>
      <c r="H33" s="289" t="s">
        <v>361</v>
      </c>
      <c r="I33" s="292">
        <f t="shared" si="4"/>
        <v>1</v>
      </c>
      <c r="J33" s="292">
        <f t="shared" si="1"/>
        <v>8</v>
      </c>
      <c r="K33" s="292">
        <v>3</v>
      </c>
      <c r="L33" s="140">
        <v>5</v>
      </c>
      <c r="M33" s="140">
        <v>5.6</v>
      </c>
      <c r="N33" s="344"/>
      <c r="O33" s="423"/>
      <c r="P33" s="344"/>
      <c r="Q33" s="344"/>
      <c r="R33" s="344"/>
      <c r="S33" s="344"/>
      <c r="T33" s="344"/>
      <c r="U33" s="344"/>
      <c r="V33" s="344"/>
      <c r="W33" s="344"/>
      <c r="X33" s="344"/>
      <c r="Y33" s="344"/>
      <c r="Z33" s="344"/>
      <c r="AA33" s="344"/>
      <c r="AB33" s="344"/>
      <c r="AC33" s="344"/>
      <c r="AD33" s="344"/>
      <c r="AE33" s="344"/>
      <c r="AF33" s="344"/>
      <c r="AG33" s="344"/>
      <c r="AH33" s="344"/>
      <c r="AI33" s="344"/>
      <c r="AJ33" s="345"/>
      <c r="AK33" s="345"/>
    </row>
    <row r="34" spans="1:37" s="267" customFormat="1" ht="12" customHeight="1" x14ac:dyDescent="0.2">
      <c r="A34" s="7">
        <f t="shared" si="2"/>
        <v>26</v>
      </c>
      <c r="B34" s="289" t="s">
        <v>351</v>
      </c>
      <c r="C34" s="138" t="s">
        <v>359</v>
      </c>
      <c r="D34" s="7" t="s">
        <v>500</v>
      </c>
      <c r="E34" s="288" t="s">
        <v>372</v>
      </c>
      <c r="F34" s="289" t="s">
        <v>461</v>
      </c>
      <c r="G34" s="289" t="s">
        <v>462</v>
      </c>
      <c r="H34" s="289" t="s">
        <v>361</v>
      </c>
      <c r="I34" s="292">
        <f t="shared" si="4"/>
        <v>4</v>
      </c>
      <c r="J34" s="292">
        <f t="shared" si="1"/>
        <v>20</v>
      </c>
      <c r="K34" s="292">
        <v>3</v>
      </c>
      <c r="L34" s="140">
        <v>4.4000000000000004</v>
      </c>
      <c r="M34" s="140">
        <v>22.3</v>
      </c>
      <c r="N34" s="344"/>
      <c r="O34" s="423"/>
      <c r="P34" s="344"/>
      <c r="Q34" s="344"/>
      <c r="R34" s="344"/>
      <c r="S34" s="344"/>
      <c r="T34" s="344"/>
      <c r="U34" s="344"/>
      <c r="V34" s="344"/>
      <c r="W34" s="344"/>
      <c r="X34" s="344"/>
      <c r="Y34" s="344"/>
      <c r="Z34" s="344"/>
      <c r="AA34" s="344"/>
      <c r="AB34" s="344"/>
      <c r="AC34" s="344"/>
      <c r="AD34" s="344"/>
      <c r="AE34" s="344"/>
      <c r="AF34" s="344"/>
      <c r="AG34" s="344"/>
      <c r="AH34" s="344"/>
      <c r="AI34" s="344"/>
      <c r="AJ34" s="345"/>
      <c r="AK34" s="345"/>
    </row>
    <row r="35" spans="1:37" s="267" customFormat="1" ht="12" customHeight="1" x14ac:dyDescent="0.2">
      <c r="A35" s="4"/>
      <c r="B35" s="289"/>
      <c r="C35" s="291"/>
      <c r="D35" s="4"/>
      <c r="E35" s="33"/>
      <c r="F35" s="33"/>
      <c r="G35" s="293"/>
      <c r="H35" s="290"/>
      <c r="I35" s="294"/>
      <c r="J35" s="294"/>
      <c r="K35" s="294"/>
      <c r="L35" s="294"/>
      <c r="M35" s="140"/>
      <c r="N35" s="344"/>
      <c r="O35" s="344"/>
      <c r="P35" s="344"/>
      <c r="Q35" s="344"/>
      <c r="R35" s="344"/>
      <c r="S35" s="344"/>
      <c r="T35" s="344"/>
      <c r="U35" s="344"/>
      <c r="V35" s="344"/>
      <c r="W35" s="344"/>
      <c r="X35" s="344"/>
      <c r="Y35" s="344"/>
      <c r="Z35" s="344"/>
      <c r="AA35" s="344"/>
      <c r="AB35" s="344"/>
      <c r="AC35" s="344"/>
      <c r="AD35" s="344"/>
      <c r="AE35" s="344"/>
      <c r="AF35" s="344"/>
      <c r="AG35" s="344"/>
      <c r="AH35" s="344"/>
      <c r="AI35" s="344"/>
      <c r="AJ35" s="345"/>
      <c r="AK35" s="345"/>
    </row>
    <row r="36" spans="1:37" s="267" customFormat="1" ht="12" customHeight="1" x14ac:dyDescent="0.25">
      <c r="A36" s="265"/>
      <c r="B36" s="266"/>
      <c r="C36" s="266"/>
      <c r="D36" s="266"/>
      <c r="E36" s="266"/>
      <c r="F36" s="266"/>
      <c r="G36" s="266"/>
      <c r="H36" s="266"/>
      <c r="I36" s="266"/>
      <c r="J36" s="266"/>
      <c r="K36" s="266"/>
      <c r="L36" s="266"/>
      <c r="M36" s="346"/>
      <c r="N36" s="344"/>
      <c r="O36" s="344"/>
      <c r="P36" s="344"/>
      <c r="Q36" s="344"/>
      <c r="R36" s="344"/>
      <c r="S36" s="344"/>
      <c r="T36" s="344"/>
      <c r="U36" s="344"/>
      <c r="V36" s="344"/>
      <c r="W36" s="344"/>
      <c r="X36" s="344"/>
      <c r="Y36" s="344"/>
      <c r="Z36" s="344"/>
      <c r="AA36" s="344"/>
      <c r="AB36" s="344"/>
      <c r="AC36" s="344"/>
      <c r="AD36" s="344"/>
      <c r="AE36" s="344"/>
      <c r="AF36" s="344"/>
      <c r="AG36" s="344"/>
      <c r="AH36" s="344"/>
      <c r="AI36" s="344"/>
      <c r="AJ36" s="345"/>
      <c r="AK36" s="345"/>
    </row>
    <row r="37" spans="1:37" x14ac:dyDescent="0.2">
      <c r="A37" s="443" t="s">
        <v>501</v>
      </c>
      <c r="B37" s="444"/>
      <c r="C37" s="444"/>
      <c r="D37" s="444"/>
      <c r="E37" s="444"/>
      <c r="F37" s="444"/>
      <c r="G37" s="444"/>
      <c r="H37" s="444"/>
      <c r="I37" s="444"/>
      <c r="J37" s="444"/>
      <c r="K37" s="444"/>
      <c r="L37" s="445"/>
      <c r="M37" s="441">
        <f>SUM(M9:M35)</f>
        <v>335.70000000000005</v>
      </c>
    </row>
    <row r="38" spans="1:37" x14ac:dyDescent="0.2">
      <c r="A38" s="446"/>
      <c r="B38" s="447"/>
      <c r="C38" s="447"/>
      <c r="D38" s="447"/>
      <c r="E38" s="447"/>
      <c r="F38" s="447"/>
      <c r="G38" s="447"/>
      <c r="H38" s="447"/>
      <c r="I38" s="447"/>
      <c r="J38" s="447"/>
      <c r="K38" s="447"/>
      <c r="L38" s="448"/>
      <c r="M38" s="442"/>
    </row>
    <row r="40" spans="1:37" x14ac:dyDescent="0.2">
      <c r="E40" s="425"/>
    </row>
    <row r="42" spans="1:37" x14ac:dyDescent="0.2">
      <c r="F42" s="47"/>
    </row>
  </sheetData>
  <mergeCells count="21">
    <mergeCell ref="A1:M1"/>
    <mergeCell ref="A2:M2"/>
    <mergeCell ref="A3:M3"/>
    <mergeCell ref="A4:M4"/>
    <mergeCell ref="A5:M5"/>
    <mergeCell ref="M37:M38"/>
    <mergeCell ref="A37:L38"/>
    <mergeCell ref="M7:M8"/>
    <mergeCell ref="L7:L8"/>
    <mergeCell ref="A6:M6"/>
    <mergeCell ref="B7:B8"/>
    <mergeCell ref="D7:D8"/>
    <mergeCell ref="F7:F8"/>
    <mergeCell ref="G7:G8"/>
    <mergeCell ref="E7:E8"/>
    <mergeCell ref="I7:I8"/>
    <mergeCell ref="J7:J8"/>
    <mergeCell ref="K7:K8"/>
    <mergeCell ref="H7:H8"/>
    <mergeCell ref="A7:A8"/>
    <mergeCell ref="C7:C8"/>
  </mergeCells>
  <phoneticPr fontId="11" type="noConversion"/>
  <printOptions horizontalCentered="1"/>
  <pageMargins left="0.23622047244094491" right="0.23622047244094491" top="0.78740157480314965" bottom="1.3385826771653544" header="0.31496062992125984" footer="0.31496062992125984"/>
  <pageSetup paperSize="9" scale="68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00B0F0"/>
  </sheetPr>
  <dimension ref="A1:X271"/>
  <sheetViews>
    <sheetView view="pageBreakPreview" topLeftCell="A85" zoomScaleNormal="100" zoomScaleSheetLayoutView="100" workbookViewId="0">
      <selection activeCell="Q159" sqref="Q159"/>
    </sheetView>
  </sheetViews>
  <sheetFormatPr defaultColWidth="9.140625" defaultRowHeight="12" x14ac:dyDescent="0.2"/>
  <cols>
    <col min="1" max="1" width="7.28515625" style="64" bestFit="1" customWidth="1"/>
    <col min="2" max="2" width="26" style="81" customWidth="1"/>
    <col min="3" max="3" width="12.85546875" style="65" customWidth="1"/>
    <col min="4" max="4" width="13.28515625" style="65" customWidth="1"/>
    <col min="5" max="5" width="13.42578125" style="88" customWidth="1"/>
    <col min="6" max="6" width="13.5703125" style="65" customWidth="1"/>
    <col min="7" max="8" width="12.28515625" style="88" customWidth="1"/>
    <col min="9" max="9" width="13.28515625" style="88" customWidth="1"/>
    <col min="10" max="10" width="11.85546875" style="88" customWidth="1"/>
    <col min="11" max="11" width="12" style="88" customWidth="1"/>
    <col min="12" max="12" width="12.28515625" style="88" customWidth="1"/>
    <col min="13" max="13" width="12.140625" style="88" customWidth="1"/>
    <col min="14" max="14" width="10.5703125" style="88" customWidth="1"/>
    <col min="15" max="15" width="10" style="88" customWidth="1"/>
    <col min="16" max="16" width="10.7109375" style="88" customWidth="1"/>
    <col min="17" max="17" width="8.7109375" style="88" customWidth="1"/>
    <col min="18" max="18" width="8.28515625" style="88" customWidth="1"/>
    <col min="19" max="19" width="11" style="88" customWidth="1"/>
    <col min="20" max="20" width="11.140625" style="65" bestFit="1" customWidth="1"/>
    <col min="21" max="16384" width="9.140625" style="65"/>
  </cols>
  <sheetData>
    <row r="1" spans="1:20" ht="15" customHeight="1" x14ac:dyDescent="0.2">
      <c r="A1" s="507" t="str">
        <f>'1 - Inventário'!A1:M1</f>
        <v>OBJETO: MANUTENÇÃO E CONSERVAÇÃO DAS PONTES DE MADEIRA NAS RODOVIAS QUE FAZEM PARTE DA MALHA RODOVIÁRIA NÃO PAVIMENTADA DO MUNICÍPIO DE RIO BRILHANTE/MS</v>
      </c>
      <c r="B1" s="508"/>
      <c r="C1" s="508"/>
      <c r="D1" s="508"/>
      <c r="E1" s="508"/>
      <c r="F1" s="508"/>
      <c r="G1" s="508"/>
      <c r="H1" s="508"/>
      <c r="I1" s="508"/>
      <c r="J1" s="508"/>
      <c r="K1" s="508"/>
      <c r="L1" s="508"/>
      <c r="M1" s="508"/>
      <c r="N1" s="508"/>
      <c r="O1" s="508"/>
      <c r="P1" s="508"/>
      <c r="Q1" s="508"/>
      <c r="R1" s="508"/>
      <c r="S1" s="509"/>
    </row>
    <row r="2" spans="1:20" ht="15" customHeight="1" x14ac:dyDescent="0.2">
      <c r="A2" s="510" t="str">
        <f>'1 - Inventário'!A2:M2</f>
        <v>LOCAL: RIO BRILHANTE/MS</v>
      </c>
      <c r="B2" s="511"/>
      <c r="C2" s="511"/>
      <c r="D2" s="511"/>
      <c r="E2" s="511"/>
      <c r="F2" s="511"/>
      <c r="G2" s="511"/>
      <c r="H2" s="511"/>
      <c r="I2" s="511"/>
      <c r="J2" s="511"/>
      <c r="K2" s="511"/>
      <c r="L2" s="511"/>
      <c r="M2" s="511"/>
      <c r="N2" s="511"/>
      <c r="O2" s="511"/>
      <c r="P2" s="511"/>
      <c r="Q2" s="511"/>
      <c r="R2" s="511"/>
      <c r="S2" s="512"/>
    </row>
    <row r="3" spans="1:20" ht="15" customHeight="1" x14ac:dyDescent="0.2">
      <c r="A3" s="510" t="str">
        <f>'1 - Inventário'!A3:M3</f>
        <v>PRAZO: 365 (dias)</v>
      </c>
      <c r="B3" s="511"/>
      <c r="C3" s="511"/>
      <c r="D3" s="511"/>
      <c r="E3" s="511"/>
      <c r="F3" s="511"/>
      <c r="G3" s="511"/>
      <c r="H3" s="511"/>
      <c r="I3" s="511"/>
      <c r="J3" s="511"/>
      <c r="K3" s="511"/>
      <c r="L3" s="511"/>
      <c r="M3" s="511"/>
      <c r="N3" s="511"/>
      <c r="O3" s="511"/>
      <c r="P3" s="511"/>
      <c r="Q3" s="511"/>
      <c r="R3" s="511"/>
      <c r="S3" s="512"/>
    </row>
    <row r="4" spans="1:20" ht="15" customHeight="1" x14ac:dyDescent="0.2">
      <c r="A4" s="510" t="str">
        <f>'1 - Inventário'!A4:M4</f>
        <v>PROCESSO:</v>
      </c>
      <c r="B4" s="511"/>
      <c r="C4" s="511"/>
      <c r="D4" s="511"/>
      <c r="E4" s="511"/>
      <c r="F4" s="511"/>
      <c r="G4" s="511"/>
      <c r="H4" s="511"/>
      <c r="I4" s="511"/>
      <c r="J4" s="511"/>
      <c r="K4" s="511"/>
      <c r="L4" s="511"/>
      <c r="M4" s="511"/>
      <c r="N4" s="511"/>
      <c r="O4" s="511"/>
      <c r="P4" s="511"/>
      <c r="Q4" s="511"/>
      <c r="R4" s="511"/>
      <c r="S4" s="512"/>
    </row>
    <row r="5" spans="1:20" ht="14.25" customHeight="1" x14ac:dyDescent="0.2">
      <c r="A5" s="504"/>
      <c r="B5" s="505"/>
      <c r="C5" s="505"/>
      <c r="D5" s="505"/>
      <c r="E5" s="505"/>
      <c r="F5" s="505"/>
      <c r="G5" s="505"/>
      <c r="H5" s="505"/>
      <c r="I5" s="505"/>
      <c r="J5" s="505"/>
      <c r="K5" s="505"/>
      <c r="L5" s="505"/>
      <c r="M5" s="505"/>
      <c r="N5" s="505"/>
      <c r="O5" s="505"/>
      <c r="P5" s="505"/>
      <c r="Q5" s="505"/>
      <c r="R5" s="505"/>
      <c r="S5" s="506"/>
    </row>
    <row r="6" spans="1:20" ht="12.95" customHeight="1" x14ac:dyDescent="0.2">
      <c r="A6" s="513" t="s">
        <v>195</v>
      </c>
      <c r="B6" s="476"/>
      <c r="C6" s="476"/>
      <c r="D6" s="476"/>
      <c r="E6" s="476"/>
      <c r="F6" s="476"/>
      <c r="G6" s="476"/>
      <c r="H6" s="476"/>
      <c r="I6" s="476"/>
      <c r="J6" s="476"/>
      <c r="K6" s="476"/>
      <c r="L6" s="476"/>
      <c r="M6" s="476"/>
      <c r="N6" s="476"/>
      <c r="O6" s="476"/>
      <c r="P6" s="476"/>
      <c r="Q6" s="476"/>
      <c r="R6" s="476"/>
      <c r="S6" s="514"/>
    </row>
    <row r="7" spans="1:20" ht="12.95" customHeight="1" x14ac:dyDescent="0.2">
      <c r="A7" s="484" t="s">
        <v>477</v>
      </c>
      <c r="B7" s="477"/>
      <c r="C7" s="477"/>
      <c r="D7" s="477"/>
      <c r="E7" s="477"/>
      <c r="F7" s="477"/>
      <c r="G7" s="477"/>
      <c r="H7" s="477"/>
      <c r="I7" s="477"/>
      <c r="J7" s="477"/>
      <c r="K7" s="477"/>
      <c r="L7" s="477"/>
      <c r="M7" s="477"/>
      <c r="N7" s="477"/>
      <c r="O7" s="477"/>
      <c r="P7" s="477"/>
      <c r="Q7" s="477"/>
      <c r="R7" s="477"/>
      <c r="S7" s="485"/>
    </row>
    <row r="8" spans="1:20" ht="12.95" customHeight="1" x14ac:dyDescent="0.2">
      <c r="A8" s="495" t="s">
        <v>0</v>
      </c>
      <c r="B8" s="496" t="s">
        <v>1</v>
      </c>
      <c r="C8" s="496"/>
      <c r="D8" s="496"/>
      <c r="E8" s="496"/>
      <c r="F8" s="496"/>
      <c r="G8" s="496"/>
      <c r="H8" s="491" t="s">
        <v>150</v>
      </c>
      <c r="I8" s="492"/>
      <c r="J8" s="492"/>
      <c r="K8" s="493"/>
      <c r="L8" s="491" t="s">
        <v>196</v>
      </c>
      <c r="M8" s="492"/>
      <c r="N8" s="492"/>
      <c r="O8" s="493"/>
      <c r="P8" s="491" t="s">
        <v>43</v>
      </c>
      <c r="Q8" s="492"/>
      <c r="R8" s="492"/>
      <c r="S8" s="494"/>
    </row>
    <row r="9" spans="1:20" ht="24.95" customHeight="1" x14ac:dyDescent="0.2">
      <c r="A9" s="495"/>
      <c r="B9" s="94" t="s">
        <v>504</v>
      </c>
      <c r="C9" s="94" t="s">
        <v>78</v>
      </c>
      <c r="D9" s="66" t="s">
        <v>79</v>
      </c>
      <c r="E9" s="83" t="s">
        <v>360</v>
      </c>
      <c r="F9" s="66" t="s">
        <v>54</v>
      </c>
      <c r="G9" s="83" t="s">
        <v>5</v>
      </c>
      <c r="H9" s="83" t="s">
        <v>352</v>
      </c>
      <c r="I9" s="83" t="s">
        <v>197</v>
      </c>
      <c r="J9" s="83" t="s">
        <v>198</v>
      </c>
      <c r="K9" s="95" t="s">
        <v>412</v>
      </c>
      <c r="L9" s="83" t="s">
        <v>352</v>
      </c>
      <c r="M9" s="83" t="s">
        <v>54</v>
      </c>
      <c r="N9" s="83" t="s">
        <v>199</v>
      </c>
      <c r="O9" s="95" t="s">
        <v>411</v>
      </c>
      <c r="P9" s="83" t="s">
        <v>352</v>
      </c>
      <c r="Q9" s="95" t="s">
        <v>54</v>
      </c>
      <c r="R9" s="95" t="s">
        <v>5</v>
      </c>
      <c r="S9" s="329" t="s">
        <v>411</v>
      </c>
      <c r="T9" s="286"/>
    </row>
    <row r="10" spans="1:20" ht="12.95" customHeight="1" x14ac:dyDescent="0.2">
      <c r="A10" s="330">
        <v>1</v>
      </c>
      <c r="B10" s="122" t="str">
        <f>'1 - Inventário'!D9</f>
        <v>CÓRREGO DO CHINELO</v>
      </c>
      <c r="C10" s="122" t="str">
        <f>'1 - Inventário'!F9</f>
        <v>21°53'30.35''S</v>
      </c>
      <c r="D10" s="122" t="str">
        <f>'1 - Inventário'!G9</f>
        <v>54°35'16.91''W</v>
      </c>
      <c r="E10" s="142" t="s">
        <v>361</v>
      </c>
      <c r="F10" s="122">
        <f>'1 - Inventário'!L9</f>
        <v>5</v>
      </c>
      <c r="G10" s="122">
        <f>'1 - Inventário'!M9</f>
        <v>13</v>
      </c>
      <c r="H10" s="142">
        <v>1</v>
      </c>
      <c r="I10" s="141">
        <v>5</v>
      </c>
      <c r="J10" s="141">
        <v>33</v>
      </c>
      <c r="K10" s="123">
        <v>1.6500000000000001E-2</v>
      </c>
      <c r="L10" s="123">
        <v>1</v>
      </c>
      <c r="M10" s="141">
        <v>4</v>
      </c>
      <c r="N10" s="141">
        <v>4</v>
      </c>
      <c r="O10" s="141">
        <v>16</v>
      </c>
      <c r="P10" s="141">
        <v>1</v>
      </c>
      <c r="Q10" s="141">
        <v>5</v>
      </c>
      <c r="R10" s="141">
        <v>13</v>
      </c>
      <c r="S10" s="331">
        <f>Q10*R10</f>
        <v>65</v>
      </c>
    </row>
    <row r="11" spans="1:20" ht="12.95" customHeight="1" x14ac:dyDescent="0.2">
      <c r="A11" s="330">
        <v>2</v>
      </c>
      <c r="B11" s="122" t="str">
        <f>'1 - Inventário'!D10</f>
        <v>CÓRREGO AREIAS</v>
      </c>
      <c r="C11" s="122" t="str">
        <f>'1 - Inventário'!F10</f>
        <v>21°48'55.89''S</v>
      </c>
      <c r="D11" s="122" t="str">
        <f>'1 - Inventário'!G10</f>
        <v>54°32'36.89''W</v>
      </c>
      <c r="E11" s="142" t="s">
        <v>361</v>
      </c>
      <c r="F11" s="122">
        <f>'1 - Inventário'!L10</f>
        <v>4.4000000000000004</v>
      </c>
      <c r="G11" s="122">
        <f>'1 - Inventário'!M10</f>
        <v>6</v>
      </c>
      <c r="H11" s="142">
        <v>1</v>
      </c>
      <c r="I11" s="141">
        <v>5</v>
      </c>
      <c r="J11" s="141">
        <v>26</v>
      </c>
      <c r="K11" s="123">
        <v>1.2999999999999999E-2</v>
      </c>
      <c r="L11" s="123">
        <v>1</v>
      </c>
      <c r="M11" s="141">
        <v>4</v>
      </c>
      <c r="N11" s="141">
        <v>4</v>
      </c>
      <c r="O11" s="141">
        <v>16</v>
      </c>
      <c r="P11" s="141">
        <v>1</v>
      </c>
      <c r="Q11" s="141">
        <v>4.4000000000000004</v>
      </c>
      <c r="R11" s="141">
        <v>6</v>
      </c>
      <c r="S11" s="331">
        <f t="shared" ref="S11:S35" si="0">Q11*R11</f>
        <v>26.400000000000002</v>
      </c>
    </row>
    <row r="12" spans="1:20" ht="12.95" customHeight="1" x14ac:dyDescent="0.2">
      <c r="A12" s="330">
        <f>A11+1</f>
        <v>3</v>
      </c>
      <c r="B12" s="122" t="str">
        <f>'1 - Inventário'!D11</f>
        <v>CÓRREGO ARARAS</v>
      </c>
      <c r="C12" s="122" t="str">
        <f>'1 - Inventário'!F11</f>
        <v>21°47'42.63''S</v>
      </c>
      <c r="D12" s="122" t="str">
        <f>'1 - Inventário'!G11</f>
        <v>54°31'56.42''W</v>
      </c>
      <c r="E12" s="142" t="s">
        <v>361</v>
      </c>
      <c r="F12" s="122">
        <f>'1 - Inventário'!L11</f>
        <v>4.8</v>
      </c>
      <c r="G12" s="122">
        <f>'1 - Inventário'!M11</f>
        <v>12</v>
      </c>
      <c r="H12" s="142">
        <v>1</v>
      </c>
      <c r="I12" s="141">
        <v>5</v>
      </c>
      <c r="J12" s="141">
        <v>32</v>
      </c>
      <c r="K12" s="123">
        <v>1.6E-2</v>
      </c>
      <c r="L12" s="123">
        <v>1</v>
      </c>
      <c r="M12" s="141">
        <v>4</v>
      </c>
      <c r="N12" s="141">
        <v>4</v>
      </c>
      <c r="O12" s="141">
        <v>16</v>
      </c>
      <c r="P12" s="141">
        <v>1</v>
      </c>
      <c r="Q12" s="141">
        <v>4.8</v>
      </c>
      <c r="R12" s="141">
        <v>12</v>
      </c>
      <c r="S12" s="331">
        <f t="shared" si="0"/>
        <v>57.599999999999994</v>
      </c>
    </row>
    <row r="13" spans="1:20" ht="12.95" customHeight="1" x14ac:dyDescent="0.2">
      <c r="A13" s="330">
        <f t="shared" ref="A13:A18" si="1">A12+1</f>
        <v>4</v>
      </c>
      <c r="B13" s="122" t="str">
        <f>'1 - Inventário'!D12</f>
        <v>CÓRREGO FORMIGA</v>
      </c>
      <c r="C13" s="122" t="str">
        <f>'1 - Inventário'!F12</f>
        <v>21°39'27.48''S</v>
      </c>
      <c r="D13" s="122" t="str">
        <f>'1 - Inventário'!G12</f>
        <v>54°25'31.76''W</v>
      </c>
      <c r="E13" s="142" t="s">
        <v>361</v>
      </c>
      <c r="F13" s="122">
        <f>'1 - Inventário'!L12</f>
        <v>4.4000000000000004</v>
      </c>
      <c r="G13" s="122">
        <f>'1 - Inventário'!M12</f>
        <v>13.2</v>
      </c>
      <c r="H13" s="142">
        <v>1</v>
      </c>
      <c r="I13" s="141">
        <v>5</v>
      </c>
      <c r="J13" s="141">
        <v>33.200000000000003</v>
      </c>
      <c r="K13" s="123">
        <v>1.66E-2</v>
      </c>
      <c r="L13" s="123">
        <v>1</v>
      </c>
      <c r="M13" s="141">
        <v>4</v>
      </c>
      <c r="N13" s="141">
        <v>4</v>
      </c>
      <c r="O13" s="141">
        <v>16</v>
      </c>
      <c r="P13" s="141">
        <v>1</v>
      </c>
      <c r="Q13" s="141">
        <v>4.4000000000000004</v>
      </c>
      <c r="R13" s="141">
        <v>13.2</v>
      </c>
      <c r="S13" s="331">
        <f t="shared" si="0"/>
        <v>58.08</v>
      </c>
    </row>
    <row r="14" spans="1:20" ht="12.95" customHeight="1" x14ac:dyDescent="0.2">
      <c r="A14" s="330">
        <f t="shared" si="1"/>
        <v>5</v>
      </c>
      <c r="B14" s="122" t="str">
        <f>'1 - Inventário'!D13</f>
        <v>CÓRREGO ANTINHA</v>
      </c>
      <c r="C14" s="122" t="str">
        <f>'1 - Inventário'!F13</f>
        <v>21°38'42.22''S</v>
      </c>
      <c r="D14" s="122" t="str">
        <f>'1 - Inventário'!G13</f>
        <v>54°27'12.82''W</v>
      </c>
      <c r="E14" s="142" t="s">
        <v>361</v>
      </c>
      <c r="F14" s="122">
        <f>'1 - Inventário'!L13</f>
        <v>4.4000000000000004</v>
      </c>
      <c r="G14" s="122">
        <f>'1 - Inventário'!M13</f>
        <v>7.2</v>
      </c>
      <c r="H14" s="142">
        <v>1</v>
      </c>
      <c r="I14" s="141">
        <v>5</v>
      </c>
      <c r="J14" s="141">
        <v>27.2</v>
      </c>
      <c r="K14" s="123">
        <v>1.3599999999999999E-2</v>
      </c>
      <c r="L14" s="123">
        <v>1</v>
      </c>
      <c r="M14" s="141">
        <v>4</v>
      </c>
      <c r="N14" s="141">
        <v>4</v>
      </c>
      <c r="O14" s="141">
        <v>16</v>
      </c>
      <c r="P14" s="141">
        <v>1</v>
      </c>
      <c r="Q14" s="141">
        <v>4.4000000000000004</v>
      </c>
      <c r="R14" s="141">
        <v>7.2</v>
      </c>
      <c r="S14" s="331">
        <f t="shared" si="0"/>
        <v>31.680000000000003</v>
      </c>
    </row>
    <row r="15" spans="1:20" ht="12.95" customHeight="1" x14ac:dyDescent="0.2">
      <c r="A15" s="330">
        <f t="shared" si="1"/>
        <v>6</v>
      </c>
      <c r="B15" s="122" t="str">
        <f>'1 - Inventário'!D14</f>
        <v>CÓRREGO FORMIGA</v>
      </c>
      <c r="C15" s="122" t="str">
        <f>'1 - Inventário'!F14</f>
        <v>21°38'56.23''S</v>
      </c>
      <c r="D15" s="122" t="str">
        <f>'1 - Inventário'!G14</f>
        <v>54°25'01.82''W</v>
      </c>
      <c r="E15" s="142" t="s">
        <v>361</v>
      </c>
      <c r="F15" s="122">
        <f>'1 - Inventário'!L14</f>
        <v>4.4000000000000004</v>
      </c>
      <c r="G15" s="122">
        <f>'1 - Inventário'!M14</f>
        <v>12</v>
      </c>
      <c r="H15" s="142">
        <v>1</v>
      </c>
      <c r="I15" s="141">
        <v>5</v>
      </c>
      <c r="J15" s="141">
        <v>32</v>
      </c>
      <c r="K15" s="123">
        <v>1.6E-2</v>
      </c>
      <c r="L15" s="123">
        <v>1</v>
      </c>
      <c r="M15" s="141">
        <v>4</v>
      </c>
      <c r="N15" s="141">
        <v>4</v>
      </c>
      <c r="O15" s="141">
        <v>16</v>
      </c>
      <c r="P15" s="141">
        <v>1</v>
      </c>
      <c r="Q15" s="141">
        <v>4.4000000000000004</v>
      </c>
      <c r="R15" s="141">
        <v>12</v>
      </c>
      <c r="S15" s="331">
        <f t="shared" si="0"/>
        <v>52.800000000000004</v>
      </c>
    </row>
    <row r="16" spans="1:20" ht="12.95" customHeight="1" x14ac:dyDescent="0.2">
      <c r="A16" s="330">
        <f t="shared" si="1"/>
        <v>7</v>
      </c>
      <c r="B16" s="122" t="str">
        <f>'1 - Inventário'!D15</f>
        <v>CÓRREGO QUILOMBO</v>
      </c>
      <c r="C16" s="122" t="str">
        <f>'1 - Inventário'!F15</f>
        <v>21°42'14.33''S</v>
      </c>
      <c r="D16" s="122" t="str">
        <f>'1 - Inventário'!G15</f>
        <v>54°20'39.58''W</v>
      </c>
      <c r="E16" s="142" t="s">
        <v>361</v>
      </c>
      <c r="F16" s="122">
        <f>'1 - Inventário'!L15</f>
        <v>4.4000000000000004</v>
      </c>
      <c r="G16" s="122">
        <f>'1 - Inventário'!M15</f>
        <v>6.8</v>
      </c>
      <c r="H16" s="142">
        <v>1</v>
      </c>
      <c r="I16" s="141">
        <v>5</v>
      </c>
      <c r="J16" s="141">
        <v>26.8</v>
      </c>
      <c r="K16" s="123">
        <v>1.34E-2</v>
      </c>
      <c r="L16" s="123">
        <v>1</v>
      </c>
      <c r="M16" s="141">
        <v>4</v>
      </c>
      <c r="N16" s="141">
        <v>4</v>
      </c>
      <c r="O16" s="141">
        <v>16</v>
      </c>
      <c r="P16" s="141">
        <v>1</v>
      </c>
      <c r="Q16" s="141">
        <v>4.4000000000000004</v>
      </c>
      <c r="R16" s="141">
        <v>6.8</v>
      </c>
      <c r="S16" s="331">
        <f t="shared" si="0"/>
        <v>29.92</v>
      </c>
    </row>
    <row r="17" spans="1:19" ht="12.95" customHeight="1" x14ac:dyDescent="0.2">
      <c r="A17" s="330">
        <f t="shared" si="1"/>
        <v>8</v>
      </c>
      <c r="B17" s="122" t="str">
        <f>'1 - Inventário'!D16</f>
        <v>ARROIO CORREGUINHO</v>
      </c>
      <c r="C17" s="122" t="str">
        <f>'1 - Inventário'!F16</f>
        <v>21°42'39.87''S</v>
      </c>
      <c r="D17" s="122" t="str">
        <f>'1 - Inventário'!G16</f>
        <v>54°18'52.81''W</v>
      </c>
      <c r="E17" s="142" t="s">
        <v>361</v>
      </c>
      <c r="F17" s="122">
        <f>'1 - Inventário'!L16</f>
        <v>4.4000000000000004</v>
      </c>
      <c r="G17" s="122">
        <f>'1 - Inventário'!M16</f>
        <v>5.8</v>
      </c>
      <c r="H17" s="142">
        <v>1</v>
      </c>
      <c r="I17" s="141">
        <v>5</v>
      </c>
      <c r="J17" s="141">
        <v>25.8</v>
      </c>
      <c r="K17" s="123">
        <v>1.29E-2</v>
      </c>
      <c r="L17" s="123">
        <v>1</v>
      </c>
      <c r="M17" s="141">
        <v>4</v>
      </c>
      <c r="N17" s="141">
        <v>4</v>
      </c>
      <c r="O17" s="141">
        <v>16</v>
      </c>
      <c r="P17" s="141">
        <v>1</v>
      </c>
      <c r="Q17" s="141">
        <v>4.4000000000000004</v>
      </c>
      <c r="R17" s="141">
        <v>5.8</v>
      </c>
      <c r="S17" s="331">
        <f t="shared" si="0"/>
        <v>25.52</v>
      </c>
    </row>
    <row r="18" spans="1:19" ht="12.95" customHeight="1" x14ac:dyDescent="0.2">
      <c r="A18" s="330">
        <f t="shared" si="1"/>
        <v>9</v>
      </c>
      <c r="B18" s="122" t="str">
        <f>'1 - Inventário'!D17</f>
        <v>CÓRREGO GUATAMBU</v>
      </c>
      <c r="C18" s="122" t="str">
        <f>'1 - Inventário'!F17</f>
        <v>21°43'17.70"S</v>
      </c>
      <c r="D18" s="122" t="str">
        <f>'1 - Inventário'!G17</f>
        <v>54°16'36.10"W</v>
      </c>
      <c r="E18" s="142" t="s">
        <v>361</v>
      </c>
      <c r="F18" s="122">
        <f>'1 - Inventário'!L17</f>
        <v>4.4000000000000004</v>
      </c>
      <c r="G18" s="122">
        <f>'1 - Inventário'!M17</f>
        <v>10.6</v>
      </c>
      <c r="H18" s="142">
        <v>1</v>
      </c>
      <c r="I18" s="141">
        <v>5</v>
      </c>
      <c r="J18" s="141">
        <v>30.6</v>
      </c>
      <c r="K18" s="123">
        <v>1.5299999999999999E-2</v>
      </c>
      <c r="L18" s="123">
        <v>1</v>
      </c>
      <c r="M18" s="141">
        <v>4</v>
      </c>
      <c r="N18" s="141">
        <v>4</v>
      </c>
      <c r="O18" s="141">
        <v>16</v>
      </c>
      <c r="P18" s="141">
        <v>1</v>
      </c>
      <c r="Q18" s="141">
        <v>4.4000000000000004</v>
      </c>
      <c r="R18" s="141">
        <v>10.6</v>
      </c>
      <c r="S18" s="331">
        <f t="shared" si="0"/>
        <v>46.64</v>
      </c>
    </row>
    <row r="19" spans="1:19" ht="12.95" customHeight="1" x14ac:dyDescent="0.2">
      <c r="A19" s="330">
        <f t="shared" ref="A19:A28" si="2">A18+1</f>
        <v>10</v>
      </c>
      <c r="B19" s="122" t="str">
        <f>'1 - Inventário'!D18</f>
        <v>CÓRREGO QUILOMBO</v>
      </c>
      <c r="C19" s="122" t="str">
        <f>'1 - Inventário'!F18</f>
        <v>21°42'51.11''S</v>
      </c>
      <c r="D19" s="122" t="str">
        <f>'1 - Inventário'!G18</f>
        <v>54°16'52.81''W</v>
      </c>
      <c r="E19" s="142" t="s">
        <v>361</v>
      </c>
      <c r="F19" s="122">
        <f>'1 - Inventário'!L18</f>
        <v>4.4000000000000004</v>
      </c>
      <c r="G19" s="122">
        <f>'1 - Inventário'!M18</f>
        <v>5.8</v>
      </c>
      <c r="H19" s="142">
        <v>1</v>
      </c>
      <c r="I19" s="141">
        <v>5</v>
      </c>
      <c r="J19" s="141">
        <v>25.8</v>
      </c>
      <c r="K19" s="123">
        <v>1.29E-2</v>
      </c>
      <c r="L19" s="123">
        <v>1</v>
      </c>
      <c r="M19" s="141">
        <v>4</v>
      </c>
      <c r="N19" s="141">
        <v>4</v>
      </c>
      <c r="O19" s="141">
        <v>16</v>
      </c>
      <c r="P19" s="141">
        <v>1</v>
      </c>
      <c r="Q19" s="141">
        <v>4.4000000000000004</v>
      </c>
      <c r="R19" s="141">
        <v>5.8</v>
      </c>
      <c r="S19" s="331">
        <f t="shared" si="0"/>
        <v>25.52</v>
      </c>
    </row>
    <row r="20" spans="1:19" ht="12.95" customHeight="1" x14ac:dyDescent="0.2">
      <c r="A20" s="330">
        <f t="shared" si="2"/>
        <v>11</v>
      </c>
      <c r="B20" s="122" t="str">
        <f>'1 - Inventário'!D19</f>
        <v>CÓRREGO SAPÉ</v>
      </c>
      <c r="C20" s="122" t="str">
        <f>'1 - Inventário'!F19</f>
        <v>21°44'57.50"S</v>
      </c>
      <c r="D20" s="122" t="str">
        <f>'1 - Inventário'!G19</f>
        <v>54°18'00.40"W</v>
      </c>
      <c r="E20" s="142" t="s">
        <v>361</v>
      </c>
      <c r="F20" s="122">
        <f>'1 - Inventário'!L19</f>
        <v>4.4000000000000004</v>
      </c>
      <c r="G20" s="122">
        <f>'1 - Inventário'!M19</f>
        <v>10.8</v>
      </c>
      <c r="H20" s="142">
        <v>1</v>
      </c>
      <c r="I20" s="141">
        <v>5</v>
      </c>
      <c r="J20" s="141">
        <v>30.8</v>
      </c>
      <c r="K20" s="123">
        <v>1.54E-2</v>
      </c>
      <c r="L20" s="123">
        <v>1</v>
      </c>
      <c r="M20" s="141">
        <v>4</v>
      </c>
      <c r="N20" s="141">
        <v>4</v>
      </c>
      <c r="O20" s="141">
        <v>16</v>
      </c>
      <c r="P20" s="141">
        <v>1</v>
      </c>
      <c r="Q20" s="141">
        <v>4.4000000000000004</v>
      </c>
      <c r="R20" s="141">
        <v>10.8</v>
      </c>
      <c r="S20" s="331">
        <f t="shared" si="0"/>
        <v>47.52000000000001</v>
      </c>
    </row>
    <row r="21" spans="1:19" ht="12.95" customHeight="1" x14ac:dyDescent="0.2">
      <c r="A21" s="330">
        <f t="shared" si="2"/>
        <v>12</v>
      </c>
      <c r="B21" s="122" t="str">
        <f>'1 - Inventário'!D20</f>
        <v>CÓRREGO JUREMA</v>
      </c>
      <c r="C21" s="122" t="str">
        <f>'1 - Inventário'!F20</f>
        <v>21°47'02.84''S</v>
      </c>
      <c r="D21" s="122" t="str">
        <f>'1 - Inventário'!G20</f>
        <v>54°14'35.61''W</v>
      </c>
      <c r="E21" s="142" t="s">
        <v>361</v>
      </c>
      <c r="F21" s="122">
        <f>'1 - Inventário'!L20</f>
        <v>4.4000000000000004</v>
      </c>
      <c r="G21" s="122">
        <f>'1 - Inventário'!M20</f>
        <v>7.1</v>
      </c>
      <c r="H21" s="142">
        <v>1</v>
      </c>
      <c r="I21" s="141">
        <v>5</v>
      </c>
      <c r="J21" s="141">
        <v>27.1</v>
      </c>
      <c r="K21" s="123">
        <v>1.355E-2</v>
      </c>
      <c r="L21" s="123">
        <v>1</v>
      </c>
      <c r="M21" s="141">
        <v>4</v>
      </c>
      <c r="N21" s="141">
        <v>4</v>
      </c>
      <c r="O21" s="141">
        <v>16</v>
      </c>
      <c r="P21" s="141">
        <v>1</v>
      </c>
      <c r="Q21" s="141">
        <v>4.4000000000000004</v>
      </c>
      <c r="R21" s="141">
        <v>7.1</v>
      </c>
      <c r="S21" s="331">
        <f t="shared" si="0"/>
        <v>31.240000000000002</v>
      </c>
    </row>
    <row r="22" spans="1:19" ht="12.95" customHeight="1" x14ac:dyDescent="0.2">
      <c r="A22" s="330">
        <f t="shared" si="2"/>
        <v>13</v>
      </c>
      <c r="B22" s="122" t="str">
        <f>'1 - Inventário'!D21</f>
        <v>CÓRREGO ARACI</v>
      </c>
      <c r="C22" s="122" t="str">
        <f>'1 - Inventário'!F21</f>
        <v>21°45'04.33''S</v>
      </c>
      <c r="D22" s="122" t="str">
        <f>'1 - Inventário'!G21</f>
        <v>54°12'41.25''W</v>
      </c>
      <c r="E22" s="142" t="s">
        <v>361</v>
      </c>
      <c r="F22" s="122">
        <f>'1 - Inventário'!L21</f>
        <v>4.4000000000000004</v>
      </c>
      <c r="G22" s="122">
        <f>'1 - Inventário'!M21</f>
        <v>6.4</v>
      </c>
      <c r="H22" s="142">
        <v>1</v>
      </c>
      <c r="I22" s="141">
        <v>5</v>
      </c>
      <c r="J22" s="141">
        <v>26.4</v>
      </c>
      <c r="K22" s="123">
        <v>1.32E-2</v>
      </c>
      <c r="L22" s="123">
        <v>1</v>
      </c>
      <c r="M22" s="141">
        <v>4</v>
      </c>
      <c r="N22" s="141">
        <v>4</v>
      </c>
      <c r="O22" s="141">
        <v>16</v>
      </c>
      <c r="P22" s="141">
        <v>1</v>
      </c>
      <c r="Q22" s="141">
        <v>4.4000000000000004</v>
      </c>
      <c r="R22" s="141">
        <v>6.4</v>
      </c>
      <c r="S22" s="331">
        <f t="shared" si="0"/>
        <v>28.160000000000004</v>
      </c>
    </row>
    <row r="23" spans="1:19" ht="12.95" customHeight="1" x14ac:dyDescent="0.2">
      <c r="A23" s="330">
        <f t="shared" si="2"/>
        <v>14</v>
      </c>
      <c r="B23" s="122" t="str">
        <f>'1 - Inventário'!D22</f>
        <v>CÓRREGO ANHUMAS</v>
      </c>
      <c r="C23" s="122" t="str">
        <f>'1 - Inventário'!F22</f>
        <v>21°51'40.49''S</v>
      </c>
      <c r="D23" s="122" t="str">
        <f>'1 - Inventário'!G22</f>
        <v>54°08'14.26''W</v>
      </c>
      <c r="E23" s="142" t="s">
        <v>361</v>
      </c>
      <c r="F23" s="122">
        <f>'1 - Inventário'!L22</f>
        <v>4.4000000000000004</v>
      </c>
      <c r="G23" s="122">
        <f>'1 - Inventário'!M22</f>
        <v>11.8</v>
      </c>
      <c r="H23" s="142">
        <v>1</v>
      </c>
      <c r="I23" s="141">
        <v>5</v>
      </c>
      <c r="J23" s="141">
        <v>31.8</v>
      </c>
      <c r="K23" s="123">
        <v>1.5900000000000001E-2</v>
      </c>
      <c r="L23" s="123">
        <v>1</v>
      </c>
      <c r="M23" s="141">
        <v>4</v>
      </c>
      <c r="N23" s="141">
        <v>4</v>
      </c>
      <c r="O23" s="141">
        <v>16</v>
      </c>
      <c r="P23" s="141">
        <v>1</v>
      </c>
      <c r="Q23" s="141">
        <v>4.4000000000000004</v>
      </c>
      <c r="R23" s="141">
        <v>11.8</v>
      </c>
      <c r="S23" s="331">
        <f t="shared" si="0"/>
        <v>51.920000000000009</v>
      </c>
    </row>
    <row r="24" spans="1:19" ht="12.95" customHeight="1" x14ac:dyDescent="0.2">
      <c r="A24" s="330">
        <f t="shared" si="2"/>
        <v>15</v>
      </c>
      <c r="B24" s="122" t="str">
        <f>'1 - Inventário'!D23</f>
        <v>CÓRREGO CHIFRE DO VIADO</v>
      </c>
      <c r="C24" s="122" t="str">
        <f>'1 - Inventário'!F23</f>
        <v>21°40'35.65''S</v>
      </c>
      <c r="D24" s="122" t="str">
        <f>'1 - Inventário'!G23</f>
        <v>54°56'15.44''W</v>
      </c>
      <c r="E24" s="142" t="s">
        <v>361</v>
      </c>
      <c r="F24" s="122">
        <f>'1 - Inventário'!L23</f>
        <v>5</v>
      </c>
      <c r="G24" s="122">
        <f>'1 - Inventário'!M23</f>
        <v>12</v>
      </c>
      <c r="H24" s="142">
        <v>1</v>
      </c>
      <c r="I24" s="141">
        <v>5</v>
      </c>
      <c r="J24" s="141">
        <v>32</v>
      </c>
      <c r="K24" s="123">
        <v>1.6E-2</v>
      </c>
      <c r="L24" s="123">
        <v>1</v>
      </c>
      <c r="M24" s="141">
        <v>4</v>
      </c>
      <c r="N24" s="141">
        <v>4</v>
      </c>
      <c r="O24" s="141">
        <v>16</v>
      </c>
      <c r="P24" s="141">
        <v>1</v>
      </c>
      <c r="Q24" s="141">
        <v>5</v>
      </c>
      <c r="R24" s="141">
        <v>12</v>
      </c>
      <c r="S24" s="331">
        <f t="shared" si="0"/>
        <v>60</v>
      </c>
    </row>
    <row r="25" spans="1:19" ht="12.95" customHeight="1" x14ac:dyDescent="0.2">
      <c r="A25" s="330">
        <f t="shared" si="2"/>
        <v>16</v>
      </c>
      <c r="B25" s="122" t="str">
        <f>'1 - Inventário'!D24</f>
        <v>CÓRREGO SANTA RITA</v>
      </c>
      <c r="C25" s="122" t="str">
        <f>'1 - Inventário'!F24</f>
        <v>21°33'23.75''S</v>
      </c>
      <c r="D25" s="122" t="str">
        <f>'1 - Inventário'!G24</f>
        <v>54°35'26.66''W</v>
      </c>
      <c r="E25" s="142" t="s">
        <v>361</v>
      </c>
      <c r="F25" s="122">
        <f>'1 - Inventário'!L24</f>
        <v>4.4000000000000004</v>
      </c>
      <c r="G25" s="122">
        <f>'1 - Inventário'!M24</f>
        <v>22.1</v>
      </c>
      <c r="H25" s="142">
        <v>1</v>
      </c>
      <c r="I25" s="141">
        <v>5</v>
      </c>
      <c r="J25" s="141">
        <v>42.1</v>
      </c>
      <c r="K25" s="123">
        <v>2.1049999999999999E-2</v>
      </c>
      <c r="L25" s="123">
        <v>1</v>
      </c>
      <c r="M25" s="141">
        <v>4</v>
      </c>
      <c r="N25" s="141">
        <v>4</v>
      </c>
      <c r="O25" s="141">
        <v>16</v>
      </c>
      <c r="P25" s="141">
        <v>1</v>
      </c>
      <c r="Q25" s="141">
        <v>4.4000000000000004</v>
      </c>
      <c r="R25" s="141">
        <v>22.1</v>
      </c>
      <c r="S25" s="331">
        <f t="shared" si="0"/>
        <v>97.240000000000009</v>
      </c>
    </row>
    <row r="26" spans="1:19" ht="12.95" customHeight="1" x14ac:dyDescent="0.2">
      <c r="A26" s="330">
        <f t="shared" si="2"/>
        <v>17</v>
      </c>
      <c r="B26" s="122" t="str">
        <f>'1 - Inventário'!D25</f>
        <v>RIO SERROTE</v>
      </c>
      <c r="C26" s="122" t="str">
        <f>'1 - Inventário'!F25</f>
        <v>21°25'01.14''S</v>
      </c>
      <c r="D26" s="122" t="str">
        <f>'1 - Inventário'!G25</f>
        <v>54°43'16.96''W</v>
      </c>
      <c r="E26" s="142" t="s">
        <v>361</v>
      </c>
      <c r="F26" s="122">
        <f>'1 - Inventário'!L25</f>
        <v>4.4000000000000004</v>
      </c>
      <c r="G26" s="122">
        <f>'1 - Inventário'!M25</f>
        <v>24.6</v>
      </c>
      <c r="H26" s="142">
        <v>1</v>
      </c>
      <c r="I26" s="141">
        <v>5</v>
      </c>
      <c r="J26" s="141">
        <v>44.6</v>
      </c>
      <c r="K26" s="123">
        <v>2.23E-2</v>
      </c>
      <c r="L26" s="123">
        <v>1</v>
      </c>
      <c r="M26" s="141">
        <v>4</v>
      </c>
      <c r="N26" s="141">
        <v>4</v>
      </c>
      <c r="O26" s="141">
        <v>16</v>
      </c>
      <c r="P26" s="141">
        <v>1</v>
      </c>
      <c r="Q26" s="141">
        <v>4.4000000000000004</v>
      </c>
      <c r="R26" s="141">
        <v>24.6</v>
      </c>
      <c r="S26" s="331">
        <f t="shared" si="0"/>
        <v>108.24000000000001</v>
      </c>
    </row>
    <row r="27" spans="1:19" ht="12.95" customHeight="1" x14ac:dyDescent="0.2">
      <c r="A27" s="330">
        <f t="shared" si="2"/>
        <v>18</v>
      </c>
      <c r="B27" s="122" t="str">
        <f>'1 - Inventário'!D26</f>
        <v>CÓRREGO PASSATEMPO 1</v>
      </c>
      <c r="C27" s="122" t="str">
        <f>'1 - Inventário'!F26</f>
        <v>21°29'34.92''S</v>
      </c>
      <c r="D27" s="122" t="str">
        <f>'1 - Inventário'!G26</f>
        <v>54°49'18.44''W</v>
      </c>
      <c r="E27" s="142" t="s">
        <v>361</v>
      </c>
      <c r="F27" s="122">
        <f>'1 - Inventário'!L26</f>
        <v>4.4000000000000004</v>
      </c>
      <c r="G27" s="122">
        <f>'1 - Inventário'!M26</f>
        <v>16.399999999999999</v>
      </c>
      <c r="H27" s="142">
        <v>1</v>
      </c>
      <c r="I27" s="141">
        <v>5</v>
      </c>
      <c r="J27" s="141">
        <v>36.4</v>
      </c>
      <c r="K27" s="123">
        <v>1.8200000000000001E-2</v>
      </c>
      <c r="L27" s="123">
        <v>1</v>
      </c>
      <c r="M27" s="141">
        <v>4</v>
      </c>
      <c r="N27" s="141">
        <v>4</v>
      </c>
      <c r="O27" s="141">
        <v>16</v>
      </c>
      <c r="P27" s="141">
        <v>1</v>
      </c>
      <c r="Q27" s="141">
        <v>4.4000000000000004</v>
      </c>
      <c r="R27" s="141">
        <v>16.399999999999999</v>
      </c>
      <c r="S27" s="331">
        <f t="shared" si="0"/>
        <v>72.16</v>
      </c>
    </row>
    <row r="28" spans="1:19" ht="12.95" customHeight="1" x14ac:dyDescent="0.2">
      <c r="A28" s="330">
        <f t="shared" si="2"/>
        <v>19</v>
      </c>
      <c r="B28" s="122" t="str">
        <f>'1 - Inventário'!D27</f>
        <v>CÓRREGO PASSATEMPO 2</v>
      </c>
      <c r="C28" s="122" t="str">
        <f>'1 - Inventário'!F27</f>
        <v>21°29'33.39''S</v>
      </c>
      <c r="D28" s="122" t="str">
        <f>'1 - Inventário'!G27</f>
        <v>54°49'17.44''W</v>
      </c>
      <c r="E28" s="142" t="s">
        <v>361</v>
      </c>
      <c r="F28" s="122">
        <f>'1 - Inventário'!L27</f>
        <v>4.4000000000000004</v>
      </c>
      <c r="G28" s="122">
        <f>'1 - Inventário'!M27</f>
        <v>19.600000000000001</v>
      </c>
      <c r="H28" s="142">
        <v>1</v>
      </c>
      <c r="I28" s="141">
        <v>5</v>
      </c>
      <c r="J28" s="141">
        <v>39.6</v>
      </c>
      <c r="K28" s="123">
        <v>1.9800000000000002E-2</v>
      </c>
      <c r="L28" s="123">
        <v>1</v>
      </c>
      <c r="M28" s="141">
        <v>4</v>
      </c>
      <c r="N28" s="141">
        <v>4</v>
      </c>
      <c r="O28" s="141">
        <v>16</v>
      </c>
      <c r="P28" s="141">
        <v>1</v>
      </c>
      <c r="Q28" s="141">
        <v>4.4000000000000004</v>
      </c>
      <c r="R28" s="141">
        <v>19.600000000000001</v>
      </c>
      <c r="S28" s="331">
        <f t="shared" si="0"/>
        <v>86.240000000000009</v>
      </c>
    </row>
    <row r="29" spans="1:19" ht="12.95" customHeight="1" x14ac:dyDescent="0.2">
      <c r="A29" s="330">
        <f t="shared" ref="A29:A34" si="3">A28+1</f>
        <v>20</v>
      </c>
      <c r="B29" s="122" t="str">
        <f>'1 - Inventário'!D28</f>
        <v>CÓRREGO PASSATEMPO 3</v>
      </c>
      <c r="C29" s="122" t="str">
        <f>'1 - Inventário'!F28</f>
        <v>21°28'09.42''S</v>
      </c>
      <c r="D29" s="122" t="str">
        <f>'1 - Inventário'!G28</f>
        <v>54°48'01.11''W</v>
      </c>
      <c r="E29" s="142" t="s">
        <v>361</v>
      </c>
      <c r="F29" s="122">
        <f>'1 - Inventário'!L28</f>
        <v>5</v>
      </c>
      <c r="G29" s="122">
        <f>'1 - Inventário'!M28</f>
        <v>6</v>
      </c>
      <c r="H29" s="142">
        <v>1</v>
      </c>
      <c r="I29" s="141">
        <v>5</v>
      </c>
      <c r="J29" s="141">
        <v>26</v>
      </c>
      <c r="K29" s="123">
        <v>1.2999999999999999E-2</v>
      </c>
      <c r="L29" s="123">
        <v>1</v>
      </c>
      <c r="M29" s="141">
        <v>4</v>
      </c>
      <c r="N29" s="141">
        <v>4</v>
      </c>
      <c r="O29" s="141">
        <v>16</v>
      </c>
      <c r="P29" s="141">
        <v>1</v>
      </c>
      <c r="Q29" s="141">
        <v>5</v>
      </c>
      <c r="R29" s="141">
        <v>6</v>
      </c>
      <c r="S29" s="331">
        <f t="shared" si="0"/>
        <v>30</v>
      </c>
    </row>
    <row r="30" spans="1:19" ht="12.95" customHeight="1" x14ac:dyDescent="0.2">
      <c r="A30" s="330">
        <f t="shared" si="3"/>
        <v>21</v>
      </c>
      <c r="B30" s="122" t="str">
        <f>'1 - Inventário'!D29</f>
        <v>CÓRREGO TAQUARA</v>
      </c>
      <c r="C30" s="122" t="str">
        <f>'1 - Inventário'!F29</f>
        <v>21°21'07.90''S</v>
      </c>
      <c r="D30" s="122" t="str">
        <f>'1 - Inventário'!G29</f>
        <v>54°50'07.01''W</v>
      </c>
      <c r="E30" s="142" t="s">
        <v>361</v>
      </c>
      <c r="F30" s="122">
        <f>'1 - Inventário'!L29</f>
        <v>4.8</v>
      </c>
      <c r="G30" s="122">
        <f>'1 - Inventário'!M29</f>
        <v>24</v>
      </c>
      <c r="H30" s="142">
        <v>1</v>
      </c>
      <c r="I30" s="141">
        <v>5</v>
      </c>
      <c r="J30" s="141">
        <v>44</v>
      </c>
      <c r="K30" s="123">
        <v>2.1999999999999999E-2</v>
      </c>
      <c r="L30" s="123">
        <v>1</v>
      </c>
      <c r="M30" s="141">
        <v>4</v>
      </c>
      <c r="N30" s="141">
        <v>4</v>
      </c>
      <c r="O30" s="141">
        <v>16</v>
      </c>
      <c r="P30" s="141">
        <v>1</v>
      </c>
      <c r="Q30" s="141">
        <v>4.8</v>
      </c>
      <c r="R30" s="141">
        <v>24</v>
      </c>
      <c r="S30" s="331">
        <f t="shared" si="0"/>
        <v>115.19999999999999</v>
      </c>
    </row>
    <row r="31" spans="1:19" ht="12.95" customHeight="1" x14ac:dyDescent="0.2">
      <c r="A31" s="330">
        <f t="shared" si="3"/>
        <v>22</v>
      </c>
      <c r="B31" s="122" t="str">
        <f>'1 - Inventário'!D30</f>
        <v>CÓRREGO PASSATEMPO 4</v>
      </c>
      <c r="C31" s="122" t="str">
        <f>'1 - Inventário'!F30</f>
        <v>21°29'23.36''S</v>
      </c>
      <c r="D31" s="122" t="str">
        <f>'1 - Inventário'!G30</f>
        <v>54°52'56.83''W</v>
      </c>
      <c r="E31" s="142" t="s">
        <v>361</v>
      </c>
      <c r="F31" s="122">
        <f>'1 - Inventário'!L30</f>
        <v>4.4000000000000004</v>
      </c>
      <c r="G31" s="122">
        <f>'1 - Inventário'!M30</f>
        <v>14.3</v>
      </c>
      <c r="H31" s="142">
        <v>1</v>
      </c>
      <c r="I31" s="141">
        <v>5</v>
      </c>
      <c r="J31" s="141">
        <v>34.299999999999997</v>
      </c>
      <c r="K31" s="123">
        <v>1.7149999999999999E-2</v>
      </c>
      <c r="L31" s="123">
        <v>1</v>
      </c>
      <c r="M31" s="141">
        <v>4</v>
      </c>
      <c r="N31" s="141">
        <v>4</v>
      </c>
      <c r="O31" s="141">
        <v>16</v>
      </c>
      <c r="P31" s="141">
        <v>1</v>
      </c>
      <c r="Q31" s="141">
        <v>4.4000000000000004</v>
      </c>
      <c r="R31" s="141">
        <v>14.3</v>
      </c>
      <c r="S31" s="331">
        <f t="shared" si="0"/>
        <v>62.920000000000009</v>
      </c>
    </row>
    <row r="32" spans="1:19" ht="12.95" customHeight="1" x14ac:dyDescent="0.2">
      <c r="A32" s="330">
        <f t="shared" si="3"/>
        <v>23</v>
      </c>
      <c r="B32" s="122" t="str">
        <f>'1 - Inventário'!D31</f>
        <v>CÓRREGO DO COQUEIRO</v>
      </c>
      <c r="C32" s="122" t="str">
        <f>'1 - Inventário'!F31</f>
        <v>21°30'51.74''S</v>
      </c>
      <c r="D32" s="122" t="str">
        <f>'1 - Inventário'!G31</f>
        <v>54°52'00.30''W</v>
      </c>
      <c r="E32" s="142" t="s">
        <v>361</v>
      </c>
      <c r="F32" s="122">
        <f>'1 - Inventário'!L31</f>
        <v>4.4000000000000004</v>
      </c>
      <c r="G32" s="122">
        <f>'1 - Inventário'!M31</f>
        <v>22.3</v>
      </c>
      <c r="H32" s="142">
        <v>1</v>
      </c>
      <c r="I32" s="141">
        <v>5</v>
      </c>
      <c r="J32" s="141">
        <v>42.3</v>
      </c>
      <c r="K32" s="123">
        <v>2.1149999999999999E-2</v>
      </c>
      <c r="L32" s="123">
        <v>1</v>
      </c>
      <c r="M32" s="141">
        <v>4</v>
      </c>
      <c r="N32" s="141">
        <v>4</v>
      </c>
      <c r="O32" s="141">
        <v>16</v>
      </c>
      <c r="P32" s="141">
        <v>1</v>
      </c>
      <c r="Q32" s="141">
        <v>4.4000000000000004</v>
      </c>
      <c r="R32" s="141">
        <v>22.3</v>
      </c>
      <c r="S32" s="331">
        <f t="shared" si="0"/>
        <v>98.12</v>
      </c>
    </row>
    <row r="33" spans="1:19" ht="12.95" customHeight="1" x14ac:dyDescent="0.2">
      <c r="A33" s="330">
        <f t="shared" si="3"/>
        <v>24</v>
      </c>
      <c r="B33" s="122" t="str">
        <f>'1 - Inventário'!D32</f>
        <v>CÓRREGO CARRAPATO</v>
      </c>
      <c r="C33" s="122" t="str">
        <f>'1 - Inventário'!F32</f>
        <v>21°32'42.64''S</v>
      </c>
      <c r="D33" s="122" t="str">
        <f>'1 - Inventário'!G32</f>
        <v>55°00'59.87''W</v>
      </c>
      <c r="E33" s="142" t="s">
        <v>361</v>
      </c>
      <c r="F33" s="122">
        <f>'1 - Inventário'!L32</f>
        <v>4.4000000000000004</v>
      </c>
      <c r="G33" s="122">
        <f>'1 - Inventário'!M32</f>
        <v>18</v>
      </c>
      <c r="H33" s="142">
        <v>1</v>
      </c>
      <c r="I33" s="141">
        <v>5</v>
      </c>
      <c r="J33" s="141">
        <v>38</v>
      </c>
      <c r="K33" s="123">
        <v>1.9E-2</v>
      </c>
      <c r="L33" s="123">
        <v>1</v>
      </c>
      <c r="M33" s="141">
        <v>4</v>
      </c>
      <c r="N33" s="141">
        <v>4</v>
      </c>
      <c r="O33" s="141">
        <v>16</v>
      </c>
      <c r="P33" s="141">
        <v>1</v>
      </c>
      <c r="Q33" s="141">
        <v>4.4000000000000004</v>
      </c>
      <c r="R33" s="141">
        <v>18</v>
      </c>
      <c r="S33" s="331">
        <f t="shared" si="0"/>
        <v>79.2</v>
      </c>
    </row>
    <row r="34" spans="1:19" ht="12.95" customHeight="1" x14ac:dyDescent="0.2">
      <c r="A34" s="330">
        <f t="shared" si="3"/>
        <v>25</v>
      </c>
      <c r="B34" s="122" t="str">
        <f>'1 - Inventário'!D33</f>
        <v>CÓRREGO BARRA MANSA</v>
      </c>
      <c r="C34" s="122" t="str">
        <f>'1 - Inventário'!F33</f>
        <v>21°45'26.00"S</v>
      </c>
      <c r="D34" s="122" t="str">
        <f>'1 - Inventário'!G33</f>
        <v>54°10'16.90"W</v>
      </c>
      <c r="E34" s="142" t="s">
        <v>361</v>
      </c>
      <c r="F34" s="122">
        <f>'1 - Inventário'!L33</f>
        <v>5</v>
      </c>
      <c r="G34" s="122">
        <f>'1 - Inventário'!M33</f>
        <v>5.6</v>
      </c>
      <c r="H34" s="142">
        <v>1</v>
      </c>
      <c r="I34" s="141">
        <v>5</v>
      </c>
      <c r="J34" s="141">
        <v>25.6</v>
      </c>
      <c r="K34" s="123">
        <v>1.2800000000000001E-2</v>
      </c>
      <c r="L34" s="123">
        <v>1</v>
      </c>
      <c r="M34" s="141">
        <v>4</v>
      </c>
      <c r="N34" s="141">
        <v>4</v>
      </c>
      <c r="O34" s="141">
        <v>16</v>
      </c>
      <c r="P34" s="141">
        <v>1</v>
      </c>
      <c r="Q34" s="141">
        <v>5</v>
      </c>
      <c r="R34" s="141">
        <v>5.6</v>
      </c>
      <c r="S34" s="331">
        <f t="shared" si="0"/>
        <v>28</v>
      </c>
    </row>
    <row r="35" spans="1:19" ht="12.95" customHeight="1" x14ac:dyDescent="0.2">
      <c r="A35" s="330">
        <f t="shared" ref="A35" si="4">A34+1</f>
        <v>26</v>
      </c>
      <c r="B35" s="122" t="str">
        <f>'1 - Inventário'!D34</f>
        <v>CÓRREGO PASSATEMPO 5</v>
      </c>
      <c r="C35" s="122" t="str">
        <f>'1 - Inventário'!F34</f>
        <v>21°29'57.99''S</v>
      </c>
      <c r="D35" s="122" t="str">
        <f>'1 - Inventário'!G34</f>
        <v>54°43'07.39''W</v>
      </c>
      <c r="E35" s="142" t="s">
        <v>361</v>
      </c>
      <c r="F35" s="122">
        <f>'1 - Inventário'!L34</f>
        <v>4.4000000000000004</v>
      </c>
      <c r="G35" s="122">
        <f>'1 - Inventário'!M34</f>
        <v>22.3</v>
      </c>
      <c r="H35" s="142">
        <v>1</v>
      </c>
      <c r="I35" s="141">
        <v>5</v>
      </c>
      <c r="J35" s="141">
        <v>42.3</v>
      </c>
      <c r="K35" s="123">
        <v>2.1149999999999999E-2</v>
      </c>
      <c r="L35" s="123">
        <v>1</v>
      </c>
      <c r="M35" s="141">
        <v>4</v>
      </c>
      <c r="N35" s="141">
        <v>4</v>
      </c>
      <c r="O35" s="141">
        <v>16</v>
      </c>
      <c r="P35" s="141">
        <v>1</v>
      </c>
      <c r="Q35" s="141">
        <v>4.4000000000000004</v>
      </c>
      <c r="R35" s="141">
        <v>22.3</v>
      </c>
      <c r="S35" s="331">
        <f t="shared" si="0"/>
        <v>98.12</v>
      </c>
    </row>
    <row r="36" spans="1:19" ht="12.95" customHeight="1" x14ac:dyDescent="0.2">
      <c r="A36" s="330"/>
      <c r="B36" s="124"/>
      <c r="C36" s="124"/>
      <c r="D36" s="124"/>
      <c r="E36" s="141"/>
      <c r="F36" s="124"/>
      <c r="G36" s="124"/>
      <c r="H36" s="141"/>
      <c r="I36" s="141"/>
      <c r="J36" s="141"/>
      <c r="K36" s="123"/>
      <c r="L36" s="123"/>
      <c r="M36" s="141"/>
      <c r="N36" s="141"/>
      <c r="O36" s="141"/>
      <c r="P36" s="141"/>
      <c r="Q36" s="141"/>
      <c r="R36" s="141"/>
      <c r="S36" s="331"/>
    </row>
    <row r="37" spans="1:19" ht="12.95" customHeight="1" x14ac:dyDescent="0.2">
      <c r="A37" s="486" t="s">
        <v>185</v>
      </c>
      <c r="B37" s="462"/>
      <c r="C37" s="462"/>
      <c r="D37" s="462"/>
      <c r="E37" s="462"/>
      <c r="F37" s="462"/>
      <c r="G37" s="79">
        <f>SUM(G10:G36)</f>
        <v>335.70000000000005</v>
      </c>
      <c r="H37" s="79"/>
      <c r="I37" s="79"/>
      <c r="J37" s="79"/>
      <c r="K37" s="79">
        <v>0.42699999999999999</v>
      </c>
      <c r="L37" s="79"/>
      <c r="M37" s="79"/>
      <c r="N37" s="79"/>
      <c r="O37" s="79">
        <v>416</v>
      </c>
      <c r="P37" s="280"/>
      <c r="Q37" s="79"/>
      <c r="R37" s="79">
        <v>335.70000000000005</v>
      </c>
      <c r="S37" s="332"/>
    </row>
    <row r="38" spans="1:19" ht="12.95" customHeight="1" x14ac:dyDescent="0.2">
      <c r="A38" s="497"/>
      <c r="B38" s="478"/>
      <c r="C38" s="478"/>
      <c r="D38" s="478"/>
      <c r="E38" s="478"/>
      <c r="F38" s="478"/>
      <c r="G38" s="478"/>
      <c r="H38" s="478"/>
      <c r="I38" s="478"/>
      <c r="J38" s="478"/>
      <c r="K38" s="478"/>
      <c r="L38" s="478"/>
      <c r="M38" s="478"/>
      <c r="N38" s="478"/>
      <c r="O38" s="478"/>
      <c r="P38" s="478"/>
      <c r="Q38" s="478"/>
      <c r="R38" s="478"/>
      <c r="S38" s="498"/>
    </row>
    <row r="39" spans="1:19" ht="12.95" customHeight="1" x14ac:dyDescent="0.2">
      <c r="A39" s="476" t="s">
        <v>52</v>
      </c>
      <c r="B39" s="476"/>
      <c r="C39" s="476"/>
      <c r="D39" s="476"/>
      <c r="E39" s="476"/>
      <c r="F39" s="476"/>
      <c r="G39" s="476"/>
      <c r="H39" s="476"/>
      <c r="I39" s="476"/>
      <c r="J39" s="476"/>
      <c r="K39" s="476"/>
      <c r="L39" s="476"/>
      <c r="M39" s="476"/>
      <c r="N39" s="476"/>
      <c r="O39" s="476"/>
      <c r="P39" s="476"/>
      <c r="Q39" s="476"/>
      <c r="R39" s="476"/>
      <c r="S39" s="476"/>
    </row>
    <row r="40" spans="1:19" ht="12.95" customHeight="1" x14ac:dyDescent="0.2">
      <c r="A40" s="484" t="str">
        <f>$A$7</f>
        <v>MANUTENÇÃO E CONSERVAÇÃO DAS PONTES DE MADEIRA</v>
      </c>
      <c r="B40" s="477"/>
      <c r="C40" s="477"/>
      <c r="D40" s="477"/>
      <c r="E40" s="477"/>
      <c r="F40" s="477"/>
      <c r="G40" s="477"/>
      <c r="H40" s="477"/>
      <c r="I40" s="477"/>
      <c r="J40" s="477"/>
      <c r="K40" s="477"/>
      <c r="L40" s="477"/>
      <c r="M40" s="477"/>
      <c r="N40" s="477"/>
      <c r="O40" s="477"/>
      <c r="P40" s="477"/>
      <c r="Q40" s="477"/>
      <c r="R40" s="477"/>
      <c r="S40" s="485"/>
    </row>
    <row r="41" spans="1:19" ht="12.95" customHeight="1" x14ac:dyDescent="0.2">
      <c r="A41" s="495" t="s">
        <v>0</v>
      </c>
      <c r="B41" s="496" t="s">
        <v>1</v>
      </c>
      <c r="C41" s="496"/>
      <c r="D41" s="496"/>
      <c r="E41" s="496"/>
      <c r="F41" s="496"/>
      <c r="G41" s="496"/>
      <c r="H41" s="491" t="s">
        <v>2</v>
      </c>
      <c r="I41" s="492"/>
      <c r="J41" s="492"/>
      <c r="K41" s="493"/>
      <c r="L41" s="491" t="s">
        <v>3</v>
      </c>
      <c r="M41" s="492"/>
      <c r="N41" s="492"/>
      <c r="O41" s="493"/>
      <c r="P41" s="491" t="s">
        <v>4</v>
      </c>
      <c r="Q41" s="492"/>
      <c r="R41" s="492"/>
      <c r="S41" s="494"/>
    </row>
    <row r="42" spans="1:19" ht="24.95" customHeight="1" x14ac:dyDescent="0.2">
      <c r="A42" s="495"/>
      <c r="B42" s="94" t="s">
        <v>504</v>
      </c>
      <c r="C42" s="94" t="str">
        <f>$C$9</f>
        <v>Latitude</v>
      </c>
      <c r="D42" s="66" t="s">
        <v>354</v>
      </c>
      <c r="E42" s="83" t="str">
        <f>$E$9</f>
        <v>Vigamento</v>
      </c>
      <c r="F42" s="66" t="str">
        <f>$F$9</f>
        <v>Largura (m)</v>
      </c>
      <c r="G42" s="83" t="str">
        <f>$G$9</f>
        <v>Extensão (m)</v>
      </c>
      <c r="H42" s="83" t="s">
        <v>352</v>
      </c>
      <c r="I42" s="95" t="s">
        <v>33</v>
      </c>
      <c r="J42" s="95" t="s">
        <v>6</v>
      </c>
      <c r="K42" s="95" t="s">
        <v>7</v>
      </c>
      <c r="L42" s="83" t="s">
        <v>352</v>
      </c>
      <c r="M42" s="95" t="s">
        <v>33</v>
      </c>
      <c r="N42" s="95" t="s">
        <v>6</v>
      </c>
      <c r="O42" s="95" t="s">
        <v>7</v>
      </c>
      <c r="P42" s="83" t="s">
        <v>352</v>
      </c>
      <c r="Q42" s="95" t="s">
        <v>33</v>
      </c>
      <c r="R42" s="95" t="s">
        <v>6</v>
      </c>
      <c r="S42" s="329" t="s">
        <v>7</v>
      </c>
    </row>
    <row r="43" spans="1:19" ht="12.95" customHeight="1" x14ac:dyDescent="0.2">
      <c r="A43" s="330">
        <f>A10</f>
        <v>1</v>
      </c>
      <c r="B43" s="121" t="str">
        <f t="shared" ref="B43:G43" si="5">B10</f>
        <v>CÓRREGO DO CHINELO</v>
      </c>
      <c r="C43" s="122" t="str">
        <f t="shared" si="5"/>
        <v>21°53'30.35''S</v>
      </c>
      <c r="D43" s="121" t="str">
        <f t="shared" si="5"/>
        <v>54°35'16.91''W</v>
      </c>
      <c r="E43" s="142" t="str">
        <f t="shared" si="5"/>
        <v>Simples</v>
      </c>
      <c r="F43" s="122">
        <f t="shared" si="5"/>
        <v>5</v>
      </c>
      <c r="G43" s="122">
        <f t="shared" si="5"/>
        <v>13</v>
      </c>
      <c r="H43" s="141">
        <v>0.8</v>
      </c>
      <c r="I43" s="141">
        <v>13</v>
      </c>
      <c r="J43" s="141">
        <v>0</v>
      </c>
      <c r="K43" s="141">
        <f>I43</f>
        <v>13</v>
      </c>
      <c r="L43" s="141">
        <v>0.8</v>
      </c>
      <c r="M43" s="141">
        <v>13</v>
      </c>
      <c r="N43" s="141">
        <v>0</v>
      </c>
      <c r="O43" s="141">
        <f>M43</f>
        <v>13</v>
      </c>
      <c r="P43" s="141">
        <v>0.8</v>
      </c>
      <c r="Q43" s="141">
        <v>13</v>
      </c>
      <c r="R43" s="141">
        <v>0</v>
      </c>
      <c r="S43" s="331">
        <f>Q43</f>
        <v>13</v>
      </c>
    </row>
    <row r="44" spans="1:19" ht="12.95" customHeight="1" x14ac:dyDescent="0.2">
      <c r="A44" s="330">
        <f t="shared" ref="A44:G44" si="6">A11</f>
        <v>2</v>
      </c>
      <c r="B44" s="121" t="str">
        <f t="shared" si="6"/>
        <v>CÓRREGO AREIAS</v>
      </c>
      <c r="C44" s="122" t="str">
        <f t="shared" si="6"/>
        <v>21°48'55.89''S</v>
      </c>
      <c r="D44" s="121" t="str">
        <f t="shared" si="6"/>
        <v>54°32'36.89''W</v>
      </c>
      <c r="E44" s="142" t="str">
        <f t="shared" si="6"/>
        <v>Simples</v>
      </c>
      <c r="F44" s="122">
        <f t="shared" si="6"/>
        <v>4.4000000000000004</v>
      </c>
      <c r="G44" s="122">
        <f t="shared" si="6"/>
        <v>6</v>
      </c>
      <c r="H44" s="141">
        <v>0.8</v>
      </c>
      <c r="I44" s="141">
        <v>6</v>
      </c>
      <c r="J44" s="141">
        <v>0</v>
      </c>
      <c r="K44" s="141">
        <f t="shared" ref="K44:K68" si="7">I44</f>
        <v>6</v>
      </c>
      <c r="L44" s="141">
        <v>0.8</v>
      </c>
      <c r="M44" s="141">
        <v>6</v>
      </c>
      <c r="N44" s="141">
        <v>0</v>
      </c>
      <c r="O44" s="141">
        <f t="shared" ref="O44:O68" si="8">M44</f>
        <v>6</v>
      </c>
      <c r="P44" s="141">
        <v>0.8</v>
      </c>
      <c r="Q44" s="141">
        <v>6</v>
      </c>
      <c r="R44" s="141">
        <v>0</v>
      </c>
      <c r="S44" s="331">
        <f t="shared" ref="S44:S68" si="9">Q44</f>
        <v>6</v>
      </c>
    </row>
    <row r="45" spans="1:19" ht="12.95" customHeight="1" x14ac:dyDescent="0.2">
      <c r="A45" s="330">
        <f t="shared" ref="A45:G45" si="10">A12</f>
        <v>3</v>
      </c>
      <c r="B45" s="121" t="str">
        <f t="shared" si="10"/>
        <v>CÓRREGO ARARAS</v>
      </c>
      <c r="C45" s="122" t="str">
        <f t="shared" si="10"/>
        <v>21°47'42.63''S</v>
      </c>
      <c r="D45" s="121" t="str">
        <f t="shared" si="10"/>
        <v>54°31'56.42''W</v>
      </c>
      <c r="E45" s="142" t="str">
        <f t="shared" si="10"/>
        <v>Simples</v>
      </c>
      <c r="F45" s="122">
        <f t="shared" si="10"/>
        <v>4.8</v>
      </c>
      <c r="G45" s="122">
        <f t="shared" si="10"/>
        <v>12</v>
      </c>
      <c r="H45" s="141">
        <v>0.8</v>
      </c>
      <c r="I45" s="141">
        <v>12</v>
      </c>
      <c r="J45" s="141">
        <v>0</v>
      </c>
      <c r="K45" s="141">
        <f t="shared" si="7"/>
        <v>12</v>
      </c>
      <c r="L45" s="141">
        <v>0.8</v>
      </c>
      <c r="M45" s="141">
        <v>12</v>
      </c>
      <c r="N45" s="141">
        <v>0</v>
      </c>
      <c r="O45" s="141">
        <f t="shared" si="8"/>
        <v>12</v>
      </c>
      <c r="P45" s="141">
        <v>0.8</v>
      </c>
      <c r="Q45" s="141">
        <v>12</v>
      </c>
      <c r="R45" s="141">
        <v>0</v>
      </c>
      <c r="S45" s="331">
        <f t="shared" si="9"/>
        <v>12</v>
      </c>
    </row>
    <row r="46" spans="1:19" ht="12.95" customHeight="1" x14ac:dyDescent="0.2">
      <c r="A46" s="330">
        <f t="shared" ref="A46:G46" si="11">A13</f>
        <v>4</v>
      </c>
      <c r="B46" s="121" t="str">
        <f t="shared" si="11"/>
        <v>CÓRREGO FORMIGA</v>
      </c>
      <c r="C46" s="122" t="str">
        <f t="shared" si="11"/>
        <v>21°39'27.48''S</v>
      </c>
      <c r="D46" s="121" t="str">
        <f t="shared" si="11"/>
        <v>54°25'31.76''W</v>
      </c>
      <c r="E46" s="142" t="str">
        <f t="shared" si="11"/>
        <v>Simples</v>
      </c>
      <c r="F46" s="122">
        <f t="shared" si="11"/>
        <v>4.4000000000000004</v>
      </c>
      <c r="G46" s="122">
        <f t="shared" si="11"/>
        <v>13.2</v>
      </c>
      <c r="H46" s="141">
        <v>0.8</v>
      </c>
      <c r="I46" s="141">
        <v>13.2</v>
      </c>
      <c r="J46" s="141">
        <v>0</v>
      </c>
      <c r="K46" s="141">
        <f t="shared" si="7"/>
        <v>13.2</v>
      </c>
      <c r="L46" s="141">
        <v>0.8</v>
      </c>
      <c r="M46" s="141">
        <v>13.2</v>
      </c>
      <c r="N46" s="141">
        <v>0</v>
      </c>
      <c r="O46" s="141">
        <f t="shared" si="8"/>
        <v>13.2</v>
      </c>
      <c r="P46" s="141">
        <v>0.8</v>
      </c>
      <c r="Q46" s="141">
        <v>13.2</v>
      </c>
      <c r="R46" s="141">
        <v>0</v>
      </c>
      <c r="S46" s="331">
        <f t="shared" si="9"/>
        <v>13.2</v>
      </c>
    </row>
    <row r="47" spans="1:19" ht="12.95" customHeight="1" x14ac:dyDescent="0.2">
      <c r="A47" s="330">
        <f t="shared" ref="A47:G47" si="12">A14</f>
        <v>5</v>
      </c>
      <c r="B47" s="121" t="str">
        <f t="shared" si="12"/>
        <v>CÓRREGO ANTINHA</v>
      </c>
      <c r="C47" s="122" t="str">
        <f t="shared" si="12"/>
        <v>21°38'42.22''S</v>
      </c>
      <c r="D47" s="121" t="str">
        <f t="shared" si="12"/>
        <v>54°27'12.82''W</v>
      </c>
      <c r="E47" s="142" t="str">
        <f t="shared" si="12"/>
        <v>Simples</v>
      </c>
      <c r="F47" s="122">
        <f t="shared" si="12"/>
        <v>4.4000000000000004</v>
      </c>
      <c r="G47" s="122">
        <f t="shared" si="12"/>
        <v>7.2</v>
      </c>
      <c r="H47" s="141">
        <v>0.8</v>
      </c>
      <c r="I47" s="141">
        <v>7.2</v>
      </c>
      <c r="J47" s="141">
        <v>0</v>
      </c>
      <c r="K47" s="141">
        <f t="shared" si="7"/>
        <v>7.2</v>
      </c>
      <c r="L47" s="141">
        <v>0.8</v>
      </c>
      <c r="M47" s="141">
        <v>7.2</v>
      </c>
      <c r="N47" s="141">
        <v>0</v>
      </c>
      <c r="O47" s="141">
        <f t="shared" si="8"/>
        <v>7.2</v>
      </c>
      <c r="P47" s="141">
        <v>0.8</v>
      </c>
      <c r="Q47" s="141">
        <v>7.2</v>
      </c>
      <c r="R47" s="141">
        <v>0</v>
      </c>
      <c r="S47" s="331">
        <f t="shared" si="9"/>
        <v>7.2</v>
      </c>
    </row>
    <row r="48" spans="1:19" ht="12.95" customHeight="1" x14ac:dyDescent="0.2">
      <c r="A48" s="330">
        <f t="shared" ref="A48:G48" si="13">A15</f>
        <v>6</v>
      </c>
      <c r="B48" s="121" t="str">
        <f t="shared" si="13"/>
        <v>CÓRREGO FORMIGA</v>
      </c>
      <c r="C48" s="122" t="str">
        <f t="shared" si="13"/>
        <v>21°38'56.23''S</v>
      </c>
      <c r="D48" s="121" t="str">
        <f t="shared" si="13"/>
        <v>54°25'01.82''W</v>
      </c>
      <c r="E48" s="142" t="str">
        <f t="shared" si="13"/>
        <v>Simples</v>
      </c>
      <c r="F48" s="122">
        <f t="shared" si="13"/>
        <v>4.4000000000000004</v>
      </c>
      <c r="G48" s="122">
        <f t="shared" si="13"/>
        <v>12</v>
      </c>
      <c r="H48" s="141">
        <v>0.8</v>
      </c>
      <c r="I48" s="141">
        <v>12</v>
      </c>
      <c r="J48" s="141">
        <v>0</v>
      </c>
      <c r="K48" s="141">
        <f t="shared" si="7"/>
        <v>12</v>
      </c>
      <c r="L48" s="141">
        <v>0.8</v>
      </c>
      <c r="M48" s="141">
        <v>12</v>
      </c>
      <c r="N48" s="141">
        <v>0</v>
      </c>
      <c r="O48" s="141">
        <f t="shared" si="8"/>
        <v>12</v>
      </c>
      <c r="P48" s="141">
        <v>0.8</v>
      </c>
      <c r="Q48" s="141">
        <v>12</v>
      </c>
      <c r="R48" s="141">
        <v>0</v>
      </c>
      <c r="S48" s="331">
        <f t="shared" si="9"/>
        <v>12</v>
      </c>
    </row>
    <row r="49" spans="1:19" ht="12.95" customHeight="1" x14ac:dyDescent="0.2">
      <c r="A49" s="330">
        <f t="shared" ref="A49:G49" si="14">A16</f>
        <v>7</v>
      </c>
      <c r="B49" s="121" t="str">
        <f t="shared" si="14"/>
        <v>CÓRREGO QUILOMBO</v>
      </c>
      <c r="C49" s="122" t="str">
        <f t="shared" si="14"/>
        <v>21°42'14.33''S</v>
      </c>
      <c r="D49" s="121" t="str">
        <f t="shared" si="14"/>
        <v>54°20'39.58''W</v>
      </c>
      <c r="E49" s="142" t="str">
        <f t="shared" si="14"/>
        <v>Simples</v>
      </c>
      <c r="F49" s="122">
        <f t="shared" si="14"/>
        <v>4.4000000000000004</v>
      </c>
      <c r="G49" s="122">
        <f t="shared" si="14"/>
        <v>6.8</v>
      </c>
      <c r="H49" s="141">
        <v>0.8</v>
      </c>
      <c r="I49" s="141">
        <v>6.8</v>
      </c>
      <c r="J49" s="141">
        <v>0</v>
      </c>
      <c r="K49" s="141">
        <f t="shared" si="7"/>
        <v>6.8</v>
      </c>
      <c r="L49" s="141">
        <v>0.8</v>
      </c>
      <c r="M49" s="141">
        <v>6.8</v>
      </c>
      <c r="N49" s="141">
        <v>0</v>
      </c>
      <c r="O49" s="141">
        <f t="shared" si="8"/>
        <v>6.8</v>
      </c>
      <c r="P49" s="141">
        <v>0.8</v>
      </c>
      <c r="Q49" s="141">
        <v>6.8</v>
      </c>
      <c r="R49" s="141">
        <v>0</v>
      </c>
      <c r="S49" s="331">
        <f t="shared" si="9"/>
        <v>6.8</v>
      </c>
    </row>
    <row r="50" spans="1:19" ht="12.95" customHeight="1" x14ac:dyDescent="0.2">
      <c r="A50" s="330">
        <f t="shared" ref="A50:G50" si="15">A17</f>
        <v>8</v>
      </c>
      <c r="B50" s="121" t="str">
        <f t="shared" si="15"/>
        <v>ARROIO CORREGUINHO</v>
      </c>
      <c r="C50" s="122" t="str">
        <f t="shared" si="15"/>
        <v>21°42'39.87''S</v>
      </c>
      <c r="D50" s="121" t="str">
        <f t="shared" si="15"/>
        <v>54°18'52.81''W</v>
      </c>
      <c r="E50" s="142" t="str">
        <f t="shared" si="15"/>
        <v>Simples</v>
      </c>
      <c r="F50" s="122">
        <f t="shared" si="15"/>
        <v>4.4000000000000004</v>
      </c>
      <c r="G50" s="122">
        <f t="shared" si="15"/>
        <v>5.8</v>
      </c>
      <c r="H50" s="141">
        <v>0.8</v>
      </c>
      <c r="I50" s="141">
        <v>5.8</v>
      </c>
      <c r="J50" s="141">
        <v>0</v>
      </c>
      <c r="K50" s="141">
        <f t="shared" si="7"/>
        <v>5.8</v>
      </c>
      <c r="L50" s="141">
        <v>0.8</v>
      </c>
      <c r="M50" s="141">
        <v>5.8</v>
      </c>
      <c r="N50" s="141">
        <v>0</v>
      </c>
      <c r="O50" s="141">
        <f t="shared" si="8"/>
        <v>5.8</v>
      </c>
      <c r="P50" s="141">
        <v>0.8</v>
      </c>
      <c r="Q50" s="141">
        <v>5.8</v>
      </c>
      <c r="R50" s="141">
        <v>0</v>
      </c>
      <c r="S50" s="331">
        <f t="shared" si="9"/>
        <v>5.8</v>
      </c>
    </row>
    <row r="51" spans="1:19" ht="12.95" customHeight="1" x14ac:dyDescent="0.2">
      <c r="A51" s="330">
        <f t="shared" ref="A51:G51" si="16">A18</f>
        <v>9</v>
      </c>
      <c r="B51" s="121" t="str">
        <f t="shared" si="16"/>
        <v>CÓRREGO GUATAMBU</v>
      </c>
      <c r="C51" s="122" t="str">
        <f t="shared" si="16"/>
        <v>21°43'17.70"S</v>
      </c>
      <c r="D51" s="121" t="str">
        <f t="shared" si="16"/>
        <v>54°16'36.10"W</v>
      </c>
      <c r="E51" s="142" t="str">
        <f t="shared" si="16"/>
        <v>Simples</v>
      </c>
      <c r="F51" s="122">
        <f t="shared" si="16"/>
        <v>4.4000000000000004</v>
      </c>
      <c r="G51" s="122">
        <f t="shared" si="16"/>
        <v>10.6</v>
      </c>
      <c r="H51" s="141">
        <v>0.8</v>
      </c>
      <c r="I51" s="141">
        <v>10.6</v>
      </c>
      <c r="J51" s="141">
        <v>0</v>
      </c>
      <c r="K51" s="141">
        <f t="shared" si="7"/>
        <v>10.6</v>
      </c>
      <c r="L51" s="141">
        <v>0.8</v>
      </c>
      <c r="M51" s="141">
        <v>10.6</v>
      </c>
      <c r="N51" s="141">
        <v>0</v>
      </c>
      <c r="O51" s="141">
        <f t="shared" si="8"/>
        <v>10.6</v>
      </c>
      <c r="P51" s="141">
        <v>0.8</v>
      </c>
      <c r="Q51" s="141">
        <v>10.6</v>
      </c>
      <c r="R51" s="141">
        <v>0</v>
      </c>
      <c r="S51" s="331">
        <f t="shared" si="9"/>
        <v>10.6</v>
      </c>
    </row>
    <row r="52" spans="1:19" ht="12.95" customHeight="1" x14ac:dyDescent="0.2">
      <c r="A52" s="330">
        <f t="shared" ref="A52:G52" si="17">A19</f>
        <v>10</v>
      </c>
      <c r="B52" s="121" t="str">
        <f t="shared" si="17"/>
        <v>CÓRREGO QUILOMBO</v>
      </c>
      <c r="C52" s="122" t="str">
        <f t="shared" si="17"/>
        <v>21°42'51.11''S</v>
      </c>
      <c r="D52" s="121" t="str">
        <f t="shared" si="17"/>
        <v>54°16'52.81''W</v>
      </c>
      <c r="E52" s="142" t="str">
        <f t="shared" si="17"/>
        <v>Simples</v>
      </c>
      <c r="F52" s="122">
        <f t="shared" si="17"/>
        <v>4.4000000000000004</v>
      </c>
      <c r="G52" s="122">
        <f t="shared" si="17"/>
        <v>5.8</v>
      </c>
      <c r="H52" s="141">
        <v>0.8</v>
      </c>
      <c r="I52" s="141">
        <v>5.8</v>
      </c>
      <c r="J52" s="141">
        <v>0</v>
      </c>
      <c r="K52" s="141">
        <f t="shared" si="7"/>
        <v>5.8</v>
      </c>
      <c r="L52" s="141">
        <v>0.8</v>
      </c>
      <c r="M52" s="141">
        <v>5.8</v>
      </c>
      <c r="N52" s="141">
        <v>0</v>
      </c>
      <c r="O52" s="141">
        <f t="shared" si="8"/>
        <v>5.8</v>
      </c>
      <c r="P52" s="141">
        <v>0.8</v>
      </c>
      <c r="Q52" s="141">
        <v>5.8</v>
      </c>
      <c r="R52" s="141">
        <v>0</v>
      </c>
      <c r="S52" s="331">
        <f t="shared" si="9"/>
        <v>5.8</v>
      </c>
    </row>
    <row r="53" spans="1:19" ht="12.95" customHeight="1" x14ac:dyDescent="0.2">
      <c r="A53" s="330">
        <f t="shared" ref="A53:G53" si="18">A20</f>
        <v>11</v>
      </c>
      <c r="B53" s="121" t="str">
        <f t="shared" si="18"/>
        <v>CÓRREGO SAPÉ</v>
      </c>
      <c r="C53" s="122" t="str">
        <f t="shared" si="18"/>
        <v>21°44'57.50"S</v>
      </c>
      <c r="D53" s="121" t="str">
        <f t="shared" si="18"/>
        <v>54°18'00.40"W</v>
      </c>
      <c r="E53" s="142" t="str">
        <f t="shared" si="18"/>
        <v>Simples</v>
      </c>
      <c r="F53" s="122">
        <f t="shared" si="18"/>
        <v>4.4000000000000004</v>
      </c>
      <c r="G53" s="122">
        <f t="shared" si="18"/>
        <v>10.8</v>
      </c>
      <c r="H53" s="141">
        <v>0.8</v>
      </c>
      <c r="I53" s="141">
        <v>10.8</v>
      </c>
      <c r="J53" s="141">
        <v>0</v>
      </c>
      <c r="K53" s="141">
        <f t="shared" si="7"/>
        <v>10.8</v>
      </c>
      <c r="L53" s="141">
        <v>0.8</v>
      </c>
      <c r="M53" s="141">
        <v>10.8</v>
      </c>
      <c r="N53" s="141">
        <v>0</v>
      </c>
      <c r="O53" s="141">
        <f t="shared" si="8"/>
        <v>10.8</v>
      </c>
      <c r="P53" s="141">
        <v>0.8</v>
      </c>
      <c r="Q53" s="141">
        <v>10.8</v>
      </c>
      <c r="R53" s="141">
        <v>0</v>
      </c>
      <c r="S53" s="331">
        <f t="shared" si="9"/>
        <v>10.8</v>
      </c>
    </row>
    <row r="54" spans="1:19" ht="12.95" customHeight="1" x14ac:dyDescent="0.2">
      <c r="A54" s="330">
        <f t="shared" ref="A54:G54" si="19">A21</f>
        <v>12</v>
      </c>
      <c r="B54" s="121" t="str">
        <f t="shared" si="19"/>
        <v>CÓRREGO JUREMA</v>
      </c>
      <c r="C54" s="122" t="str">
        <f t="shared" si="19"/>
        <v>21°47'02.84''S</v>
      </c>
      <c r="D54" s="121" t="str">
        <f t="shared" si="19"/>
        <v>54°14'35.61''W</v>
      </c>
      <c r="E54" s="142" t="str">
        <f t="shared" si="19"/>
        <v>Simples</v>
      </c>
      <c r="F54" s="122">
        <f t="shared" si="19"/>
        <v>4.4000000000000004</v>
      </c>
      <c r="G54" s="122">
        <f t="shared" si="19"/>
        <v>7.1</v>
      </c>
      <c r="H54" s="141">
        <v>0.8</v>
      </c>
      <c r="I54" s="141">
        <v>7.1</v>
      </c>
      <c r="J54" s="141">
        <v>0</v>
      </c>
      <c r="K54" s="141">
        <f t="shared" si="7"/>
        <v>7.1</v>
      </c>
      <c r="L54" s="141">
        <v>0.8</v>
      </c>
      <c r="M54" s="141">
        <v>7.1</v>
      </c>
      <c r="N54" s="141">
        <v>0</v>
      </c>
      <c r="O54" s="141">
        <f t="shared" si="8"/>
        <v>7.1</v>
      </c>
      <c r="P54" s="141">
        <v>0.8</v>
      </c>
      <c r="Q54" s="141">
        <v>7.1</v>
      </c>
      <c r="R54" s="141">
        <v>0</v>
      </c>
      <c r="S54" s="331">
        <f t="shared" si="9"/>
        <v>7.1</v>
      </c>
    </row>
    <row r="55" spans="1:19" ht="12.95" customHeight="1" x14ac:dyDescent="0.2">
      <c r="A55" s="330">
        <f t="shared" ref="A55:G55" si="20">A22</f>
        <v>13</v>
      </c>
      <c r="B55" s="121" t="str">
        <f t="shared" si="20"/>
        <v>CÓRREGO ARACI</v>
      </c>
      <c r="C55" s="122" t="str">
        <f t="shared" si="20"/>
        <v>21°45'04.33''S</v>
      </c>
      <c r="D55" s="121" t="str">
        <f t="shared" si="20"/>
        <v>54°12'41.25''W</v>
      </c>
      <c r="E55" s="142" t="str">
        <f t="shared" si="20"/>
        <v>Simples</v>
      </c>
      <c r="F55" s="122">
        <f t="shared" si="20"/>
        <v>4.4000000000000004</v>
      </c>
      <c r="G55" s="122">
        <f t="shared" si="20"/>
        <v>6.4</v>
      </c>
      <c r="H55" s="141">
        <v>0.8</v>
      </c>
      <c r="I55" s="141">
        <v>6.4</v>
      </c>
      <c r="J55" s="141">
        <v>0</v>
      </c>
      <c r="K55" s="141">
        <f t="shared" si="7"/>
        <v>6.4</v>
      </c>
      <c r="L55" s="141">
        <v>0.8</v>
      </c>
      <c r="M55" s="141">
        <v>6.4</v>
      </c>
      <c r="N55" s="141">
        <v>0</v>
      </c>
      <c r="O55" s="141">
        <f t="shared" si="8"/>
        <v>6.4</v>
      </c>
      <c r="P55" s="141">
        <v>0.8</v>
      </c>
      <c r="Q55" s="141">
        <v>6.4</v>
      </c>
      <c r="R55" s="141">
        <v>0</v>
      </c>
      <c r="S55" s="331">
        <f t="shared" si="9"/>
        <v>6.4</v>
      </c>
    </row>
    <row r="56" spans="1:19" ht="12.95" customHeight="1" x14ac:dyDescent="0.2">
      <c r="A56" s="330">
        <f t="shared" ref="A56:G56" si="21">A23</f>
        <v>14</v>
      </c>
      <c r="B56" s="121" t="str">
        <f t="shared" si="21"/>
        <v>CÓRREGO ANHUMAS</v>
      </c>
      <c r="C56" s="122" t="str">
        <f t="shared" si="21"/>
        <v>21°51'40.49''S</v>
      </c>
      <c r="D56" s="121" t="str">
        <f t="shared" si="21"/>
        <v>54°08'14.26''W</v>
      </c>
      <c r="E56" s="142" t="str">
        <f t="shared" si="21"/>
        <v>Simples</v>
      </c>
      <c r="F56" s="122">
        <f t="shared" si="21"/>
        <v>4.4000000000000004</v>
      </c>
      <c r="G56" s="122">
        <f t="shared" si="21"/>
        <v>11.8</v>
      </c>
      <c r="H56" s="141">
        <v>0.8</v>
      </c>
      <c r="I56" s="141">
        <v>11.8</v>
      </c>
      <c r="J56" s="141">
        <v>0</v>
      </c>
      <c r="K56" s="141">
        <f t="shared" si="7"/>
        <v>11.8</v>
      </c>
      <c r="L56" s="141">
        <v>0.8</v>
      </c>
      <c r="M56" s="141">
        <v>11.8</v>
      </c>
      <c r="N56" s="141">
        <v>0</v>
      </c>
      <c r="O56" s="141">
        <f t="shared" si="8"/>
        <v>11.8</v>
      </c>
      <c r="P56" s="141">
        <v>0.8</v>
      </c>
      <c r="Q56" s="141">
        <v>11.8</v>
      </c>
      <c r="R56" s="141">
        <v>0</v>
      </c>
      <c r="S56" s="331">
        <f t="shared" si="9"/>
        <v>11.8</v>
      </c>
    </row>
    <row r="57" spans="1:19" ht="12.95" customHeight="1" x14ac:dyDescent="0.2">
      <c r="A57" s="330">
        <f t="shared" ref="A57:G57" si="22">A24</f>
        <v>15</v>
      </c>
      <c r="B57" s="121" t="str">
        <f t="shared" si="22"/>
        <v>CÓRREGO CHIFRE DO VIADO</v>
      </c>
      <c r="C57" s="122" t="str">
        <f t="shared" si="22"/>
        <v>21°40'35.65''S</v>
      </c>
      <c r="D57" s="121" t="str">
        <f t="shared" si="22"/>
        <v>54°56'15.44''W</v>
      </c>
      <c r="E57" s="142" t="str">
        <f t="shared" si="22"/>
        <v>Simples</v>
      </c>
      <c r="F57" s="122">
        <f t="shared" si="22"/>
        <v>5</v>
      </c>
      <c r="G57" s="122">
        <f t="shared" si="22"/>
        <v>12</v>
      </c>
      <c r="H57" s="141">
        <v>0.8</v>
      </c>
      <c r="I57" s="141">
        <v>12</v>
      </c>
      <c r="J57" s="141">
        <v>0</v>
      </c>
      <c r="K57" s="141">
        <f t="shared" si="7"/>
        <v>12</v>
      </c>
      <c r="L57" s="141">
        <v>0.8</v>
      </c>
      <c r="M57" s="141">
        <v>12</v>
      </c>
      <c r="N57" s="141">
        <v>0</v>
      </c>
      <c r="O57" s="141">
        <f t="shared" si="8"/>
        <v>12</v>
      </c>
      <c r="P57" s="141">
        <v>0.8</v>
      </c>
      <c r="Q57" s="141">
        <v>12</v>
      </c>
      <c r="R57" s="141">
        <v>0</v>
      </c>
      <c r="S57" s="331">
        <f t="shared" si="9"/>
        <v>12</v>
      </c>
    </row>
    <row r="58" spans="1:19" ht="12.95" customHeight="1" x14ac:dyDescent="0.2">
      <c r="A58" s="330">
        <f t="shared" ref="A58:G58" si="23">A25</f>
        <v>16</v>
      </c>
      <c r="B58" s="121" t="str">
        <f t="shared" si="23"/>
        <v>CÓRREGO SANTA RITA</v>
      </c>
      <c r="C58" s="122" t="str">
        <f t="shared" si="23"/>
        <v>21°33'23.75''S</v>
      </c>
      <c r="D58" s="121" t="str">
        <f t="shared" si="23"/>
        <v>54°35'26.66''W</v>
      </c>
      <c r="E58" s="142" t="str">
        <f t="shared" si="23"/>
        <v>Simples</v>
      </c>
      <c r="F58" s="122">
        <f t="shared" si="23"/>
        <v>4.4000000000000004</v>
      </c>
      <c r="G58" s="122">
        <f t="shared" si="23"/>
        <v>22.1</v>
      </c>
      <c r="H58" s="141">
        <v>0.8</v>
      </c>
      <c r="I58" s="141">
        <v>22.1</v>
      </c>
      <c r="J58" s="141">
        <v>0</v>
      </c>
      <c r="K58" s="141">
        <f t="shared" si="7"/>
        <v>22.1</v>
      </c>
      <c r="L58" s="141">
        <v>0.8</v>
      </c>
      <c r="M58" s="141">
        <v>22.1</v>
      </c>
      <c r="N58" s="141">
        <v>0</v>
      </c>
      <c r="O58" s="141">
        <f t="shared" si="8"/>
        <v>22.1</v>
      </c>
      <c r="P58" s="141">
        <v>0.8</v>
      </c>
      <c r="Q58" s="141">
        <v>22.1</v>
      </c>
      <c r="R58" s="141">
        <v>0</v>
      </c>
      <c r="S58" s="331">
        <f t="shared" si="9"/>
        <v>22.1</v>
      </c>
    </row>
    <row r="59" spans="1:19" ht="12.95" customHeight="1" x14ac:dyDescent="0.2">
      <c r="A59" s="330">
        <f t="shared" ref="A59:G59" si="24">A26</f>
        <v>17</v>
      </c>
      <c r="B59" s="121" t="str">
        <f t="shared" si="24"/>
        <v>RIO SERROTE</v>
      </c>
      <c r="C59" s="122" t="str">
        <f t="shared" si="24"/>
        <v>21°25'01.14''S</v>
      </c>
      <c r="D59" s="121" t="str">
        <f t="shared" si="24"/>
        <v>54°43'16.96''W</v>
      </c>
      <c r="E59" s="142" t="str">
        <f t="shared" si="24"/>
        <v>Simples</v>
      </c>
      <c r="F59" s="122">
        <f t="shared" si="24"/>
        <v>4.4000000000000004</v>
      </c>
      <c r="G59" s="122">
        <f t="shared" si="24"/>
        <v>24.6</v>
      </c>
      <c r="H59" s="141">
        <v>0.8</v>
      </c>
      <c r="I59" s="141">
        <v>24.6</v>
      </c>
      <c r="J59" s="141">
        <v>0</v>
      </c>
      <c r="K59" s="141">
        <f t="shared" si="7"/>
        <v>24.6</v>
      </c>
      <c r="L59" s="141">
        <v>0.8</v>
      </c>
      <c r="M59" s="141">
        <v>24.6</v>
      </c>
      <c r="N59" s="141">
        <v>0</v>
      </c>
      <c r="O59" s="141">
        <f t="shared" si="8"/>
        <v>24.6</v>
      </c>
      <c r="P59" s="141">
        <v>0.8</v>
      </c>
      <c r="Q59" s="141">
        <v>24.6</v>
      </c>
      <c r="R59" s="141">
        <v>0</v>
      </c>
      <c r="S59" s="331">
        <f t="shared" si="9"/>
        <v>24.6</v>
      </c>
    </row>
    <row r="60" spans="1:19" ht="12.95" customHeight="1" x14ac:dyDescent="0.2">
      <c r="A60" s="330">
        <f t="shared" ref="A60:G60" si="25">A27</f>
        <v>18</v>
      </c>
      <c r="B60" s="121" t="str">
        <f t="shared" si="25"/>
        <v>CÓRREGO PASSATEMPO 1</v>
      </c>
      <c r="C60" s="122" t="str">
        <f t="shared" si="25"/>
        <v>21°29'34.92''S</v>
      </c>
      <c r="D60" s="121" t="str">
        <f t="shared" si="25"/>
        <v>54°49'18.44''W</v>
      </c>
      <c r="E60" s="142" t="str">
        <f t="shared" si="25"/>
        <v>Simples</v>
      </c>
      <c r="F60" s="122">
        <f t="shared" si="25"/>
        <v>4.4000000000000004</v>
      </c>
      <c r="G60" s="122">
        <f t="shared" si="25"/>
        <v>16.399999999999999</v>
      </c>
      <c r="H60" s="141">
        <v>0.8</v>
      </c>
      <c r="I60" s="141">
        <v>16.399999999999999</v>
      </c>
      <c r="J60" s="141">
        <v>0</v>
      </c>
      <c r="K60" s="141">
        <f t="shared" si="7"/>
        <v>16.399999999999999</v>
      </c>
      <c r="L60" s="141">
        <v>0.8</v>
      </c>
      <c r="M60" s="141">
        <v>16.399999999999999</v>
      </c>
      <c r="N60" s="141">
        <v>0</v>
      </c>
      <c r="O60" s="141">
        <f t="shared" si="8"/>
        <v>16.399999999999999</v>
      </c>
      <c r="P60" s="141">
        <v>0.8</v>
      </c>
      <c r="Q60" s="141">
        <v>16.399999999999999</v>
      </c>
      <c r="R60" s="141">
        <v>0</v>
      </c>
      <c r="S60" s="331">
        <f t="shared" si="9"/>
        <v>16.399999999999999</v>
      </c>
    </row>
    <row r="61" spans="1:19" ht="12.95" customHeight="1" x14ac:dyDescent="0.2">
      <c r="A61" s="330">
        <f t="shared" ref="A61:G61" si="26">A28</f>
        <v>19</v>
      </c>
      <c r="B61" s="121" t="str">
        <f t="shared" si="26"/>
        <v>CÓRREGO PASSATEMPO 2</v>
      </c>
      <c r="C61" s="122" t="str">
        <f t="shared" si="26"/>
        <v>21°29'33.39''S</v>
      </c>
      <c r="D61" s="121" t="str">
        <f t="shared" si="26"/>
        <v>54°49'17.44''W</v>
      </c>
      <c r="E61" s="142" t="str">
        <f t="shared" si="26"/>
        <v>Simples</v>
      </c>
      <c r="F61" s="122">
        <f t="shared" si="26"/>
        <v>4.4000000000000004</v>
      </c>
      <c r="G61" s="122">
        <f t="shared" si="26"/>
        <v>19.600000000000001</v>
      </c>
      <c r="H61" s="141">
        <v>0.8</v>
      </c>
      <c r="I61" s="141">
        <v>19.600000000000001</v>
      </c>
      <c r="J61" s="141">
        <v>0</v>
      </c>
      <c r="K61" s="141">
        <f t="shared" si="7"/>
        <v>19.600000000000001</v>
      </c>
      <c r="L61" s="141">
        <v>0.8</v>
      </c>
      <c r="M61" s="141">
        <v>19.600000000000001</v>
      </c>
      <c r="N61" s="141">
        <v>0</v>
      </c>
      <c r="O61" s="141">
        <f t="shared" si="8"/>
        <v>19.600000000000001</v>
      </c>
      <c r="P61" s="141">
        <v>0.8</v>
      </c>
      <c r="Q61" s="141">
        <v>19.600000000000001</v>
      </c>
      <c r="R61" s="141">
        <v>0</v>
      </c>
      <c r="S61" s="331">
        <f t="shared" si="9"/>
        <v>19.600000000000001</v>
      </c>
    </row>
    <row r="62" spans="1:19" ht="12.95" customHeight="1" x14ac:dyDescent="0.2">
      <c r="A62" s="330">
        <f t="shared" ref="A62:G62" si="27">A29</f>
        <v>20</v>
      </c>
      <c r="B62" s="121" t="str">
        <f t="shared" si="27"/>
        <v>CÓRREGO PASSATEMPO 3</v>
      </c>
      <c r="C62" s="122" t="str">
        <f t="shared" si="27"/>
        <v>21°28'09.42''S</v>
      </c>
      <c r="D62" s="121" t="str">
        <f t="shared" si="27"/>
        <v>54°48'01.11''W</v>
      </c>
      <c r="E62" s="142" t="str">
        <f t="shared" si="27"/>
        <v>Simples</v>
      </c>
      <c r="F62" s="122">
        <f t="shared" si="27"/>
        <v>5</v>
      </c>
      <c r="G62" s="122">
        <f t="shared" si="27"/>
        <v>6</v>
      </c>
      <c r="H62" s="141">
        <v>0.8</v>
      </c>
      <c r="I62" s="141">
        <v>6</v>
      </c>
      <c r="J62" s="141">
        <v>0</v>
      </c>
      <c r="K62" s="141">
        <f t="shared" si="7"/>
        <v>6</v>
      </c>
      <c r="L62" s="141">
        <v>0.8</v>
      </c>
      <c r="M62" s="141">
        <v>6</v>
      </c>
      <c r="N62" s="141">
        <v>0</v>
      </c>
      <c r="O62" s="141">
        <f t="shared" si="8"/>
        <v>6</v>
      </c>
      <c r="P62" s="141">
        <v>0.8</v>
      </c>
      <c r="Q62" s="141">
        <v>6</v>
      </c>
      <c r="R62" s="141">
        <v>0</v>
      </c>
      <c r="S62" s="331">
        <f t="shared" si="9"/>
        <v>6</v>
      </c>
    </row>
    <row r="63" spans="1:19" ht="12.95" customHeight="1" x14ac:dyDescent="0.2">
      <c r="A63" s="330">
        <f t="shared" ref="A63:G63" si="28">A30</f>
        <v>21</v>
      </c>
      <c r="B63" s="121" t="str">
        <f t="shared" si="28"/>
        <v>CÓRREGO TAQUARA</v>
      </c>
      <c r="C63" s="122" t="str">
        <f t="shared" si="28"/>
        <v>21°21'07.90''S</v>
      </c>
      <c r="D63" s="121" t="str">
        <f t="shared" si="28"/>
        <v>54°50'07.01''W</v>
      </c>
      <c r="E63" s="142" t="str">
        <f t="shared" si="28"/>
        <v>Simples</v>
      </c>
      <c r="F63" s="122">
        <f t="shared" si="28"/>
        <v>4.8</v>
      </c>
      <c r="G63" s="122">
        <f t="shared" si="28"/>
        <v>24</v>
      </c>
      <c r="H63" s="141">
        <v>0.8</v>
      </c>
      <c r="I63" s="141">
        <v>24</v>
      </c>
      <c r="J63" s="141">
        <v>0</v>
      </c>
      <c r="K63" s="141">
        <f t="shared" si="7"/>
        <v>24</v>
      </c>
      <c r="L63" s="141">
        <v>0.8</v>
      </c>
      <c r="M63" s="141">
        <v>24</v>
      </c>
      <c r="N63" s="141">
        <v>0</v>
      </c>
      <c r="O63" s="141">
        <f t="shared" si="8"/>
        <v>24</v>
      </c>
      <c r="P63" s="141">
        <v>0.8</v>
      </c>
      <c r="Q63" s="141">
        <v>24</v>
      </c>
      <c r="R63" s="141">
        <v>0</v>
      </c>
      <c r="S63" s="331">
        <f t="shared" si="9"/>
        <v>24</v>
      </c>
    </row>
    <row r="64" spans="1:19" ht="12.95" customHeight="1" x14ac:dyDescent="0.2">
      <c r="A64" s="330">
        <f t="shared" ref="A64:G64" si="29">A31</f>
        <v>22</v>
      </c>
      <c r="B64" s="121" t="str">
        <f t="shared" si="29"/>
        <v>CÓRREGO PASSATEMPO 4</v>
      </c>
      <c r="C64" s="122" t="str">
        <f t="shared" si="29"/>
        <v>21°29'23.36''S</v>
      </c>
      <c r="D64" s="121" t="str">
        <f t="shared" si="29"/>
        <v>54°52'56.83''W</v>
      </c>
      <c r="E64" s="142" t="str">
        <f t="shared" si="29"/>
        <v>Simples</v>
      </c>
      <c r="F64" s="122">
        <f t="shared" si="29"/>
        <v>4.4000000000000004</v>
      </c>
      <c r="G64" s="122">
        <f t="shared" si="29"/>
        <v>14.3</v>
      </c>
      <c r="H64" s="141">
        <v>0.8</v>
      </c>
      <c r="I64" s="141">
        <v>14.3</v>
      </c>
      <c r="J64" s="141">
        <v>0</v>
      </c>
      <c r="K64" s="141">
        <f t="shared" si="7"/>
        <v>14.3</v>
      </c>
      <c r="L64" s="141">
        <v>0.8</v>
      </c>
      <c r="M64" s="141">
        <v>14.3</v>
      </c>
      <c r="N64" s="141">
        <v>0</v>
      </c>
      <c r="O64" s="141">
        <f t="shared" si="8"/>
        <v>14.3</v>
      </c>
      <c r="P64" s="141">
        <v>0.8</v>
      </c>
      <c r="Q64" s="141">
        <v>14.3</v>
      </c>
      <c r="R64" s="141">
        <v>0</v>
      </c>
      <c r="S64" s="331">
        <f t="shared" si="9"/>
        <v>14.3</v>
      </c>
    </row>
    <row r="65" spans="1:20" ht="12.95" customHeight="1" x14ac:dyDescent="0.2">
      <c r="A65" s="330">
        <f t="shared" ref="A65:G65" si="30">A32</f>
        <v>23</v>
      </c>
      <c r="B65" s="121" t="str">
        <f t="shared" si="30"/>
        <v>CÓRREGO DO COQUEIRO</v>
      </c>
      <c r="C65" s="122" t="str">
        <f t="shared" si="30"/>
        <v>21°30'51.74''S</v>
      </c>
      <c r="D65" s="121" t="str">
        <f t="shared" si="30"/>
        <v>54°52'00.30''W</v>
      </c>
      <c r="E65" s="142" t="str">
        <f t="shared" si="30"/>
        <v>Simples</v>
      </c>
      <c r="F65" s="122">
        <f t="shared" si="30"/>
        <v>4.4000000000000004</v>
      </c>
      <c r="G65" s="122">
        <f t="shared" si="30"/>
        <v>22.3</v>
      </c>
      <c r="H65" s="141">
        <v>0.8</v>
      </c>
      <c r="I65" s="141">
        <v>22.3</v>
      </c>
      <c r="J65" s="141">
        <v>0</v>
      </c>
      <c r="K65" s="141">
        <f t="shared" si="7"/>
        <v>22.3</v>
      </c>
      <c r="L65" s="141">
        <v>0.8</v>
      </c>
      <c r="M65" s="141">
        <v>22.3</v>
      </c>
      <c r="N65" s="141">
        <v>0</v>
      </c>
      <c r="O65" s="141">
        <f t="shared" si="8"/>
        <v>22.3</v>
      </c>
      <c r="P65" s="141">
        <v>0.8</v>
      </c>
      <c r="Q65" s="141">
        <v>22.3</v>
      </c>
      <c r="R65" s="141">
        <v>0</v>
      </c>
      <c r="S65" s="331">
        <f t="shared" si="9"/>
        <v>22.3</v>
      </c>
    </row>
    <row r="66" spans="1:20" ht="12.95" customHeight="1" x14ac:dyDescent="0.2">
      <c r="A66" s="330">
        <f t="shared" ref="A66:G66" si="31">A33</f>
        <v>24</v>
      </c>
      <c r="B66" s="121" t="str">
        <f t="shared" si="31"/>
        <v>CÓRREGO CARRAPATO</v>
      </c>
      <c r="C66" s="122" t="str">
        <f t="shared" si="31"/>
        <v>21°32'42.64''S</v>
      </c>
      <c r="D66" s="121" t="str">
        <f t="shared" si="31"/>
        <v>55°00'59.87''W</v>
      </c>
      <c r="E66" s="142" t="str">
        <f t="shared" si="31"/>
        <v>Simples</v>
      </c>
      <c r="F66" s="122">
        <f t="shared" si="31"/>
        <v>4.4000000000000004</v>
      </c>
      <c r="G66" s="122">
        <f t="shared" si="31"/>
        <v>18</v>
      </c>
      <c r="H66" s="141">
        <v>0.8</v>
      </c>
      <c r="I66" s="141">
        <v>18</v>
      </c>
      <c r="J66" s="141">
        <v>0</v>
      </c>
      <c r="K66" s="141">
        <f t="shared" si="7"/>
        <v>18</v>
      </c>
      <c r="L66" s="141">
        <v>0.8</v>
      </c>
      <c r="M66" s="141">
        <v>18</v>
      </c>
      <c r="N66" s="141">
        <v>0</v>
      </c>
      <c r="O66" s="141">
        <f t="shared" si="8"/>
        <v>18</v>
      </c>
      <c r="P66" s="141">
        <v>0.8</v>
      </c>
      <c r="Q66" s="141">
        <v>18</v>
      </c>
      <c r="R66" s="141">
        <v>0</v>
      </c>
      <c r="S66" s="331">
        <f t="shared" si="9"/>
        <v>18</v>
      </c>
    </row>
    <row r="67" spans="1:20" ht="12.95" customHeight="1" x14ac:dyDescent="0.2">
      <c r="A67" s="330">
        <f t="shared" ref="A67:G67" si="32">A34</f>
        <v>25</v>
      </c>
      <c r="B67" s="121" t="str">
        <f t="shared" si="32"/>
        <v>CÓRREGO BARRA MANSA</v>
      </c>
      <c r="C67" s="122" t="str">
        <f t="shared" si="32"/>
        <v>21°45'26.00"S</v>
      </c>
      <c r="D67" s="121" t="str">
        <f t="shared" si="32"/>
        <v>54°10'16.90"W</v>
      </c>
      <c r="E67" s="142" t="str">
        <f t="shared" si="32"/>
        <v>Simples</v>
      </c>
      <c r="F67" s="122">
        <f t="shared" si="32"/>
        <v>5</v>
      </c>
      <c r="G67" s="122">
        <f t="shared" si="32"/>
        <v>5.6</v>
      </c>
      <c r="H67" s="141">
        <v>0.8</v>
      </c>
      <c r="I67" s="141">
        <v>5.6</v>
      </c>
      <c r="J67" s="141">
        <v>0</v>
      </c>
      <c r="K67" s="141">
        <f t="shared" si="7"/>
        <v>5.6</v>
      </c>
      <c r="L67" s="141">
        <v>0.8</v>
      </c>
      <c r="M67" s="141">
        <v>5.6</v>
      </c>
      <c r="N67" s="141">
        <v>0</v>
      </c>
      <c r="O67" s="141">
        <f t="shared" si="8"/>
        <v>5.6</v>
      </c>
      <c r="P67" s="141">
        <v>0.8</v>
      </c>
      <c r="Q67" s="141">
        <v>5.6</v>
      </c>
      <c r="R67" s="141">
        <v>0</v>
      </c>
      <c r="S67" s="331">
        <f t="shared" si="9"/>
        <v>5.6</v>
      </c>
    </row>
    <row r="68" spans="1:20" ht="12.95" customHeight="1" x14ac:dyDescent="0.2">
      <c r="A68" s="330">
        <f t="shared" ref="A68:G68" si="33">A35</f>
        <v>26</v>
      </c>
      <c r="B68" s="121" t="str">
        <f t="shared" si="33"/>
        <v>CÓRREGO PASSATEMPO 5</v>
      </c>
      <c r="C68" s="122" t="str">
        <f t="shared" si="33"/>
        <v>21°29'57.99''S</v>
      </c>
      <c r="D68" s="121" t="str">
        <f t="shared" si="33"/>
        <v>54°43'07.39''W</v>
      </c>
      <c r="E68" s="142" t="str">
        <f t="shared" si="33"/>
        <v>Simples</v>
      </c>
      <c r="F68" s="122">
        <f t="shared" si="33"/>
        <v>4.4000000000000004</v>
      </c>
      <c r="G68" s="122">
        <f t="shared" si="33"/>
        <v>22.3</v>
      </c>
      <c r="H68" s="141">
        <v>0.8</v>
      </c>
      <c r="I68" s="141">
        <v>22.3</v>
      </c>
      <c r="J68" s="141">
        <v>0</v>
      </c>
      <c r="K68" s="141">
        <f t="shared" si="7"/>
        <v>22.3</v>
      </c>
      <c r="L68" s="141">
        <v>0.8</v>
      </c>
      <c r="M68" s="141">
        <v>22.3</v>
      </c>
      <c r="N68" s="141">
        <v>0</v>
      </c>
      <c r="O68" s="141">
        <f t="shared" si="8"/>
        <v>22.3</v>
      </c>
      <c r="P68" s="141">
        <v>0.8</v>
      </c>
      <c r="Q68" s="141">
        <v>22.3</v>
      </c>
      <c r="R68" s="141">
        <v>0</v>
      </c>
      <c r="S68" s="331">
        <f t="shared" si="9"/>
        <v>22.3</v>
      </c>
    </row>
    <row r="69" spans="1:20" ht="12.95" customHeight="1" x14ac:dyDescent="0.2">
      <c r="A69" s="330"/>
      <c r="B69" s="121"/>
      <c r="C69" s="122"/>
      <c r="D69" s="121"/>
      <c r="E69" s="142"/>
      <c r="F69" s="122"/>
      <c r="G69" s="122"/>
      <c r="H69" s="141"/>
      <c r="I69" s="141"/>
      <c r="J69" s="141"/>
      <c r="K69" s="141"/>
      <c r="L69" s="141"/>
      <c r="M69" s="141"/>
      <c r="N69" s="141"/>
      <c r="O69" s="141"/>
      <c r="P69" s="141"/>
      <c r="Q69" s="141"/>
      <c r="R69" s="141"/>
      <c r="S69" s="331"/>
    </row>
    <row r="70" spans="1:20" ht="12.95" customHeight="1" x14ac:dyDescent="0.2">
      <c r="A70" s="486" t="s">
        <v>185</v>
      </c>
      <c r="B70" s="462"/>
      <c r="C70" s="462"/>
      <c r="D70" s="462"/>
      <c r="E70" s="462"/>
      <c r="F70" s="462"/>
      <c r="G70" s="79">
        <f>TRUNC(SUM(G43:G69),3)</f>
        <v>335.7</v>
      </c>
      <c r="H70" s="79"/>
      <c r="I70" s="287">
        <f>SUM(I43:I69)</f>
        <v>335.70000000000005</v>
      </c>
      <c r="J70" s="287">
        <f t="shared" ref="J70:S70" si="34">SUM(J43:J69)</f>
        <v>0</v>
      </c>
      <c r="K70" s="287">
        <f t="shared" si="34"/>
        <v>335.70000000000005</v>
      </c>
      <c r="L70" s="287">
        <f t="shared" si="34"/>
        <v>20.800000000000008</v>
      </c>
      <c r="M70" s="287">
        <f t="shared" si="34"/>
        <v>335.70000000000005</v>
      </c>
      <c r="N70" s="287">
        <f t="shared" si="34"/>
        <v>0</v>
      </c>
      <c r="O70" s="287">
        <f t="shared" si="34"/>
        <v>335.70000000000005</v>
      </c>
      <c r="P70" s="287">
        <f t="shared" si="34"/>
        <v>20.800000000000008</v>
      </c>
      <c r="Q70" s="287">
        <f t="shared" si="34"/>
        <v>335.70000000000005</v>
      </c>
      <c r="R70" s="287">
        <f t="shared" si="34"/>
        <v>0</v>
      </c>
      <c r="S70" s="287">
        <f t="shared" si="34"/>
        <v>335.70000000000005</v>
      </c>
      <c r="T70" s="284"/>
    </row>
    <row r="71" spans="1:20" ht="12.95" customHeight="1" x14ac:dyDescent="0.2">
      <c r="A71" s="497"/>
      <c r="B71" s="478"/>
      <c r="C71" s="478"/>
      <c r="D71" s="478"/>
      <c r="E71" s="478"/>
      <c r="F71" s="478"/>
      <c r="G71" s="478"/>
      <c r="H71" s="478"/>
      <c r="I71" s="478"/>
      <c r="J71" s="478"/>
      <c r="K71" s="478"/>
      <c r="L71" s="478"/>
      <c r="M71" s="478"/>
      <c r="N71" s="478"/>
      <c r="O71" s="478"/>
      <c r="P71" s="478"/>
      <c r="Q71" s="478"/>
      <c r="R71" s="478"/>
      <c r="S71" s="498"/>
    </row>
    <row r="72" spans="1:20" ht="12.95" customHeight="1" x14ac:dyDescent="0.2">
      <c r="A72" s="476" t="s">
        <v>53</v>
      </c>
      <c r="B72" s="476"/>
      <c r="C72" s="476"/>
      <c r="D72" s="476"/>
      <c r="E72" s="476"/>
      <c r="F72" s="476"/>
      <c r="G72" s="476"/>
      <c r="H72" s="476"/>
      <c r="I72" s="476"/>
      <c r="J72" s="476"/>
      <c r="K72" s="476"/>
      <c r="L72" s="476"/>
      <c r="M72" s="476"/>
      <c r="N72" s="476"/>
      <c r="O72" s="476"/>
      <c r="P72" s="476"/>
      <c r="Q72" s="476"/>
      <c r="R72" s="476"/>
      <c r="S72" s="476"/>
    </row>
    <row r="73" spans="1:20" ht="12.95" customHeight="1" x14ac:dyDescent="0.2">
      <c r="A73" s="484" t="str">
        <f>$A$7</f>
        <v>MANUTENÇÃO E CONSERVAÇÃO DAS PONTES DE MADEIRA</v>
      </c>
      <c r="B73" s="477"/>
      <c r="C73" s="477"/>
      <c r="D73" s="477"/>
      <c r="E73" s="477"/>
      <c r="F73" s="477"/>
      <c r="G73" s="477"/>
      <c r="H73" s="477"/>
      <c r="I73" s="477"/>
      <c r="J73" s="477"/>
      <c r="K73" s="477"/>
      <c r="L73" s="477"/>
      <c r="M73" s="477"/>
      <c r="N73" s="477"/>
      <c r="O73" s="477"/>
      <c r="P73" s="477"/>
      <c r="Q73" s="477"/>
      <c r="R73" s="477"/>
      <c r="S73" s="485"/>
    </row>
    <row r="74" spans="1:20" ht="12.95" customHeight="1" x14ac:dyDescent="0.2">
      <c r="A74" s="495" t="s">
        <v>0</v>
      </c>
      <c r="B74" s="496" t="s">
        <v>1</v>
      </c>
      <c r="C74" s="496"/>
      <c r="D74" s="496"/>
      <c r="E74" s="496"/>
      <c r="F74" s="496"/>
      <c r="G74" s="496"/>
      <c r="H74" s="491" t="s">
        <v>51</v>
      </c>
      <c r="I74" s="492"/>
      <c r="J74" s="492"/>
      <c r="K74" s="493"/>
      <c r="L74" s="491" t="s">
        <v>188</v>
      </c>
      <c r="M74" s="492"/>
      <c r="N74" s="492"/>
      <c r="O74" s="493"/>
      <c r="P74" s="491" t="s">
        <v>189</v>
      </c>
      <c r="Q74" s="492"/>
      <c r="R74" s="492"/>
      <c r="S74" s="494"/>
    </row>
    <row r="75" spans="1:20" ht="24.95" customHeight="1" x14ac:dyDescent="0.2">
      <c r="A75" s="495"/>
      <c r="B75" s="94" t="s">
        <v>504</v>
      </c>
      <c r="C75" s="94" t="str">
        <f>$C$9</f>
        <v>Latitude</v>
      </c>
      <c r="D75" s="66" t="str">
        <f>$D$9</f>
        <v>Longitude</v>
      </c>
      <c r="E75" s="83" t="str">
        <f>$E$9</f>
        <v>Vigamento</v>
      </c>
      <c r="F75" s="66" t="str">
        <f>$F$9</f>
        <v>Largura (m)</v>
      </c>
      <c r="G75" s="83" t="str">
        <f>$G$9</f>
        <v>Extensão (m)</v>
      </c>
      <c r="H75" s="83" t="s">
        <v>352</v>
      </c>
      <c r="I75" s="95" t="s">
        <v>33</v>
      </c>
      <c r="J75" s="95" t="s">
        <v>6</v>
      </c>
      <c r="K75" s="95" t="s">
        <v>7</v>
      </c>
      <c r="L75" s="83" t="s">
        <v>352</v>
      </c>
      <c r="M75" s="95" t="s">
        <v>33</v>
      </c>
      <c r="N75" s="95" t="s">
        <v>6</v>
      </c>
      <c r="O75" s="95" t="s">
        <v>7</v>
      </c>
      <c r="P75" s="83" t="s">
        <v>352</v>
      </c>
      <c r="Q75" s="95" t="s">
        <v>33</v>
      </c>
      <c r="R75" s="95" t="s">
        <v>6</v>
      </c>
      <c r="S75" s="329" t="s">
        <v>7</v>
      </c>
    </row>
    <row r="76" spans="1:20" ht="12.95" customHeight="1" x14ac:dyDescent="0.2">
      <c r="A76" s="330">
        <f t="shared" ref="A76:G85" si="35">A10</f>
        <v>1</v>
      </c>
      <c r="B76" s="121" t="str">
        <f t="shared" si="35"/>
        <v>CÓRREGO DO CHINELO</v>
      </c>
      <c r="C76" s="122" t="str">
        <f t="shared" si="35"/>
        <v>21°53'30.35''S</v>
      </c>
      <c r="D76" s="121" t="str">
        <f t="shared" si="35"/>
        <v>54°35'16.91''W</v>
      </c>
      <c r="E76" s="142" t="str">
        <f t="shared" si="35"/>
        <v>Simples</v>
      </c>
      <c r="F76" s="122">
        <f t="shared" si="35"/>
        <v>5</v>
      </c>
      <c r="G76" s="122">
        <f t="shared" si="35"/>
        <v>13</v>
      </c>
      <c r="H76" s="141">
        <v>0</v>
      </c>
      <c r="I76" s="141">
        <v>0</v>
      </c>
      <c r="J76" s="141">
        <v>0</v>
      </c>
      <c r="K76" s="141">
        <v>0</v>
      </c>
      <c r="L76" s="141">
        <v>0.5</v>
      </c>
      <c r="M76" s="141">
        <v>12</v>
      </c>
      <c r="N76" s="141">
        <v>0</v>
      </c>
      <c r="O76" s="141">
        <f>M76</f>
        <v>12</v>
      </c>
      <c r="P76" s="141">
        <v>0.5</v>
      </c>
      <c r="Q76" s="141">
        <v>24</v>
      </c>
      <c r="R76" s="141">
        <v>0</v>
      </c>
      <c r="S76" s="331">
        <f>Q76</f>
        <v>24</v>
      </c>
    </row>
    <row r="77" spans="1:20" ht="12.95" customHeight="1" x14ac:dyDescent="0.2">
      <c r="A77" s="330">
        <f t="shared" si="35"/>
        <v>2</v>
      </c>
      <c r="B77" s="121" t="str">
        <f t="shared" si="35"/>
        <v>CÓRREGO AREIAS</v>
      </c>
      <c r="C77" s="122" t="str">
        <f t="shared" si="35"/>
        <v>21°48'55.89''S</v>
      </c>
      <c r="D77" s="121" t="str">
        <f t="shared" si="35"/>
        <v>54°32'36.89''W</v>
      </c>
      <c r="E77" s="142" t="str">
        <f t="shared" si="35"/>
        <v>Simples</v>
      </c>
      <c r="F77" s="122">
        <f t="shared" si="35"/>
        <v>4.4000000000000004</v>
      </c>
      <c r="G77" s="122">
        <f t="shared" si="35"/>
        <v>6</v>
      </c>
      <c r="H77" s="141">
        <v>0</v>
      </c>
      <c r="I77" s="141">
        <v>0</v>
      </c>
      <c r="J77" s="141">
        <v>0</v>
      </c>
      <c r="K77" s="141">
        <v>0</v>
      </c>
      <c r="L77" s="141">
        <v>0.5</v>
      </c>
      <c r="M77" s="141">
        <v>6</v>
      </c>
      <c r="N77" s="141">
        <v>0</v>
      </c>
      <c r="O77" s="141">
        <f t="shared" ref="O77:O101" si="36">M77</f>
        <v>6</v>
      </c>
      <c r="P77" s="141">
        <v>0.5</v>
      </c>
      <c r="Q77" s="141">
        <v>12</v>
      </c>
      <c r="R77" s="141">
        <v>0</v>
      </c>
      <c r="S77" s="331">
        <f t="shared" ref="S77:S101" si="37">Q77</f>
        <v>12</v>
      </c>
    </row>
    <row r="78" spans="1:20" ht="12.95" customHeight="1" x14ac:dyDescent="0.2">
      <c r="A78" s="330">
        <f t="shared" si="35"/>
        <v>3</v>
      </c>
      <c r="B78" s="121" t="str">
        <f t="shared" si="35"/>
        <v>CÓRREGO ARARAS</v>
      </c>
      <c r="C78" s="122" t="str">
        <f t="shared" si="35"/>
        <v>21°47'42.63''S</v>
      </c>
      <c r="D78" s="121" t="str">
        <f t="shared" si="35"/>
        <v>54°31'56.42''W</v>
      </c>
      <c r="E78" s="142" t="str">
        <f t="shared" si="35"/>
        <v>Simples</v>
      </c>
      <c r="F78" s="122">
        <f t="shared" si="35"/>
        <v>4.8</v>
      </c>
      <c r="G78" s="122">
        <f t="shared" si="35"/>
        <v>12</v>
      </c>
      <c r="H78" s="141">
        <v>0</v>
      </c>
      <c r="I78" s="141">
        <v>0</v>
      </c>
      <c r="J78" s="141">
        <v>0</v>
      </c>
      <c r="K78" s="141">
        <v>0</v>
      </c>
      <c r="L78" s="141">
        <v>0.5</v>
      </c>
      <c r="M78" s="141">
        <v>12</v>
      </c>
      <c r="N78" s="141">
        <v>0</v>
      </c>
      <c r="O78" s="141">
        <f t="shared" si="36"/>
        <v>12</v>
      </c>
      <c r="P78" s="141">
        <v>0.5</v>
      </c>
      <c r="Q78" s="141">
        <v>24</v>
      </c>
      <c r="R78" s="141">
        <v>0</v>
      </c>
      <c r="S78" s="331">
        <f t="shared" si="37"/>
        <v>24</v>
      </c>
    </row>
    <row r="79" spans="1:20" ht="12.95" customHeight="1" x14ac:dyDescent="0.2">
      <c r="A79" s="330">
        <f t="shared" si="35"/>
        <v>4</v>
      </c>
      <c r="B79" s="121" t="str">
        <f t="shared" si="35"/>
        <v>CÓRREGO FORMIGA</v>
      </c>
      <c r="C79" s="122" t="str">
        <f t="shared" si="35"/>
        <v>21°39'27.48''S</v>
      </c>
      <c r="D79" s="121" t="str">
        <f t="shared" si="35"/>
        <v>54°25'31.76''W</v>
      </c>
      <c r="E79" s="142" t="str">
        <f t="shared" si="35"/>
        <v>Simples</v>
      </c>
      <c r="F79" s="122">
        <f t="shared" si="35"/>
        <v>4.4000000000000004</v>
      </c>
      <c r="G79" s="122">
        <f t="shared" si="35"/>
        <v>13.2</v>
      </c>
      <c r="H79" s="141">
        <v>0</v>
      </c>
      <c r="I79" s="141">
        <v>0</v>
      </c>
      <c r="J79" s="141">
        <v>0</v>
      </c>
      <c r="K79" s="141">
        <v>0</v>
      </c>
      <c r="L79" s="141">
        <v>0.5</v>
      </c>
      <c r="M79" s="141">
        <v>12</v>
      </c>
      <c r="N79" s="141">
        <v>0</v>
      </c>
      <c r="O79" s="141">
        <f t="shared" si="36"/>
        <v>12</v>
      </c>
      <c r="P79" s="141">
        <v>0.5</v>
      </c>
      <c r="Q79" s="141">
        <v>24</v>
      </c>
      <c r="R79" s="141">
        <v>0</v>
      </c>
      <c r="S79" s="331">
        <f t="shared" si="37"/>
        <v>24</v>
      </c>
    </row>
    <row r="80" spans="1:20" ht="12.95" customHeight="1" x14ac:dyDescent="0.2">
      <c r="A80" s="330">
        <f t="shared" si="35"/>
        <v>5</v>
      </c>
      <c r="B80" s="121" t="str">
        <f t="shared" si="35"/>
        <v>CÓRREGO ANTINHA</v>
      </c>
      <c r="C80" s="122" t="str">
        <f t="shared" si="35"/>
        <v>21°38'42.22''S</v>
      </c>
      <c r="D80" s="121" t="str">
        <f t="shared" si="35"/>
        <v>54°27'12.82''W</v>
      </c>
      <c r="E80" s="142" t="str">
        <f t="shared" si="35"/>
        <v>Simples</v>
      </c>
      <c r="F80" s="122">
        <f t="shared" si="35"/>
        <v>4.4000000000000004</v>
      </c>
      <c r="G80" s="122">
        <f t="shared" si="35"/>
        <v>7.2</v>
      </c>
      <c r="H80" s="141">
        <v>0</v>
      </c>
      <c r="I80" s="141">
        <v>0</v>
      </c>
      <c r="J80" s="141">
        <v>0</v>
      </c>
      <c r="K80" s="141">
        <v>0</v>
      </c>
      <c r="L80" s="141">
        <v>0.5</v>
      </c>
      <c r="M80" s="141">
        <v>6</v>
      </c>
      <c r="N80" s="141">
        <v>0</v>
      </c>
      <c r="O80" s="141">
        <f t="shared" si="36"/>
        <v>6</v>
      </c>
      <c r="P80" s="141">
        <v>0.5</v>
      </c>
      <c r="Q80" s="141">
        <v>12</v>
      </c>
      <c r="R80" s="141">
        <v>0</v>
      </c>
      <c r="S80" s="331">
        <f t="shared" si="37"/>
        <v>12</v>
      </c>
    </row>
    <row r="81" spans="1:19" ht="12.95" customHeight="1" x14ac:dyDescent="0.2">
      <c r="A81" s="330">
        <f t="shared" si="35"/>
        <v>6</v>
      </c>
      <c r="B81" s="121" t="str">
        <f t="shared" si="35"/>
        <v>CÓRREGO FORMIGA</v>
      </c>
      <c r="C81" s="122" t="str">
        <f t="shared" si="35"/>
        <v>21°38'56.23''S</v>
      </c>
      <c r="D81" s="121" t="str">
        <f t="shared" si="35"/>
        <v>54°25'01.82''W</v>
      </c>
      <c r="E81" s="142" t="str">
        <f t="shared" si="35"/>
        <v>Simples</v>
      </c>
      <c r="F81" s="122">
        <f t="shared" si="35"/>
        <v>4.4000000000000004</v>
      </c>
      <c r="G81" s="122">
        <f t="shared" si="35"/>
        <v>12</v>
      </c>
      <c r="H81" s="141">
        <v>0</v>
      </c>
      <c r="I81" s="141">
        <v>0</v>
      </c>
      <c r="J81" s="141">
        <v>0</v>
      </c>
      <c r="K81" s="141">
        <v>0</v>
      </c>
      <c r="L81" s="141">
        <v>0.5</v>
      </c>
      <c r="M81" s="141">
        <v>12</v>
      </c>
      <c r="N81" s="141">
        <v>0</v>
      </c>
      <c r="O81" s="141">
        <f t="shared" si="36"/>
        <v>12</v>
      </c>
      <c r="P81" s="141">
        <v>0.5</v>
      </c>
      <c r="Q81" s="141">
        <v>24</v>
      </c>
      <c r="R81" s="141">
        <v>0</v>
      </c>
      <c r="S81" s="331">
        <f t="shared" si="37"/>
        <v>24</v>
      </c>
    </row>
    <row r="82" spans="1:19" ht="12.95" customHeight="1" x14ac:dyDescent="0.2">
      <c r="A82" s="330">
        <f t="shared" si="35"/>
        <v>7</v>
      </c>
      <c r="B82" s="121" t="str">
        <f t="shared" si="35"/>
        <v>CÓRREGO QUILOMBO</v>
      </c>
      <c r="C82" s="122" t="str">
        <f t="shared" si="35"/>
        <v>21°42'14.33''S</v>
      </c>
      <c r="D82" s="121" t="str">
        <f t="shared" si="35"/>
        <v>54°20'39.58''W</v>
      </c>
      <c r="E82" s="142" t="str">
        <f t="shared" si="35"/>
        <v>Simples</v>
      </c>
      <c r="F82" s="122">
        <f t="shared" si="35"/>
        <v>4.4000000000000004</v>
      </c>
      <c r="G82" s="122">
        <f t="shared" si="35"/>
        <v>6.8</v>
      </c>
      <c r="H82" s="141">
        <v>0</v>
      </c>
      <c r="I82" s="141">
        <v>0</v>
      </c>
      <c r="J82" s="141">
        <v>0</v>
      </c>
      <c r="K82" s="141">
        <v>0</v>
      </c>
      <c r="L82" s="141">
        <v>0.5</v>
      </c>
      <c r="M82" s="141">
        <v>6</v>
      </c>
      <c r="N82" s="141">
        <v>0</v>
      </c>
      <c r="O82" s="141">
        <f t="shared" si="36"/>
        <v>6</v>
      </c>
      <c r="P82" s="141">
        <v>0.5</v>
      </c>
      <c r="Q82" s="141">
        <v>12</v>
      </c>
      <c r="R82" s="141">
        <v>0</v>
      </c>
      <c r="S82" s="331">
        <f t="shared" si="37"/>
        <v>12</v>
      </c>
    </row>
    <row r="83" spans="1:19" ht="12.95" customHeight="1" x14ac:dyDescent="0.2">
      <c r="A83" s="330">
        <f t="shared" si="35"/>
        <v>8</v>
      </c>
      <c r="B83" s="121" t="str">
        <f t="shared" si="35"/>
        <v>ARROIO CORREGUINHO</v>
      </c>
      <c r="C83" s="122" t="str">
        <f t="shared" si="35"/>
        <v>21°42'39.87''S</v>
      </c>
      <c r="D83" s="121" t="str">
        <f t="shared" si="35"/>
        <v>54°18'52.81''W</v>
      </c>
      <c r="E83" s="142" t="str">
        <f t="shared" si="35"/>
        <v>Simples</v>
      </c>
      <c r="F83" s="122">
        <f t="shared" si="35"/>
        <v>4.4000000000000004</v>
      </c>
      <c r="G83" s="122">
        <f t="shared" si="35"/>
        <v>5.8</v>
      </c>
      <c r="H83" s="141">
        <v>0</v>
      </c>
      <c r="I83" s="141">
        <v>0</v>
      </c>
      <c r="J83" s="141">
        <v>0</v>
      </c>
      <c r="K83" s="141">
        <v>0</v>
      </c>
      <c r="L83" s="141">
        <v>0.5</v>
      </c>
      <c r="M83" s="141">
        <v>6</v>
      </c>
      <c r="N83" s="141">
        <v>0</v>
      </c>
      <c r="O83" s="141">
        <f t="shared" si="36"/>
        <v>6</v>
      </c>
      <c r="P83" s="141">
        <v>0.5</v>
      </c>
      <c r="Q83" s="141">
        <v>12</v>
      </c>
      <c r="R83" s="141">
        <v>0</v>
      </c>
      <c r="S83" s="331">
        <f t="shared" si="37"/>
        <v>12</v>
      </c>
    </row>
    <row r="84" spans="1:19" ht="12.95" customHeight="1" x14ac:dyDescent="0.2">
      <c r="A84" s="330">
        <f t="shared" si="35"/>
        <v>9</v>
      </c>
      <c r="B84" s="121" t="str">
        <f t="shared" si="35"/>
        <v>CÓRREGO GUATAMBU</v>
      </c>
      <c r="C84" s="122" t="str">
        <f t="shared" si="35"/>
        <v>21°43'17.70"S</v>
      </c>
      <c r="D84" s="121" t="str">
        <f t="shared" si="35"/>
        <v>54°16'36.10"W</v>
      </c>
      <c r="E84" s="142" t="str">
        <f t="shared" si="35"/>
        <v>Simples</v>
      </c>
      <c r="F84" s="122">
        <f t="shared" si="35"/>
        <v>4.4000000000000004</v>
      </c>
      <c r="G84" s="122">
        <f t="shared" si="35"/>
        <v>10.6</v>
      </c>
      <c r="H84" s="141">
        <v>0</v>
      </c>
      <c r="I84" s="141">
        <v>0</v>
      </c>
      <c r="J84" s="141">
        <v>0</v>
      </c>
      <c r="K84" s="141">
        <v>0</v>
      </c>
      <c r="L84" s="141">
        <v>0.5</v>
      </c>
      <c r="M84" s="141">
        <v>12</v>
      </c>
      <c r="N84" s="141">
        <v>0</v>
      </c>
      <c r="O84" s="141">
        <f t="shared" si="36"/>
        <v>12</v>
      </c>
      <c r="P84" s="141">
        <v>0.5</v>
      </c>
      <c r="Q84" s="141">
        <v>24</v>
      </c>
      <c r="R84" s="141">
        <v>0</v>
      </c>
      <c r="S84" s="331">
        <f t="shared" si="37"/>
        <v>24</v>
      </c>
    </row>
    <row r="85" spans="1:19" ht="12.95" customHeight="1" x14ac:dyDescent="0.2">
      <c r="A85" s="330">
        <f t="shared" si="35"/>
        <v>10</v>
      </c>
      <c r="B85" s="121" t="str">
        <f t="shared" si="35"/>
        <v>CÓRREGO QUILOMBO</v>
      </c>
      <c r="C85" s="122" t="str">
        <f t="shared" si="35"/>
        <v>21°42'51.11''S</v>
      </c>
      <c r="D85" s="121" t="str">
        <f t="shared" si="35"/>
        <v>54°16'52.81''W</v>
      </c>
      <c r="E85" s="142" t="str">
        <f t="shared" si="35"/>
        <v>Simples</v>
      </c>
      <c r="F85" s="122">
        <f t="shared" si="35"/>
        <v>4.4000000000000004</v>
      </c>
      <c r="G85" s="122">
        <f t="shared" si="35"/>
        <v>5.8</v>
      </c>
      <c r="H85" s="141">
        <v>0</v>
      </c>
      <c r="I85" s="141">
        <v>0</v>
      </c>
      <c r="J85" s="141">
        <v>0</v>
      </c>
      <c r="K85" s="141">
        <v>0</v>
      </c>
      <c r="L85" s="141">
        <v>0.5</v>
      </c>
      <c r="M85" s="141">
        <v>6</v>
      </c>
      <c r="N85" s="141">
        <v>0</v>
      </c>
      <c r="O85" s="141">
        <f t="shared" si="36"/>
        <v>6</v>
      </c>
      <c r="P85" s="141">
        <v>0.5</v>
      </c>
      <c r="Q85" s="141">
        <v>12</v>
      </c>
      <c r="R85" s="141">
        <v>0</v>
      </c>
      <c r="S85" s="331">
        <f t="shared" si="37"/>
        <v>12</v>
      </c>
    </row>
    <row r="86" spans="1:19" ht="12.95" customHeight="1" x14ac:dyDescent="0.2">
      <c r="A86" s="330">
        <f t="shared" ref="A86:G95" si="38">A20</f>
        <v>11</v>
      </c>
      <c r="B86" s="121" t="str">
        <f t="shared" si="38"/>
        <v>CÓRREGO SAPÉ</v>
      </c>
      <c r="C86" s="122" t="str">
        <f t="shared" si="38"/>
        <v>21°44'57.50"S</v>
      </c>
      <c r="D86" s="121" t="str">
        <f t="shared" si="38"/>
        <v>54°18'00.40"W</v>
      </c>
      <c r="E86" s="142" t="str">
        <f t="shared" si="38"/>
        <v>Simples</v>
      </c>
      <c r="F86" s="122">
        <f t="shared" si="38"/>
        <v>4.4000000000000004</v>
      </c>
      <c r="G86" s="122">
        <f t="shared" si="38"/>
        <v>10.8</v>
      </c>
      <c r="H86" s="141">
        <v>0</v>
      </c>
      <c r="I86" s="141">
        <v>0</v>
      </c>
      <c r="J86" s="141">
        <v>0</v>
      </c>
      <c r="K86" s="141">
        <v>0</v>
      </c>
      <c r="L86" s="141">
        <v>0.5</v>
      </c>
      <c r="M86" s="141">
        <v>12</v>
      </c>
      <c r="N86" s="141">
        <v>0</v>
      </c>
      <c r="O86" s="141">
        <f t="shared" si="36"/>
        <v>12</v>
      </c>
      <c r="P86" s="141">
        <v>0.5</v>
      </c>
      <c r="Q86" s="141">
        <v>24</v>
      </c>
      <c r="R86" s="141">
        <v>0</v>
      </c>
      <c r="S86" s="331">
        <f t="shared" si="37"/>
        <v>24</v>
      </c>
    </row>
    <row r="87" spans="1:19" ht="12.95" customHeight="1" x14ac:dyDescent="0.2">
      <c r="A87" s="330">
        <f t="shared" si="38"/>
        <v>12</v>
      </c>
      <c r="B87" s="121" t="str">
        <f t="shared" si="38"/>
        <v>CÓRREGO JUREMA</v>
      </c>
      <c r="C87" s="122" t="str">
        <f t="shared" si="38"/>
        <v>21°47'02.84''S</v>
      </c>
      <c r="D87" s="121" t="str">
        <f t="shared" si="38"/>
        <v>54°14'35.61''W</v>
      </c>
      <c r="E87" s="142" t="str">
        <f t="shared" si="38"/>
        <v>Simples</v>
      </c>
      <c r="F87" s="122">
        <f t="shared" si="38"/>
        <v>4.4000000000000004</v>
      </c>
      <c r="G87" s="122">
        <f t="shared" si="38"/>
        <v>7.1</v>
      </c>
      <c r="H87" s="141">
        <v>0</v>
      </c>
      <c r="I87" s="141">
        <v>0</v>
      </c>
      <c r="J87" s="141">
        <v>0</v>
      </c>
      <c r="K87" s="141">
        <v>0</v>
      </c>
      <c r="L87" s="141">
        <v>0.5</v>
      </c>
      <c r="M87" s="141">
        <v>6</v>
      </c>
      <c r="N87" s="141">
        <v>0</v>
      </c>
      <c r="O87" s="141">
        <f t="shared" si="36"/>
        <v>6</v>
      </c>
      <c r="P87" s="141">
        <v>0.5</v>
      </c>
      <c r="Q87" s="141">
        <v>12</v>
      </c>
      <c r="R87" s="141">
        <v>0</v>
      </c>
      <c r="S87" s="331">
        <f t="shared" si="37"/>
        <v>12</v>
      </c>
    </row>
    <row r="88" spans="1:19" ht="12.95" customHeight="1" x14ac:dyDescent="0.2">
      <c r="A88" s="330">
        <f t="shared" si="38"/>
        <v>13</v>
      </c>
      <c r="B88" s="121" t="str">
        <f t="shared" si="38"/>
        <v>CÓRREGO ARACI</v>
      </c>
      <c r="C88" s="122" t="str">
        <f t="shared" si="38"/>
        <v>21°45'04.33''S</v>
      </c>
      <c r="D88" s="121" t="str">
        <f t="shared" si="38"/>
        <v>54°12'41.25''W</v>
      </c>
      <c r="E88" s="142" t="str">
        <f t="shared" si="38"/>
        <v>Simples</v>
      </c>
      <c r="F88" s="122">
        <f t="shared" si="38"/>
        <v>4.4000000000000004</v>
      </c>
      <c r="G88" s="122">
        <f t="shared" si="38"/>
        <v>6.4</v>
      </c>
      <c r="H88" s="141">
        <v>0</v>
      </c>
      <c r="I88" s="141">
        <v>0</v>
      </c>
      <c r="J88" s="141">
        <v>0</v>
      </c>
      <c r="K88" s="141">
        <v>0</v>
      </c>
      <c r="L88" s="141">
        <v>0.5</v>
      </c>
      <c r="M88" s="141">
        <v>6</v>
      </c>
      <c r="N88" s="141">
        <v>0</v>
      </c>
      <c r="O88" s="141">
        <f t="shared" si="36"/>
        <v>6</v>
      </c>
      <c r="P88" s="141">
        <v>0.5</v>
      </c>
      <c r="Q88" s="141">
        <v>12</v>
      </c>
      <c r="R88" s="141">
        <v>0</v>
      </c>
      <c r="S88" s="331">
        <f t="shared" si="37"/>
        <v>12</v>
      </c>
    </row>
    <row r="89" spans="1:19" ht="12.95" customHeight="1" x14ac:dyDescent="0.2">
      <c r="A89" s="330">
        <f t="shared" si="38"/>
        <v>14</v>
      </c>
      <c r="B89" s="121" t="str">
        <f t="shared" si="38"/>
        <v>CÓRREGO ANHUMAS</v>
      </c>
      <c r="C89" s="122" t="str">
        <f t="shared" si="38"/>
        <v>21°51'40.49''S</v>
      </c>
      <c r="D89" s="121" t="str">
        <f t="shared" si="38"/>
        <v>54°08'14.26''W</v>
      </c>
      <c r="E89" s="142" t="str">
        <f t="shared" si="38"/>
        <v>Simples</v>
      </c>
      <c r="F89" s="122">
        <f t="shared" si="38"/>
        <v>4.4000000000000004</v>
      </c>
      <c r="G89" s="122">
        <f t="shared" si="38"/>
        <v>11.8</v>
      </c>
      <c r="H89" s="141">
        <v>0</v>
      </c>
      <c r="I89" s="141">
        <v>0</v>
      </c>
      <c r="J89" s="141">
        <v>0</v>
      </c>
      <c r="K89" s="141">
        <v>0</v>
      </c>
      <c r="L89" s="141">
        <v>0.5</v>
      </c>
      <c r="M89" s="141">
        <v>12</v>
      </c>
      <c r="N89" s="141">
        <v>0</v>
      </c>
      <c r="O89" s="141">
        <f t="shared" si="36"/>
        <v>12</v>
      </c>
      <c r="P89" s="141">
        <v>0.5</v>
      </c>
      <c r="Q89" s="141">
        <v>24</v>
      </c>
      <c r="R89" s="141">
        <v>0</v>
      </c>
      <c r="S89" s="331">
        <f t="shared" si="37"/>
        <v>24</v>
      </c>
    </row>
    <row r="90" spans="1:19" ht="12.95" customHeight="1" x14ac:dyDescent="0.2">
      <c r="A90" s="330">
        <f t="shared" si="38"/>
        <v>15</v>
      </c>
      <c r="B90" s="121" t="str">
        <f t="shared" si="38"/>
        <v>CÓRREGO CHIFRE DO VIADO</v>
      </c>
      <c r="C90" s="122" t="str">
        <f t="shared" si="38"/>
        <v>21°40'35.65''S</v>
      </c>
      <c r="D90" s="121" t="str">
        <f t="shared" si="38"/>
        <v>54°56'15.44''W</v>
      </c>
      <c r="E90" s="142" t="str">
        <f t="shared" si="38"/>
        <v>Simples</v>
      </c>
      <c r="F90" s="122">
        <f t="shared" si="38"/>
        <v>5</v>
      </c>
      <c r="G90" s="122">
        <f t="shared" si="38"/>
        <v>12</v>
      </c>
      <c r="H90" s="141">
        <v>0</v>
      </c>
      <c r="I90" s="141">
        <v>0</v>
      </c>
      <c r="J90" s="141">
        <v>0</v>
      </c>
      <c r="K90" s="141">
        <v>0</v>
      </c>
      <c r="L90" s="141">
        <v>0.5</v>
      </c>
      <c r="M90" s="141">
        <v>12</v>
      </c>
      <c r="N90" s="141">
        <v>0</v>
      </c>
      <c r="O90" s="141">
        <f t="shared" si="36"/>
        <v>12</v>
      </c>
      <c r="P90" s="141">
        <v>0.5</v>
      </c>
      <c r="Q90" s="141">
        <v>24</v>
      </c>
      <c r="R90" s="141">
        <v>0</v>
      </c>
      <c r="S90" s="331">
        <f t="shared" si="37"/>
        <v>24</v>
      </c>
    </row>
    <row r="91" spans="1:19" ht="12.95" customHeight="1" x14ac:dyDescent="0.2">
      <c r="A91" s="330">
        <f t="shared" si="38"/>
        <v>16</v>
      </c>
      <c r="B91" s="121" t="str">
        <f t="shared" si="38"/>
        <v>CÓRREGO SANTA RITA</v>
      </c>
      <c r="C91" s="122" t="str">
        <f t="shared" si="38"/>
        <v>21°33'23.75''S</v>
      </c>
      <c r="D91" s="121" t="str">
        <f t="shared" si="38"/>
        <v>54°35'26.66''W</v>
      </c>
      <c r="E91" s="142" t="str">
        <f t="shared" si="38"/>
        <v>Simples</v>
      </c>
      <c r="F91" s="122">
        <f t="shared" si="38"/>
        <v>4.4000000000000004</v>
      </c>
      <c r="G91" s="122">
        <f t="shared" si="38"/>
        <v>22.1</v>
      </c>
      <c r="H91" s="141">
        <v>0</v>
      </c>
      <c r="I91" s="141">
        <v>0</v>
      </c>
      <c r="J91" s="141">
        <v>0</v>
      </c>
      <c r="K91" s="141">
        <v>0</v>
      </c>
      <c r="L91" s="141">
        <v>0.5</v>
      </c>
      <c r="M91" s="141">
        <v>24</v>
      </c>
      <c r="N91" s="141">
        <v>0</v>
      </c>
      <c r="O91" s="141">
        <f t="shared" si="36"/>
        <v>24</v>
      </c>
      <c r="P91" s="141">
        <v>0.5</v>
      </c>
      <c r="Q91" s="141">
        <v>48</v>
      </c>
      <c r="R91" s="141">
        <v>0</v>
      </c>
      <c r="S91" s="331">
        <f t="shared" si="37"/>
        <v>48</v>
      </c>
    </row>
    <row r="92" spans="1:19" ht="12.95" customHeight="1" x14ac:dyDescent="0.2">
      <c r="A92" s="330">
        <f t="shared" si="38"/>
        <v>17</v>
      </c>
      <c r="B92" s="121" t="str">
        <f t="shared" si="38"/>
        <v>RIO SERROTE</v>
      </c>
      <c r="C92" s="122" t="str">
        <f t="shared" si="38"/>
        <v>21°25'01.14''S</v>
      </c>
      <c r="D92" s="121" t="str">
        <f t="shared" si="38"/>
        <v>54°43'16.96''W</v>
      </c>
      <c r="E92" s="142" t="str">
        <f t="shared" si="38"/>
        <v>Simples</v>
      </c>
      <c r="F92" s="122">
        <f t="shared" si="38"/>
        <v>4.4000000000000004</v>
      </c>
      <c r="G92" s="122">
        <f t="shared" si="38"/>
        <v>24.6</v>
      </c>
      <c r="H92" s="141">
        <v>0</v>
      </c>
      <c r="I92" s="141">
        <v>0</v>
      </c>
      <c r="J92" s="141">
        <v>0</v>
      </c>
      <c r="K92" s="141">
        <v>0</v>
      </c>
      <c r="L92" s="141">
        <v>0.5</v>
      </c>
      <c r="M92" s="141">
        <v>24</v>
      </c>
      <c r="N92" s="141">
        <v>0</v>
      </c>
      <c r="O92" s="141">
        <f t="shared" si="36"/>
        <v>24</v>
      </c>
      <c r="P92" s="141">
        <v>0.5</v>
      </c>
      <c r="Q92" s="141">
        <v>48</v>
      </c>
      <c r="R92" s="141">
        <v>0</v>
      </c>
      <c r="S92" s="331">
        <f t="shared" si="37"/>
        <v>48</v>
      </c>
    </row>
    <row r="93" spans="1:19" ht="12.95" customHeight="1" x14ac:dyDescent="0.2">
      <c r="A93" s="330">
        <f t="shared" si="38"/>
        <v>18</v>
      </c>
      <c r="B93" s="121" t="str">
        <f t="shared" si="38"/>
        <v>CÓRREGO PASSATEMPO 1</v>
      </c>
      <c r="C93" s="122" t="str">
        <f t="shared" si="38"/>
        <v>21°29'34.92''S</v>
      </c>
      <c r="D93" s="121" t="str">
        <f t="shared" si="38"/>
        <v>54°49'18.44''W</v>
      </c>
      <c r="E93" s="142" t="str">
        <f t="shared" si="38"/>
        <v>Simples</v>
      </c>
      <c r="F93" s="122">
        <f t="shared" si="38"/>
        <v>4.4000000000000004</v>
      </c>
      <c r="G93" s="122">
        <f t="shared" si="38"/>
        <v>16.399999999999999</v>
      </c>
      <c r="H93" s="141">
        <v>0</v>
      </c>
      <c r="I93" s="141">
        <v>0</v>
      </c>
      <c r="J93" s="141">
        <v>0</v>
      </c>
      <c r="K93" s="141">
        <v>0</v>
      </c>
      <c r="L93" s="141">
        <v>0.5</v>
      </c>
      <c r="M93" s="141">
        <v>18</v>
      </c>
      <c r="N93" s="141">
        <v>0</v>
      </c>
      <c r="O93" s="141">
        <f t="shared" si="36"/>
        <v>18</v>
      </c>
      <c r="P93" s="141">
        <v>0.5</v>
      </c>
      <c r="Q93" s="141">
        <v>36</v>
      </c>
      <c r="R93" s="141">
        <v>0</v>
      </c>
      <c r="S93" s="331">
        <f t="shared" si="37"/>
        <v>36</v>
      </c>
    </row>
    <row r="94" spans="1:19" ht="12.95" customHeight="1" x14ac:dyDescent="0.2">
      <c r="A94" s="330">
        <f t="shared" si="38"/>
        <v>19</v>
      </c>
      <c r="B94" s="121" t="str">
        <f t="shared" si="38"/>
        <v>CÓRREGO PASSATEMPO 2</v>
      </c>
      <c r="C94" s="122" t="str">
        <f t="shared" si="38"/>
        <v>21°29'33.39''S</v>
      </c>
      <c r="D94" s="121" t="str">
        <f t="shared" si="38"/>
        <v>54°49'17.44''W</v>
      </c>
      <c r="E94" s="142" t="str">
        <f t="shared" si="38"/>
        <v>Simples</v>
      </c>
      <c r="F94" s="122">
        <f t="shared" si="38"/>
        <v>4.4000000000000004</v>
      </c>
      <c r="G94" s="122">
        <f t="shared" si="38"/>
        <v>19.600000000000001</v>
      </c>
      <c r="H94" s="141">
        <v>0</v>
      </c>
      <c r="I94" s="141">
        <v>0</v>
      </c>
      <c r="J94" s="141">
        <v>0</v>
      </c>
      <c r="K94" s="141">
        <v>0</v>
      </c>
      <c r="L94" s="141">
        <v>0.5</v>
      </c>
      <c r="M94" s="141">
        <v>18</v>
      </c>
      <c r="N94" s="141">
        <v>0</v>
      </c>
      <c r="O94" s="141">
        <f t="shared" si="36"/>
        <v>18</v>
      </c>
      <c r="P94" s="141">
        <v>0.5</v>
      </c>
      <c r="Q94" s="141">
        <v>36</v>
      </c>
      <c r="R94" s="141">
        <v>0</v>
      </c>
      <c r="S94" s="331">
        <f t="shared" si="37"/>
        <v>36</v>
      </c>
    </row>
    <row r="95" spans="1:19" ht="12.95" customHeight="1" x14ac:dyDescent="0.2">
      <c r="A95" s="330">
        <f t="shared" si="38"/>
        <v>20</v>
      </c>
      <c r="B95" s="121" t="str">
        <f t="shared" si="38"/>
        <v>CÓRREGO PASSATEMPO 3</v>
      </c>
      <c r="C95" s="122" t="str">
        <f t="shared" si="38"/>
        <v>21°28'09.42''S</v>
      </c>
      <c r="D95" s="121" t="str">
        <f t="shared" si="38"/>
        <v>54°48'01.11''W</v>
      </c>
      <c r="E95" s="142" t="str">
        <f t="shared" si="38"/>
        <v>Simples</v>
      </c>
      <c r="F95" s="122">
        <f t="shared" si="38"/>
        <v>5</v>
      </c>
      <c r="G95" s="122">
        <f t="shared" si="38"/>
        <v>6</v>
      </c>
      <c r="H95" s="141">
        <v>0</v>
      </c>
      <c r="I95" s="141">
        <v>0</v>
      </c>
      <c r="J95" s="141">
        <v>0</v>
      </c>
      <c r="K95" s="141">
        <v>0</v>
      </c>
      <c r="L95" s="141">
        <v>0.5</v>
      </c>
      <c r="M95" s="141">
        <v>6</v>
      </c>
      <c r="N95" s="141">
        <v>0</v>
      </c>
      <c r="O95" s="141">
        <f t="shared" si="36"/>
        <v>6</v>
      </c>
      <c r="P95" s="141">
        <v>0.5</v>
      </c>
      <c r="Q95" s="141">
        <v>12</v>
      </c>
      <c r="R95" s="141">
        <v>0</v>
      </c>
      <c r="S95" s="331">
        <f t="shared" si="37"/>
        <v>12</v>
      </c>
    </row>
    <row r="96" spans="1:19" ht="12.95" customHeight="1" x14ac:dyDescent="0.2">
      <c r="A96" s="330">
        <f t="shared" ref="A96:G101" si="39">A30</f>
        <v>21</v>
      </c>
      <c r="B96" s="121" t="str">
        <f t="shared" si="39"/>
        <v>CÓRREGO TAQUARA</v>
      </c>
      <c r="C96" s="122" t="str">
        <f t="shared" si="39"/>
        <v>21°21'07.90''S</v>
      </c>
      <c r="D96" s="121" t="str">
        <f t="shared" si="39"/>
        <v>54°50'07.01''W</v>
      </c>
      <c r="E96" s="142" t="str">
        <f t="shared" si="39"/>
        <v>Simples</v>
      </c>
      <c r="F96" s="122">
        <f t="shared" si="39"/>
        <v>4.8</v>
      </c>
      <c r="G96" s="122">
        <f t="shared" si="39"/>
        <v>24</v>
      </c>
      <c r="H96" s="141">
        <v>0</v>
      </c>
      <c r="I96" s="141">
        <v>0</v>
      </c>
      <c r="J96" s="141">
        <v>0</v>
      </c>
      <c r="K96" s="141">
        <v>0</v>
      </c>
      <c r="L96" s="141">
        <v>0.5</v>
      </c>
      <c r="M96" s="141">
        <v>24</v>
      </c>
      <c r="N96" s="141">
        <v>0</v>
      </c>
      <c r="O96" s="141">
        <f t="shared" si="36"/>
        <v>24</v>
      </c>
      <c r="P96" s="141">
        <v>0.5</v>
      </c>
      <c r="Q96" s="141">
        <v>48</v>
      </c>
      <c r="R96" s="141">
        <v>0</v>
      </c>
      <c r="S96" s="331">
        <f t="shared" si="37"/>
        <v>48</v>
      </c>
    </row>
    <row r="97" spans="1:19" ht="12.95" customHeight="1" x14ac:dyDescent="0.2">
      <c r="A97" s="330">
        <f t="shared" si="39"/>
        <v>22</v>
      </c>
      <c r="B97" s="121" t="str">
        <f t="shared" si="39"/>
        <v>CÓRREGO PASSATEMPO 4</v>
      </c>
      <c r="C97" s="122" t="str">
        <f t="shared" si="39"/>
        <v>21°29'23.36''S</v>
      </c>
      <c r="D97" s="121" t="str">
        <f t="shared" si="39"/>
        <v>54°52'56.83''W</v>
      </c>
      <c r="E97" s="142" t="str">
        <f t="shared" si="39"/>
        <v>Simples</v>
      </c>
      <c r="F97" s="122">
        <f t="shared" si="39"/>
        <v>4.4000000000000004</v>
      </c>
      <c r="G97" s="122">
        <f t="shared" si="39"/>
        <v>14.3</v>
      </c>
      <c r="H97" s="141">
        <v>0</v>
      </c>
      <c r="I97" s="141">
        <v>0</v>
      </c>
      <c r="J97" s="141">
        <v>0</v>
      </c>
      <c r="K97" s="141">
        <v>0</v>
      </c>
      <c r="L97" s="141">
        <v>0.5</v>
      </c>
      <c r="M97" s="141">
        <v>12</v>
      </c>
      <c r="N97" s="141">
        <v>0</v>
      </c>
      <c r="O97" s="141">
        <f t="shared" si="36"/>
        <v>12</v>
      </c>
      <c r="P97" s="141">
        <v>0.5</v>
      </c>
      <c r="Q97" s="141">
        <v>24</v>
      </c>
      <c r="R97" s="141">
        <v>0</v>
      </c>
      <c r="S97" s="331">
        <f t="shared" si="37"/>
        <v>24</v>
      </c>
    </row>
    <row r="98" spans="1:19" ht="12.95" customHeight="1" x14ac:dyDescent="0.2">
      <c r="A98" s="330">
        <f t="shared" si="39"/>
        <v>23</v>
      </c>
      <c r="B98" s="121" t="str">
        <f t="shared" si="39"/>
        <v>CÓRREGO DO COQUEIRO</v>
      </c>
      <c r="C98" s="122" t="str">
        <f t="shared" si="39"/>
        <v>21°30'51.74''S</v>
      </c>
      <c r="D98" s="121" t="str">
        <f t="shared" si="39"/>
        <v>54°52'00.30''W</v>
      </c>
      <c r="E98" s="142" t="str">
        <f t="shared" si="39"/>
        <v>Simples</v>
      </c>
      <c r="F98" s="122">
        <f t="shared" si="39"/>
        <v>4.4000000000000004</v>
      </c>
      <c r="G98" s="122">
        <f t="shared" si="39"/>
        <v>22.3</v>
      </c>
      <c r="H98" s="141">
        <v>0</v>
      </c>
      <c r="I98" s="141">
        <v>0</v>
      </c>
      <c r="J98" s="141">
        <v>0</v>
      </c>
      <c r="K98" s="141">
        <v>0</v>
      </c>
      <c r="L98" s="141">
        <v>0.5</v>
      </c>
      <c r="M98" s="141">
        <v>24</v>
      </c>
      <c r="N98" s="141">
        <v>0</v>
      </c>
      <c r="O98" s="141">
        <f t="shared" si="36"/>
        <v>24</v>
      </c>
      <c r="P98" s="141">
        <v>0.5</v>
      </c>
      <c r="Q98" s="141">
        <v>48</v>
      </c>
      <c r="R98" s="141">
        <v>0</v>
      </c>
      <c r="S98" s="331">
        <f t="shared" si="37"/>
        <v>48</v>
      </c>
    </row>
    <row r="99" spans="1:19" ht="12.95" customHeight="1" x14ac:dyDescent="0.2">
      <c r="A99" s="330">
        <f t="shared" si="39"/>
        <v>24</v>
      </c>
      <c r="B99" s="121" t="str">
        <f t="shared" si="39"/>
        <v>CÓRREGO CARRAPATO</v>
      </c>
      <c r="C99" s="122" t="str">
        <f t="shared" si="39"/>
        <v>21°32'42.64''S</v>
      </c>
      <c r="D99" s="121" t="str">
        <f t="shared" si="39"/>
        <v>55°00'59.87''W</v>
      </c>
      <c r="E99" s="142" t="str">
        <f t="shared" si="39"/>
        <v>Simples</v>
      </c>
      <c r="F99" s="122">
        <f t="shared" si="39"/>
        <v>4.4000000000000004</v>
      </c>
      <c r="G99" s="122">
        <f t="shared" si="39"/>
        <v>18</v>
      </c>
      <c r="H99" s="141">
        <v>0</v>
      </c>
      <c r="I99" s="141">
        <v>0</v>
      </c>
      <c r="J99" s="141">
        <v>0</v>
      </c>
      <c r="K99" s="141">
        <v>0</v>
      </c>
      <c r="L99" s="141">
        <v>0.5</v>
      </c>
      <c r="M99" s="141">
        <v>18</v>
      </c>
      <c r="N99" s="141">
        <v>0</v>
      </c>
      <c r="O99" s="141">
        <f t="shared" si="36"/>
        <v>18</v>
      </c>
      <c r="P99" s="141">
        <v>0.5</v>
      </c>
      <c r="Q99" s="141">
        <v>36</v>
      </c>
      <c r="R99" s="141">
        <v>0</v>
      </c>
      <c r="S99" s="331">
        <f t="shared" si="37"/>
        <v>36</v>
      </c>
    </row>
    <row r="100" spans="1:19" ht="13.5" customHeight="1" x14ac:dyDescent="0.2">
      <c r="A100" s="330">
        <f t="shared" si="39"/>
        <v>25</v>
      </c>
      <c r="B100" s="121" t="str">
        <f t="shared" si="39"/>
        <v>CÓRREGO BARRA MANSA</v>
      </c>
      <c r="C100" s="122" t="str">
        <f t="shared" si="39"/>
        <v>21°45'26.00"S</v>
      </c>
      <c r="D100" s="121" t="str">
        <f t="shared" si="39"/>
        <v>54°10'16.90"W</v>
      </c>
      <c r="E100" s="142" t="str">
        <f t="shared" si="39"/>
        <v>Simples</v>
      </c>
      <c r="F100" s="122">
        <f t="shared" si="39"/>
        <v>5</v>
      </c>
      <c r="G100" s="122">
        <f t="shared" si="39"/>
        <v>5.6</v>
      </c>
      <c r="H100" s="141">
        <v>0</v>
      </c>
      <c r="I100" s="141">
        <v>0</v>
      </c>
      <c r="J100" s="141">
        <v>0</v>
      </c>
      <c r="K100" s="141">
        <v>0</v>
      </c>
      <c r="L100" s="141">
        <v>0.5</v>
      </c>
      <c r="M100" s="141">
        <v>6</v>
      </c>
      <c r="N100" s="141">
        <v>0</v>
      </c>
      <c r="O100" s="141">
        <f t="shared" si="36"/>
        <v>6</v>
      </c>
      <c r="P100" s="141">
        <v>0.5</v>
      </c>
      <c r="Q100" s="141">
        <v>12</v>
      </c>
      <c r="R100" s="141">
        <v>0</v>
      </c>
      <c r="S100" s="331">
        <f t="shared" si="37"/>
        <v>12</v>
      </c>
    </row>
    <row r="101" spans="1:19" ht="12.95" customHeight="1" x14ac:dyDescent="0.2">
      <c r="A101" s="330">
        <f t="shared" si="39"/>
        <v>26</v>
      </c>
      <c r="B101" s="121" t="str">
        <f t="shared" si="39"/>
        <v>CÓRREGO PASSATEMPO 5</v>
      </c>
      <c r="C101" s="122" t="str">
        <f t="shared" si="39"/>
        <v>21°29'57.99''S</v>
      </c>
      <c r="D101" s="121" t="str">
        <f t="shared" si="39"/>
        <v>54°43'07.39''W</v>
      </c>
      <c r="E101" s="142" t="str">
        <f t="shared" si="39"/>
        <v>Simples</v>
      </c>
      <c r="F101" s="122">
        <f t="shared" si="39"/>
        <v>4.4000000000000004</v>
      </c>
      <c r="G101" s="122">
        <f t="shared" si="39"/>
        <v>22.3</v>
      </c>
      <c r="H101" s="141">
        <v>0</v>
      </c>
      <c r="I101" s="141">
        <v>0</v>
      </c>
      <c r="J101" s="141">
        <v>0</v>
      </c>
      <c r="K101" s="141">
        <v>0</v>
      </c>
      <c r="L101" s="141">
        <v>0.5</v>
      </c>
      <c r="M101" s="141">
        <v>24</v>
      </c>
      <c r="N101" s="141">
        <v>0</v>
      </c>
      <c r="O101" s="141">
        <f t="shared" si="36"/>
        <v>24</v>
      </c>
      <c r="P101" s="141">
        <v>0.5</v>
      </c>
      <c r="Q101" s="141">
        <v>48</v>
      </c>
      <c r="R101" s="141">
        <v>0</v>
      </c>
      <c r="S101" s="331">
        <f t="shared" si="37"/>
        <v>48</v>
      </c>
    </row>
    <row r="102" spans="1:19" ht="12.95" customHeight="1" x14ac:dyDescent="0.2">
      <c r="A102" s="330"/>
      <c r="B102" s="124"/>
      <c r="C102" s="124"/>
      <c r="D102" s="124"/>
      <c r="E102" s="141"/>
      <c r="F102" s="124"/>
      <c r="G102" s="124"/>
      <c r="H102" s="141"/>
      <c r="I102" s="125"/>
      <c r="J102" s="125"/>
      <c r="K102" s="125"/>
      <c r="L102" s="125"/>
      <c r="M102" s="125"/>
      <c r="N102" s="125"/>
      <c r="O102" s="141"/>
      <c r="P102" s="141"/>
      <c r="Q102" s="125"/>
      <c r="R102" s="125"/>
      <c r="S102" s="331"/>
    </row>
    <row r="103" spans="1:19" ht="12.95" customHeight="1" x14ac:dyDescent="0.2">
      <c r="A103" s="486" t="s">
        <v>185</v>
      </c>
      <c r="B103" s="462"/>
      <c r="C103" s="462"/>
      <c r="D103" s="462"/>
      <c r="E103" s="462"/>
      <c r="F103" s="462"/>
      <c r="G103" s="79">
        <f>TRUNC(SUM(G76:G102),3)</f>
        <v>335.7</v>
      </c>
      <c r="H103" s="79"/>
      <c r="I103" s="79">
        <v>0</v>
      </c>
      <c r="J103" s="79">
        <v>0</v>
      </c>
      <c r="K103" s="79">
        <v>0</v>
      </c>
      <c r="L103" s="79"/>
      <c r="M103" s="79">
        <f>SUM(M76:M102)</f>
        <v>336</v>
      </c>
      <c r="N103" s="79">
        <f t="shared" ref="N103:S103" si="40">SUM(N76:N102)</f>
        <v>0</v>
      </c>
      <c r="O103" s="79">
        <f t="shared" si="40"/>
        <v>336</v>
      </c>
      <c r="P103" s="79">
        <f t="shared" si="40"/>
        <v>13</v>
      </c>
      <c r="Q103" s="79">
        <f t="shared" si="40"/>
        <v>672</v>
      </c>
      <c r="R103" s="79">
        <f t="shared" si="40"/>
        <v>0</v>
      </c>
      <c r="S103" s="79">
        <f t="shared" si="40"/>
        <v>672</v>
      </c>
    </row>
    <row r="104" spans="1:19" s="68" customFormat="1" ht="12.95" customHeight="1" x14ac:dyDescent="0.25">
      <c r="A104" s="499"/>
      <c r="B104" s="500"/>
      <c r="C104" s="500"/>
      <c r="D104" s="500"/>
      <c r="E104" s="500"/>
      <c r="F104" s="500"/>
      <c r="G104" s="500"/>
      <c r="H104" s="500"/>
      <c r="I104" s="500"/>
      <c r="J104" s="500"/>
      <c r="K104" s="500"/>
      <c r="L104" s="500"/>
      <c r="M104" s="500"/>
      <c r="N104" s="500"/>
      <c r="O104" s="500"/>
      <c r="P104" s="500"/>
      <c r="Q104" s="500"/>
      <c r="R104" s="500"/>
      <c r="S104" s="501"/>
    </row>
    <row r="105" spans="1:19" ht="12.95" customHeight="1" x14ac:dyDescent="0.2">
      <c r="A105" s="476" t="s">
        <v>416</v>
      </c>
      <c r="B105" s="476"/>
      <c r="C105" s="476"/>
      <c r="D105" s="476"/>
      <c r="E105" s="476"/>
      <c r="F105" s="476"/>
      <c r="G105" s="476"/>
      <c r="H105" s="476"/>
      <c r="I105" s="476"/>
      <c r="J105" s="476"/>
      <c r="K105" s="476"/>
      <c r="L105" s="476"/>
      <c r="M105" s="476"/>
      <c r="N105" s="476"/>
      <c r="O105" s="476"/>
      <c r="P105" s="476"/>
      <c r="Q105" s="476"/>
      <c r="R105" s="476"/>
      <c r="S105" s="476"/>
    </row>
    <row r="106" spans="1:19" ht="12.95" customHeight="1" x14ac:dyDescent="0.2">
      <c r="A106" s="477" t="str">
        <f>$A$7</f>
        <v>MANUTENÇÃO E CONSERVAÇÃO DAS PONTES DE MADEIRA</v>
      </c>
      <c r="B106" s="477"/>
      <c r="C106" s="477"/>
      <c r="D106" s="477"/>
      <c r="E106" s="477"/>
      <c r="F106" s="477"/>
      <c r="G106" s="477"/>
      <c r="H106" s="477"/>
      <c r="I106" s="477"/>
      <c r="J106" s="477"/>
      <c r="K106" s="477"/>
      <c r="L106" s="477"/>
      <c r="M106" s="477"/>
      <c r="N106" s="477"/>
      <c r="O106" s="477"/>
      <c r="P106" s="477"/>
      <c r="Q106" s="477"/>
      <c r="R106" s="477"/>
      <c r="S106" s="477"/>
    </row>
    <row r="107" spans="1:19" ht="12.95" customHeight="1" x14ac:dyDescent="0.2">
      <c r="A107" s="91" t="s">
        <v>0</v>
      </c>
      <c r="B107" s="469" t="s">
        <v>1</v>
      </c>
      <c r="C107" s="469"/>
      <c r="D107" s="469"/>
      <c r="E107" s="469"/>
      <c r="F107" s="469" t="s">
        <v>190</v>
      </c>
      <c r="G107" s="469"/>
      <c r="H107" s="469"/>
      <c r="I107" s="469"/>
      <c r="J107" s="469"/>
      <c r="K107" s="470" t="s">
        <v>191</v>
      </c>
      <c r="L107" s="470"/>
      <c r="M107" s="470"/>
      <c r="N107" s="470"/>
      <c r="O107" s="470"/>
      <c r="P107" s="466" t="s">
        <v>192</v>
      </c>
      <c r="Q107" s="467"/>
      <c r="R107" s="467"/>
      <c r="S107" s="468"/>
    </row>
    <row r="108" spans="1:19" ht="24.95" customHeight="1" x14ac:dyDescent="0.2">
      <c r="A108" s="91"/>
      <c r="B108" s="94" t="s">
        <v>504</v>
      </c>
      <c r="C108" s="94" t="str">
        <f>$C$9</f>
        <v>Latitude</v>
      </c>
      <c r="D108" s="66" t="str">
        <f>$D$9</f>
        <v>Longitude</v>
      </c>
      <c r="E108" s="83" t="str">
        <f>$G$9</f>
        <v>Extensão (m)</v>
      </c>
      <c r="F108" s="69" t="s">
        <v>352</v>
      </c>
      <c r="G108" s="69" t="s">
        <v>201</v>
      </c>
      <c r="H108" s="95" t="s">
        <v>33</v>
      </c>
      <c r="I108" s="95" t="s">
        <v>6</v>
      </c>
      <c r="J108" s="95" t="s">
        <v>7</v>
      </c>
      <c r="K108" s="83" t="s">
        <v>352</v>
      </c>
      <c r="L108" s="83" t="s">
        <v>200</v>
      </c>
      <c r="M108" s="95" t="s">
        <v>33</v>
      </c>
      <c r="N108" s="95" t="s">
        <v>6</v>
      </c>
      <c r="O108" s="95" t="s">
        <v>7</v>
      </c>
      <c r="P108" s="83" t="s">
        <v>352</v>
      </c>
      <c r="Q108" s="95" t="s">
        <v>33</v>
      </c>
      <c r="R108" s="95" t="s">
        <v>6</v>
      </c>
      <c r="S108" s="95" t="s">
        <v>7</v>
      </c>
    </row>
    <row r="109" spans="1:19" ht="12.95" customHeight="1" x14ac:dyDescent="0.2">
      <c r="A109" s="121">
        <f t="shared" ref="A109:D134" si="41">A76</f>
        <v>1</v>
      </c>
      <c r="B109" s="124" t="str">
        <f t="shared" si="41"/>
        <v>CÓRREGO DO CHINELO</v>
      </c>
      <c r="C109" s="124" t="str">
        <f t="shared" si="41"/>
        <v>21°53'30.35''S</v>
      </c>
      <c r="D109" s="124" t="str">
        <f t="shared" si="41"/>
        <v>54°35'16.91''W</v>
      </c>
      <c r="E109" s="124">
        <f t="shared" ref="E109:E134" si="42">G76</f>
        <v>13</v>
      </c>
      <c r="F109" s="141">
        <v>0.4</v>
      </c>
      <c r="G109" s="141">
        <v>3</v>
      </c>
      <c r="H109" s="141">
        <v>12</v>
      </c>
      <c r="I109" s="141">
        <v>0</v>
      </c>
      <c r="J109" s="141">
        <v>12</v>
      </c>
      <c r="K109" s="141">
        <v>0.4</v>
      </c>
      <c r="L109" s="141">
        <v>5.5</v>
      </c>
      <c r="M109" s="141">
        <v>6</v>
      </c>
      <c r="N109" s="141">
        <v>0</v>
      </c>
      <c r="O109" s="141">
        <f>M109</f>
        <v>6</v>
      </c>
      <c r="P109" s="141">
        <v>0.4</v>
      </c>
      <c r="Q109" s="141">
        <v>6</v>
      </c>
      <c r="R109" s="141">
        <v>0</v>
      </c>
      <c r="S109" s="141">
        <f>Q109</f>
        <v>6</v>
      </c>
    </row>
    <row r="110" spans="1:19" ht="12.95" customHeight="1" x14ac:dyDescent="0.2">
      <c r="A110" s="121">
        <f t="shared" si="41"/>
        <v>2</v>
      </c>
      <c r="B110" s="124" t="str">
        <f t="shared" si="41"/>
        <v>CÓRREGO AREIAS</v>
      </c>
      <c r="C110" s="124" t="str">
        <f t="shared" si="41"/>
        <v>21°48'55.89''S</v>
      </c>
      <c r="D110" s="124" t="str">
        <f t="shared" si="41"/>
        <v>54°32'36.89''W</v>
      </c>
      <c r="E110" s="124">
        <f t="shared" si="42"/>
        <v>6</v>
      </c>
      <c r="F110" s="141">
        <v>0.4</v>
      </c>
      <c r="G110" s="141">
        <v>3</v>
      </c>
      <c r="H110" s="141">
        <v>8</v>
      </c>
      <c r="I110" s="141">
        <v>0</v>
      </c>
      <c r="J110" s="141">
        <v>8</v>
      </c>
      <c r="K110" s="141">
        <v>0.4</v>
      </c>
      <c r="L110" s="141">
        <v>4.9000000000000004</v>
      </c>
      <c r="M110" s="141">
        <v>4</v>
      </c>
      <c r="N110" s="141">
        <v>0</v>
      </c>
      <c r="O110" s="141">
        <f t="shared" ref="O110:O134" si="43">M110</f>
        <v>4</v>
      </c>
      <c r="P110" s="141">
        <v>0.4</v>
      </c>
      <c r="Q110" s="141">
        <v>4</v>
      </c>
      <c r="R110" s="141">
        <v>0</v>
      </c>
      <c r="S110" s="141">
        <f t="shared" ref="S110:S134" si="44">Q110</f>
        <v>4</v>
      </c>
    </row>
    <row r="111" spans="1:19" ht="12.95" customHeight="1" x14ac:dyDescent="0.2">
      <c r="A111" s="121">
        <f t="shared" si="41"/>
        <v>3</v>
      </c>
      <c r="B111" s="124" t="str">
        <f t="shared" si="41"/>
        <v>CÓRREGO ARARAS</v>
      </c>
      <c r="C111" s="124" t="str">
        <f t="shared" si="41"/>
        <v>21°47'42.63''S</v>
      </c>
      <c r="D111" s="124" t="str">
        <f t="shared" si="41"/>
        <v>54°31'56.42''W</v>
      </c>
      <c r="E111" s="124">
        <f t="shared" si="42"/>
        <v>12</v>
      </c>
      <c r="F111" s="141">
        <v>0.4</v>
      </c>
      <c r="G111" s="141">
        <v>3</v>
      </c>
      <c r="H111" s="141">
        <v>12</v>
      </c>
      <c r="I111" s="141">
        <v>0</v>
      </c>
      <c r="J111" s="141">
        <v>12</v>
      </c>
      <c r="K111" s="141">
        <v>0.4</v>
      </c>
      <c r="L111" s="141">
        <v>5.3</v>
      </c>
      <c r="M111" s="141">
        <v>6</v>
      </c>
      <c r="N111" s="141">
        <v>0</v>
      </c>
      <c r="O111" s="141">
        <f t="shared" si="43"/>
        <v>6</v>
      </c>
      <c r="P111" s="141">
        <v>0.4</v>
      </c>
      <c r="Q111" s="141">
        <v>6</v>
      </c>
      <c r="R111" s="141">
        <v>0</v>
      </c>
      <c r="S111" s="141">
        <f t="shared" si="44"/>
        <v>6</v>
      </c>
    </row>
    <row r="112" spans="1:19" ht="12.95" customHeight="1" x14ac:dyDescent="0.2">
      <c r="A112" s="121">
        <f t="shared" si="41"/>
        <v>4</v>
      </c>
      <c r="B112" s="124" t="str">
        <f t="shared" si="41"/>
        <v>CÓRREGO FORMIGA</v>
      </c>
      <c r="C112" s="124" t="str">
        <f t="shared" si="41"/>
        <v>21°39'27.48''S</v>
      </c>
      <c r="D112" s="124" t="str">
        <f t="shared" si="41"/>
        <v>54°25'31.76''W</v>
      </c>
      <c r="E112" s="124">
        <f t="shared" si="42"/>
        <v>13.2</v>
      </c>
      <c r="F112" s="141">
        <v>0.4</v>
      </c>
      <c r="G112" s="141">
        <v>3</v>
      </c>
      <c r="H112" s="141">
        <v>12</v>
      </c>
      <c r="I112" s="141">
        <v>0</v>
      </c>
      <c r="J112" s="141">
        <v>12</v>
      </c>
      <c r="K112" s="141">
        <v>0.4</v>
      </c>
      <c r="L112" s="141">
        <v>4.9000000000000004</v>
      </c>
      <c r="M112" s="141">
        <v>6</v>
      </c>
      <c r="N112" s="141">
        <v>0</v>
      </c>
      <c r="O112" s="141">
        <f t="shared" si="43"/>
        <v>6</v>
      </c>
      <c r="P112" s="141">
        <v>0.4</v>
      </c>
      <c r="Q112" s="141">
        <v>6</v>
      </c>
      <c r="R112" s="141">
        <v>0</v>
      </c>
      <c r="S112" s="141">
        <f t="shared" si="44"/>
        <v>6</v>
      </c>
    </row>
    <row r="113" spans="1:19" ht="12.95" customHeight="1" x14ac:dyDescent="0.2">
      <c r="A113" s="121">
        <f t="shared" si="41"/>
        <v>5</v>
      </c>
      <c r="B113" s="124" t="str">
        <f t="shared" si="41"/>
        <v>CÓRREGO ANTINHA</v>
      </c>
      <c r="C113" s="124" t="str">
        <f t="shared" si="41"/>
        <v>21°38'42.22''S</v>
      </c>
      <c r="D113" s="124" t="str">
        <f t="shared" si="41"/>
        <v>54°27'12.82''W</v>
      </c>
      <c r="E113" s="124">
        <f t="shared" si="42"/>
        <v>7.2</v>
      </c>
      <c r="F113" s="141">
        <v>0.4</v>
      </c>
      <c r="G113" s="141">
        <v>3</v>
      </c>
      <c r="H113" s="141">
        <v>8</v>
      </c>
      <c r="I113" s="141">
        <v>0</v>
      </c>
      <c r="J113" s="141">
        <v>8</v>
      </c>
      <c r="K113" s="141">
        <v>0.4</v>
      </c>
      <c r="L113" s="141">
        <v>4.9000000000000004</v>
      </c>
      <c r="M113" s="141">
        <v>4</v>
      </c>
      <c r="N113" s="141">
        <v>0</v>
      </c>
      <c r="O113" s="141">
        <f t="shared" si="43"/>
        <v>4</v>
      </c>
      <c r="P113" s="141">
        <v>0.4</v>
      </c>
      <c r="Q113" s="141">
        <v>4</v>
      </c>
      <c r="R113" s="141">
        <v>0</v>
      </c>
      <c r="S113" s="141">
        <f t="shared" si="44"/>
        <v>4</v>
      </c>
    </row>
    <row r="114" spans="1:19" ht="12.95" customHeight="1" x14ac:dyDescent="0.2">
      <c r="A114" s="121">
        <f t="shared" si="41"/>
        <v>6</v>
      </c>
      <c r="B114" s="124" t="str">
        <f t="shared" si="41"/>
        <v>CÓRREGO FORMIGA</v>
      </c>
      <c r="C114" s="124" t="str">
        <f t="shared" si="41"/>
        <v>21°38'56.23''S</v>
      </c>
      <c r="D114" s="124" t="str">
        <f t="shared" si="41"/>
        <v>54°25'01.82''W</v>
      </c>
      <c r="E114" s="124">
        <f t="shared" si="42"/>
        <v>12</v>
      </c>
      <c r="F114" s="141">
        <v>0.4</v>
      </c>
      <c r="G114" s="141">
        <v>3</v>
      </c>
      <c r="H114" s="141">
        <v>12</v>
      </c>
      <c r="I114" s="141">
        <v>0</v>
      </c>
      <c r="J114" s="141">
        <v>12</v>
      </c>
      <c r="K114" s="141">
        <v>0.4</v>
      </c>
      <c r="L114" s="141">
        <v>4.9000000000000004</v>
      </c>
      <c r="M114" s="141">
        <v>6</v>
      </c>
      <c r="N114" s="141">
        <v>0</v>
      </c>
      <c r="O114" s="141">
        <f t="shared" si="43"/>
        <v>6</v>
      </c>
      <c r="P114" s="141">
        <v>0.4</v>
      </c>
      <c r="Q114" s="141">
        <v>6</v>
      </c>
      <c r="R114" s="141">
        <v>0</v>
      </c>
      <c r="S114" s="141">
        <f t="shared" si="44"/>
        <v>6</v>
      </c>
    </row>
    <row r="115" spans="1:19" ht="12.95" customHeight="1" x14ac:dyDescent="0.2">
      <c r="A115" s="121">
        <f t="shared" si="41"/>
        <v>7</v>
      </c>
      <c r="B115" s="124" t="str">
        <f t="shared" si="41"/>
        <v>CÓRREGO QUILOMBO</v>
      </c>
      <c r="C115" s="124" t="str">
        <f t="shared" si="41"/>
        <v>21°42'14.33''S</v>
      </c>
      <c r="D115" s="124" t="str">
        <f t="shared" si="41"/>
        <v>54°20'39.58''W</v>
      </c>
      <c r="E115" s="124">
        <f t="shared" si="42"/>
        <v>6.8</v>
      </c>
      <c r="F115" s="141">
        <v>0.4</v>
      </c>
      <c r="G115" s="141">
        <v>3</v>
      </c>
      <c r="H115" s="141">
        <v>8</v>
      </c>
      <c r="I115" s="141">
        <v>0</v>
      </c>
      <c r="J115" s="141">
        <v>8</v>
      </c>
      <c r="K115" s="141">
        <v>0.4</v>
      </c>
      <c r="L115" s="141">
        <v>4.9000000000000004</v>
      </c>
      <c r="M115" s="141">
        <v>4</v>
      </c>
      <c r="N115" s="141">
        <v>0</v>
      </c>
      <c r="O115" s="141">
        <f t="shared" si="43"/>
        <v>4</v>
      </c>
      <c r="P115" s="141">
        <v>0.4</v>
      </c>
      <c r="Q115" s="141">
        <v>4</v>
      </c>
      <c r="R115" s="141">
        <v>0</v>
      </c>
      <c r="S115" s="141">
        <f t="shared" si="44"/>
        <v>4</v>
      </c>
    </row>
    <row r="116" spans="1:19" ht="12.95" customHeight="1" x14ac:dyDescent="0.2">
      <c r="A116" s="121">
        <f t="shared" si="41"/>
        <v>8</v>
      </c>
      <c r="B116" s="124" t="str">
        <f t="shared" si="41"/>
        <v>ARROIO CORREGUINHO</v>
      </c>
      <c r="C116" s="124" t="str">
        <f t="shared" si="41"/>
        <v>21°42'39.87''S</v>
      </c>
      <c r="D116" s="124" t="str">
        <f t="shared" si="41"/>
        <v>54°18'52.81''W</v>
      </c>
      <c r="E116" s="124">
        <f t="shared" si="42"/>
        <v>5.8</v>
      </c>
      <c r="F116" s="141">
        <v>0.4</v>
      </c>
      <c r="G116" s="141">
        <v>3</v>
      </c>
      <c r="H116" s="141">
        <v>8</v>
      </c>
      <c r="I116" s="141">
        <v>0</v>
      </c>
      <c r="J116" s="141">
        <v>8</v>
      </c>
      <c r="K116" s="141">
        <v>0.4</v>
      </c>
      <c r="L116" s="141">
        <v>4.9000000000000004</v>
      </c>
      <c r="M116" s="141">
        <v>4</v>
      </c>
      <c r="N116" s="141">
        <v>0</v>
      </c>
      <c r="O116" s="141">
        <f t="shared" si="43"/>
        <v>4</v>
      </c>
      <c r="P116" s="141">
        <v>0.4</v>
      </c>
      <c r="Q116" s="141">
        <v>4</v>
      </c>
      <c r="R116" s="141">
        <v>0</v>
      </c>
      <c r="S116" s="141">
        <f t="shared" si="44"/>
        <v>4</v>
      </c>
    </row>
    <row r="117" spans="1:19" ht="12.95" customHeight="1" x14ac:dyDescent="0.2">
      <c r="A117" s="121">
        <f t="shared" si="41"/>
        <v>9</v>
      </c>
      <c r="B117" s="124" t="str">
        <f t="shared" si="41"/>
        <v>CÓRREGO GUATAMBU</v>
      </c>
      <c r="C117" s="124" t="str">
        <f t="shared" si="41"/>
        <v>21°43'17.70"S</v>
      </c>
      <c r="D117" s="124" t="str">
        <f t="shared" si="41"/>
        <v>54°16'36.10"W</v>
      </c>
      <c r="E117" s="124">
        <f t="shared" si="42"/>
        <v>10.6</v>
      </c>
      <c r="F117" s="141">
        <v>0.4</v>
      </c>
      <c r="G117" s="141">
        <v>3</v>
      </c>
      <c r="H117" s="141">
        <v>12</v>
      </c>
      <c r="I117" s="141">
        <v>0</v>
      </c>
      <c r="J117" s="141">
        <v>12</v>
      </c>
      <c r="K117" s="141">
        <v>0.4</v>
      </c>
      <c r="L117" s="141">
        <v>4.9000000000000004</v>
      </c>
      <c r="M117" s="141">
        <v>6</v>
      </c>
      <c r="N117" s="141">
        <v>0</v>
      </c>
      <c r="O117" s="141">
        <f t="shared" si="43"/>
        <v>6</v>
      </c>
      <c r="P117" s="141">
        <v>0.4</v>
      </c>
      <c r="Q117" s="141">
        <v>6</v>
      </c>
      <c r="R117" s="141">
        <v>0</v>
      </c>
      <c r="S117" s="141">
        <f t="shared" si="44"/>
        <v>6</v>
      </c>
    </row>
    <row r="118" spans="1:19" ht="12.95" customHeight="1" x14ac:dyDescent="0.2">
      <c r="A118" s="121">
        <f t="shared" si="41"/>
        <v>10</v>
      </c>
      <c r="B118" s="124" t="str">
        <f t="shared" si="41"/>
        <v>CÓRREGO QUILOMBO</v>
      </c>
      <c r="C118" s="124" t="str">
        <f t="shared" si="41"/>
        <v>21°42'51.11''S</v>
      </c>
      <c r="D118" s="124" t="str">
        <f t="shared" si="41"/>
        <v>54°16'52.81''W</v>
      </c>
      <c r="E118" s="124">
        <f t="shared" si="42"/>
        <v>5.8</v>
      </c>
      <c r="F118" s="141">
        <v>0.4</v>
      </c>
      <c r="G118" s="141">
        <v>3</v>
      </c>
      <c r="H118" s="141">
        <v>8</v>
      </c>
      <c r="I118" s="141">
        <v>0</v>
      </c>
      <c r="J118" s="141">
        <v>8</v>
      </c>
      <c r="K118" s="141">
        <v>0.4</v>
      </c>
      <c r="L118" s="141">
        <v>4.9000000000000004</v>
      </c>
      <c r="M118" s="141">
        <v>4</v>
      </c>
      <c r="N118" s="141">
        <v>0</v>
      </c>
      <c r="O118" s="141">
        <f t="shared" si="43"/>
        <v>4</v>
      </c>
      <c r="P118" s="141">
        <v>0.4</v>
      </c>
      <c r="Q118" s="141">
        <v>4</v>
      </c>
      <c r="R118" s="141">
        <v>0</v>
      </c>
      <c r="S118" s="141">
        <f t="shared" si="44"/>
        <v>4</v>
      </c>
    </row>
    <row r="119" spans="1:19" ht="12.95" customHeight="1" x14ac:dyDescent="0.2">
      <c r="A119" s="121">
        <f t="shared" si="41"/>
        <v>11</v>
      </c>
      <c r="B119" s="124" t="str">
        <f t="shared" si="41"/>
        <v>CÓRREGO SAPÉ</v>
      </c>
      <c r="C119" s="124" t="str">
        <f t="shared" si="41"/>
        <v>21°44'57.50"S</v>
      </c>
      <c r="D119" s="124" t="str">
        <f t="shared" si="41"/>
        <v>54°18'00.40"W</v>
      </c>
      <c r="E119" s="124">
        <f t="shared" si="42"/>
        <v>10.8</v>
      </c>
      <c r="F119" s="141">
        <v>0.4</v>
      </c>
      <c r="G119" s="141">
        <v>3</v>
      </c>
      <c r="H119" s="141">
        <v>12</v>
      </c>
      <c r="I119" s="141">
        <v>0</v>
      </c>
      <c r="J119" s="141">
        <v>12</v>
      </c>
      <c r="K119" s="141">
        <v>0.4</v>
      </c>
      <c r="L119" s="141">
        <v>4.9000000000000004</v>
      </c>
      <c r="M119" s="141">
        <v>6</v>
      </c>
      <c r="N119" s="141">
        <v>0</v>
      </c>
      <c r="O119" s="141">
        <f t="shared" si="43"/>
        <v>6</v>
      </c>
      <c r="P119" s="141">
        <v>0.4</v>
      </c>
      <c r="Q119" s="141">
        <v>6</v>
      </c>
      <c r="R119" s="141">
        <v>0</v>
      </c>
      <c r="S119" s="141">
        <f t="shared" si="44"/>
        <v>6</v>
      </c>
    </row>
    <row r="120" spans="1:19" ht="12.95" customHeight="1" x14ac:dyDescent="0.2">
      <c r="A120" s="121">
        <f t="shared" si="41"/>
        <v>12</v>
      </c>
      <c r="B120" s="124" t="str">
        <f t="shared" si="41"/>
        <v>CÓRREGO JUREMA</v>
      </c>
      <c r="C120" s="124" t="str">
        <f t="shared" si="41"/>
        <v>21°47'02.84''S</v>
      </c>
      <c r="D120" s="124" t="str">
        <f t="shared" si="41"/>
        <v>54°14'35.61''W</v>
      </c>
      <c r="E120" s="124">
        <f t="shared" si="42"/>
        <v>7.1</v>
      </c>
      <c r="F120" s="141">
        <v>0.4</v>
      </c>
      <c r="G120" s="141">
        <v>3</v>
      </c>
      <c r="H120" s="141">
        <v>8</v>
      </c>
      <c r="I120" s="141">
        <v>0</v>
      </c>
      <c r="J120" s="141">
        <v>8</v>
      </c>
      <c r="K120" s="141">
        <v>0.4</v>
      </c>
      <c r="L120" s="141">
        <v>4.9000000000000004</v>
      </c>
      <c r="M120" s="141">
        <v>4</v>
      </c>
      <c r="N120" s="141">
        <v>0</v>
      </c>
      <c r="O120" s="141">
        <f t="shared" si="43"/>
        <v>4</v>
      </c>
      <c r="P120" s="141">
        <v>0.4</v>
      </c>
      <c r="Q120" s="141">
        <v>4</v>
      </c>
      <c r="R120" s="141">
        <v>0</v>
      </c>
      <c r="S120" s="141">
        <f t="shared" si="44"/>
        <v>4</v>
      </c>
    </row>
    <row r="121" spans="1:19" ht="12.95" customHeight="1" x14ac:dyDescent="0.2">
      <c r="A121" s="121">
        <f t="shared" si="41"/>
        <v>13</v>
      </c>
      <c r="B121" s="124" t="str">
        <f t="shared" si="41"/>
        <v>CÓRREGO ARACI</v>
      </c>
      <c r="C121" s="124" t="str">
        <f t="shared" si="41"/>
        <v>21°45'04.33''S</v>
      </c>
      <c r="D121" s="124" t="str">
        <f t="shared" si="41"/>
        <v>54°12'41.25''W</v>
      </c>
      <c r="E121" s="124">
        <f t="shared" si="42"/>
        <v>6.4</v>
      </c>
      <c r="F121" s="141">
        <v>0.4</v>
      </c>
      <c r="G121" s="141">
        <v>3</v>
      </c>
      <c r="H121" s="141">
        <v>8</v>
      </c>
      <c r="I121" s="141">
        <v>0</v>
      </c>
      <c r="J121" s="141">
        <v>8</v>
      </c>
      <c r="K121" s="141">
        <v>0.4</v>
      </c>
      <c r="L121" s="141">
        <v>4.9000000000000004</v>
      </c>
      <c r="M121" s="141">
        <v>4</v>
      </c>
      <c r="N121" s="141">
        <v>0</v>
      </c>
      <c r="O121" s="141">
        <f t="shared" si="43"/>
        <v>4</v>
      </c>
      <c r="P121" s="141">
        <v>0.4</v>
      </c>
      <c r="Q121" s="141">
        <v>4</v>
      </c>
      <c r="R121" s="141">
        <v>0</v>
      </c>
      <c r="S121" s="141">
        <f t="shared" si="44"/>
        <v>4</v>
      </c>
    </row>
    <row r="122" spans="1:19" ht="12.95" customHeight="1" x14ac:dyDescent="0.2">
      <c r="A122" s="121">
        <f t="shared" si="41"/>
        <v>14</v>
      </c>
      <c r="B122" s="124" t="str">
        <f t="shared" si="41"/>
        <v>CÓRREGO ANHUMAS</v>
      </c>
      <c r="C122" s="124" t="str">
        <f t="shared" si="41"/>
        <v>21°51'40.49''S</v>
      </c>
      <c r="D122" s="124" t="str">
        <f t="shared" si="41"/>
        <v>54°08'14.26''W</v>
      </c>
      <c r="E122" s="124">
        <f t="shared" si="42"/>
        <v>11.8</v>
      </c>
      <c r="F122" s="141">
        <v>0.4</v>
      </c>
      <c r="G122" s="141">
        <v>3</v>
      </c>
      <c r="H122" s="141">
        <v>12</v>
      </c>
      <c r="I122" s="141">
        <v>0</v>
      </c>
      <c r="J122" s="141">
        <v>12</v>
      </c>
      <c r="K122" s="141">
        <v>0.4</v>
      </c>
      <c r="L122" s="141">
        <v>4.9000000000000004</v>
      </c>
      <c r="M122" s="141">
        <v>6</v>
      </c>
      <c r="N122" s="141">
        <v>0</v>
      </c>
      <c r="O122" s="141">
        <f t="shared" si="43"/>
        <v>6</v>
      </c>
      <c r="P122" s="141">
        <v>0.4</v>
      </c>
      <c r="Q122" s="141">
        <v>6</v>
      </c>
      <c r="R122" s="141">
        <v>0</v>
      </c>
      <c r="S122" s="141">
        <f t="shared" si="44"/>
        <v>6</v>
      </c>
    </row>
    <row r="123" spans="1:19" ht="12.95" customHeight="1" x14ac:dyDescent="0.2">
      <c r="A123" s="121">
        <f t="shared" si="41"/>
        <v>15</v>
      </c>
      <c r="B123" s="124" t="str">
        <f t="shared" si="41"/>
        <v>CÓRREGO CHIFRE DO VIADO</v>
      </c>
      <c r="C123" s="124" t="str">
        <f t="shared" si="41"/>
        <v>21°40'35.65''S</v>
      </c>
      <c r="D123" s="124" t="str">
        <f t="shared" si="41"/>
        <v>54°56'15.44''W</v>
      </c>
      <c r="E123" s="124">
        <f t="shared" si="42"/>
        <v>12</v>
      </c>
      <c r="F123" s="141">
        <v>0.4</v>
      </c>
      <c r="G123" s="141">
        <v>3</v>
      </c>
      <c r="H123" s="141">
        <v>12</v>
      </c>
      <c r="I123" s="141">
        <v>0</v>
      </c>
      <c r="J123" s="141">
        <v>12</v>
      </c>
      <c r="K123" s="141">
        <v>0.4</v>
      </c>
      <c r="L123" s="141">
        <v>5.5</v>
      </c>
      <c r="M123" s="141">
        <v>6</v>
      </c>
      <c r="N123" s="141">
        <v>0</v>
      </c>
      <c r="O123" s="141">
        <f t="shared" si="43"/>
        <v>6</v>
      </c>
      <c r="P123" s="141">
        <v>0.4</v>
      </c>
      <c r="Q123" s="141">
        <v>6</v>
      </c>
      <c r="R123" s="141">
        <v>0</v>
      </c>
      <c r="S123" s="141">
        <f t="shared" si="44"/>
        <v>6</v>
      </c>
    </row>
    <row r="124" spans="1:19" ht="12.95" customHeight="1" x14ac:dyDescent="0.2">
      <c r="A124" s="121">
        <f t="shared" si="41"/>
        <v>16</v>
      </c>
      <c r="B124" s="124" t="str">
        <f t="shared" si="41"/>
        <v>CÓRREGO SANTA RITA</v>
      </c>
      <c r="C124" s="124" t="str">
        <f t="shared" si="41"/>
        <v>21°33'23.75''S</v>
      </c>
      <c r="D124" s="124" t="str">
        <f t="shared" si="41"/>
        <v>54°35'26.66''W</v>
      </c>
      <c r="E124" s="124">
        <f t="shared" si="42"/>
        <v>22.1</v>
      </c>
      <c r="F124" s="141">
        <v>0.4</v>
      </c>
      <c r="G124" s="141">
        <v>3</v>
      </c>
      <c r="H124" s="141">
        <v>20</v>
      </c>
      <c r="I124" s="141">
        <v>0</v>
      </c>
      <c r="J124" s="141">
        <v>20</v>
      </c>
      <c r="K124" s="141">
        <v>0.4</v>
      </c>
      <c r="L124" s="141">
        <v>4.9000000000000004</v>
      </c>
      <c r="M124" s="141">
        <v>10</v>
      </c>
      <c r="N124" s="141">
        <v>0</v>
      </c>
      <c r="O124" s="141">
        <f t="shared" si="43"/>
        <v>10</v>
      </c>
      <c r="P124" s="141">
        <v>0.4</v>
      </c>
      <c r="Q124" s="141">
        <v>10</v>
      </c>
      <c r="R124" s="141">
        <v>0</v>
      </c>
      <c r="S124" s="141">
        <f t="shared" si="44"/>
        <v>10</v>
      </c>
    </row>
    <row r="125" spans="1:19" ht="12.95" customHeight="1" x14ac:dyDescent="0.2">
      <c r="A125" s="121">
        <f t="shared" si="41"/>
        <v>17</v>
      </c>
      <c r="B125" s="124" t="str">
        <f t="shared" si="41"/>
        <v>RIO SERROTE</v>
      </c>
      <c r="C125" s="124" t="str">
        <f t="shared" si="41"/>
        <v>21°25'01.14''S</v>
      </c>
      <c r="D125" s="124" t="str">
        <f t="shared" si="41"/>
        <v>54°43'16.96''W</v>
      </c>
      <c r="E125" s="124">
        <f t="shared" si="42"/>
        <v>24.6</v>
      </c>
      <c r="F125" s="141">
        <v>0.4</v>
      </c>
      <c r="G125" s="141">
        <v>3</v>
      </c>
      <c r="H125" s="141">
        <v>20</v>
      </c>
      <c r="I125" s="141">
        <v>0</v>
      </c>
      <c r="J125" s="141">
        <v>20</v>
      </c>
      <c r="K125" s="141">
        <v>0.4</v>
      </c>
      <c r="L125" s="141">
        <v>4.9000000000000004</v>
      </c>
      <c r="M125" s="141">
        <v>10</v>
      </c>
      <c r="N125" s="141">
        <v>0</v>
      </c>
      <c r="O125" s="141">
        <f t="shared" si="43"/>
        <v>10</v>
      </c>
      <c r="P125" s="141">
        <v>0.4</v>
      </c>
      <c r="Q125" s="141">
        <v>10</v>
      </c>
      <c r="R125" s="141">
        <v>0</v>
      </c>
      <c r="S125" s="141">
        <f t="shared" si="44"/>
        <v>10</v>
      </c>
    </row>
    <row r="126" spans="1:19" ht="12.95" customHeight="1" x14ac:dyDescent="0.2">
      <c r="A126" s="121">
        <f t="shared" si="41"/>
        <v>18</v>
      </c>
      <c r="B126" s="124" t="str">
        <f t="shared" si="41"/>
        <v>CÓRREGO PASSATEMPO 1</v>
      </c>
      <c r="C126" s="124" t="str">
        <f t="shared" si="41"/>
        <v>21°29'34.92''S</v>
      </c>
      <c r="D126" s="124" t="str">
        <f t="shared" si="41"/>
        <v>54°49'18.44''W</v>
      </c>
      <c r="E126" s="124">
        <f t="shared" si="42"/>
        <v>16.399999999999999</v>
      </c>
      <c r="F126" s="141">
        <v>0.4</v>
      </c>
      <c r="G126" s="141">
        <v>3</v>
      </c>
      <c r="H126" s="141">
        <v>16</v>
      </c>
      <c r="I126" s="141">
        <v>0</v>
      </c>
      <c r="J126" s="141">
        <v>16</v>
      </c>
      <c r="K126" s="141">
        <v>0.4</v>
      </c>
      <c r="L126" s="141">
        <v>4.9000000000000004</v>
      </c>
      <c r="M126" s="141">
        <v>8</v>
      </c>
      <c r="N126" s="141">
        <v>0</v>
      </c>
      <c r="O126" s="141">
        <f t="shared" si="43"/>
        <v>8</v>
      </c>
      <c r="P126" s="141">
        <v>0.4</v>
      </c>
      <c r="Q126" s="141">
        <v>8</v>
      </c>
      <c r="R126" s="141">
        <v>0</v>
      </c>
      <c r="S126" s="141">
        <f t="shared" si="44"/>
        <v>8</v>
      </c>
    </row>
    <row r="127" spans="1:19" ht="12.95" customHeight="1" x14ac:dyDescent="0.2">
      <c r="A127" s="121">
        <f t="shared" si="41"/>
        <v>19</v>
      </c>
      <c r="B127" s="124" t="str">
        <f t="shared" si="41"/>
        <v>CÓRREGO PASSATEMPO 2</v>
      </c>
      <c r="C127" s="124" t="str">
        <f t="shared" si="41"/>
        <v>21°29'33.39''S</v>
      </c>
      <c r="D127" s="124" t="str">
        <f t="shared" si="41"/>
        <v>54°49'17.44''W</v>
      </c>
      <c r="E127" s="124">
        <f t="shared" si="42"/>
        <v>19.600000000000001</v>
      </c>
      <c r="F127" s="141">
        <v>0.4</v>
      </c>
      <c r="G127" s="141">
        <v>3</v>
      </c>
      <c r="H127" s="141">
        <v>16</v>
      </c>
      <c r="I127" s="141">
        <v>0</v>
      </c>
      <c r="J127" s="141">
        <v>16</v>
      </c>
      <c r="K127" s="141">
        <v>0.4</v>
      </c>
      <c r="L127" s="141">
        <v>4.9000000000000004</v>
      </c>
      <c r="M127" s="141">
        <v>8</v>
      </c>
      <c r="N127" s="141">
        <v>0</v>
      </c>
      <c r="O127" s="141">
        <f t="shared" si="43"/>
        <v>8</v>
      </c>
      <c r="P127" s="141">
        <v>0.4</v>
      </c>
      <c r="Q127" s="141">
        <v>8</v>
      </c>
      <c r="R127" s="141">
        <v>0</v>
      </c>
      <c r="S127" s="141">
        <f t="shared" si="44"/>
        <v>8</v>
      </c>
    </row>
    <row r="128" spans="1:19" ht="12.95" customHeight="1" x14ac:dyDescent="0.2">
      <c r="A128" s="121">
        <f t="shared" si="41"/>
        <v>20</v>
      </c>
      <c r="B128" s="124" t="str">
        <f t="shared" si="41"/>
        <v>CÓRREGO PASSATEMPO 3</v>
      </c>
      <c r="C128" s="124" t="str">
        <f t="shared" si="41"/>
        <v>21°28'09.42''S</v>
      </c>
      <c r="D128" s="124" t="str">
        <f t="shared" si="41"/>
        <v>54°48'01.11''W</v>
      </c>
      <c r="E128" s="124">
        <f t="shared" si="42"/>
        <v>6</v>
      </c>
      <c r="F128" s="141">
        <v>0.4</v>
      </c>
      <c r="G128" s="141">
        <v>3</v>
      </c>
      <c r="H128" s="141">
        <v>8</v>
      </c>
      <c r="I128" s="141">
        <v>0</v>
      </c>
      <c r="J128" s="141">
        <v>8</v>
      </c>
      <c r="K128" s="141">
        <v>0.4</v>
      </c>
      <c r="L128" s="141">
        <v>5.5</v>
      </c>
      <c r="M128" s="141">
        <v>4</v>
      </c>
      <c r="N128" s="141">
        <v>0</v>
      </c>
      <c r="O128" s="141">
        <f t="shared" si="43"/>
        <v>4</v>
      </c>
      <c r="P128" s="141">
        <v>0.4</v>
      </c>
      <c r="Q128" s="141">
        <v>4</v>
      </c>
      <c r="R128" s="141">
        <v>0</v>
      </c>
      <c r="S128" s="141">
        <f t="shared" si="44"/>
        <v>4</v>
      </c>
    </row>
    <row r="129" spans="1:20" ht="12.95" customHeight="1" x14ac:dyDescent="0.2">
      <c r="A129" s="121">
        <f t="shared" si="41"/>
        <v>21</v>
      </c>
      <c r="B129" s="124" t="str">
        <f t="shared" si="41"/>
        <v>CÓRREGO TAQUARA</v>
      </c>
      <c r="C129" s="124" t="str">
        <f t="shared" si="41"/>
        <v>21°21'07.90''S</v>
      </c>
      <c r="D129" s="124" t="str">
        <f t="shared" si="41"/>
        <v>54°50'07.01''W</v>
      </c>
      <c r="E129" s="124">
        <f t="shared" si="42"/>
        <v>24</v>
      </c>
      <c r="F129" s="141">
        <v>0.4</v>
      </c>
      <c r="G129" s="141">
        <v>3</v>
      </c>
      <c r="H129" s="141">
        <v>20</v>
      </c>
      <c r="I129" s="141">
        <v>0</v>
      </c>
      <c r="J129" s="141">
        <v>20</v>
      </c>
      <c r="K129" s="141">
        <v>0.4</v>
      </c>
      <c r="L129" s="141">
        <v>5.3</v>
      </c>
      <c r="M129" s="141">
        <v>10</v>
      </c>
      <c r="N129" s="141">
        <v>0</v>
      </c>
      <c r="O129" s="141">
        <f t="shared" si="43"/>
        <v>10</v>
      </c>
      <c r="P129" s="141">
        <v>0.4</v>
      </c>
      <c r="Q129" s="141">
        <v>10</v>
      </c>
      <c r="R129" s="141">
        <v>0</v>
      </c>
      <c r="S129" s="141">
        <f t="shared" si="44"/>
        <v>10</v>
      </c>
    </row>
    <row r="130" spans="1:20" ht="12.95" customHeight="1" x14ac:dyDescent="0.2">
      <c r="A130" s="121">
        <f t="shared" si="41"/>
        <v>22</v>
      </c>
      <c r="B130" s="124" t="str">
        <f t="shared" si="41"/>
        <v>CÓRREGO PASSATEMPO 4</v>
      </c>
      <c r="C130" s="124" t="str">
        <f t="shared" si="41"/>
        <v>21°29'23.36''S</v>
      </c>
      <c r="D130" s="124" t="str">
        <f t="shared" si="41"/>
        <v>54°52'56.83''W</v>
      </c>
      <c r="E130" s="124">
        <f t="shared" si="42"/>
        <v>14.3</v>
      </c>
      <c r="F130" s="141">
        <v>0.4</v>
      </c>
      <c r="G130" s="141">
        <v>3</v>
      </c>
      <c r="H130" s="141">
        <v>12</v>
      </c>
      <c r="I130" s="141">
        <v>0</v>
      </c>
      <c r="J130" s="141">
        <v>12</v>
      </c>
      <c r="K130" s="141">
        <v>0.4</v>
      </c>
      <c r="L130" s="141">
        <v>4.9000000000000004</v>
      </c>
      <c r="M130" s="141">
        <v>6</v>
      </c>
      <c r="N130" s="141">
        <v>0</v>
      </c>
      <c r="O130" s="141">
        <f t="shared" si="43"/>
        <v>6</v>
      </c>
      <c r="P130" s="141">
        <v>0.4</v>
      </c>
      <c r="Q130" s="141">
        <v>6</v>
      </c>
      <c r="R130" s="141">
        <v>0</v>
      </c>
      <c r="S130" s="141">
        <f t="shared" si="44"/>
        <v>6</v>
      </c>
    </row>
    <row r="131" spans="1:20" ht="12.95" customHeight="1" x14ac:dyDescent="0.2">
      <c r="A131" s="121">
        <f t="shared" si="41"/>
        <v>23</v>
      </c>
      <c r="B131" s="124" t="str">
        <f t="shared" si="41"/>
        <v>CÓRREGO DO COQUEIRO</v>
      </c>
      <c r="C131" s="124" t="str">
        <f t="shared" si="41"/>
        <v>21°30'51.74''S</v>
      </c>
      <c r="D131" s="124" t="str">
        <f t="shared" si="41"/>
        <v>54°52'00.30''W</v>
      </c>
      <c r="E131" s="124">
        <f t="shared" si="42"/>
        <v>22.3</v>
      </c>
      <c r="F131" s="141">
        <v>0.4</v>
      </c>
      <c r="G131" s="141">
        <v>3</v>
      </c>
      <c r="H131" s="141">
        <v>20</v>
      </c>
      <c r="I131" s="141">
        <v>0</v>
      </c>
      <c r="J131" s="141">
        <v>20</v>
      </c>
      <c r="K131" s="141">
        <v>0.4</v>
      </c>
      <c r="L131" s="141">
        <v>4.9000000000000004</v>
      </c>
      <c r="M131" s="141">
        <v>10</v>
      </c>
      <c r="N131" s="141">
        <v>0</v>
      </c>
      <c r="O131" s="141">
        <f t="shared" si="43"/>
        <v>10</v>
      </c>
      <c r="P131" s="141">
        <v>0.4</v>
      </c>
      <c r="Q131" s="141">
        <v>10</v>
      </c>
      <c r="R131" s="141">
        <v>0</v>
      </c>
      <c r="S131" s="141">
        <f t="shared" si="44"/>
        <v>10</v>
      </c>
    </row>
    <row r="132" spans="1:20" ht="12.95" customHeight="1" x14ac:dyDescent="0.2">
      <c r="A132" s="121">
        <f t="shared" si="41"/>
        <v>24</v>
      </c>
      <c r="B132" s="124" t="str">
        <f t="shared" si="41"/>
        <v>CÓRREGO CARRAPATO</v>
      </c>
      <c r="C132" s="124" t="str">
        <f t="shared" si="41"/>
        <v>21°32'42.64''S</v>
      </c>
      <c r="D132" s="124" t="str">
        <f t="shared" si="41"/>
        <v>55°00'59.87''W</v>
      </c>
      <c r="E132" s="124">
        <f t="shared" si="42"/>
        <v>18</v>
      </c>
      <c r="F132" s="141">
        <v>0.4</v>
      </c>
      <c r="G132" s="141">
        <v>3</v>
      </c>
      <c r="H132" s="141">
        <v>16</v>
      </c>
      <c r="I132" s="141">
        <v>0</v>
      </c>
      <c r="J132" s="141">
        <v>16</v>
      </c>
      <c r="K132" s="141">
        <v>0.4</v>
      </c>
      <c r="L132" s="141">
        <v>4.9000000000000004</v>
      </c>
      <c r="M132" s="141">
        <v>8</v>
      </c>
      <c r="N132" s="141">
        <v>0</v>
      </c>
      <c r="O132" s="141">
        <f t="shared" si="43"/>
        <v>8</v>
      </c>
      <c r="P132" s="141">
        <v>0.4</v>
      </c>
      <c r="Q132" s="141">
        <v>8</v>
      </c>
      <c r="R132" s="141">
        <v>0</v>
      </c>
      <c r="S132" s="141">
        <f t="shared" si="44"/>
        <v>8</v>
      </c>
    </row>
    <row r="133" spans="1:20" ht="12.95" customHeight="1" x14ac:dyDescent="0.2">
      <c r="A133" s="121">
        <f t="shared" si="41"/>
        <v>25</v>
      </c>
      <c r="B133" s="124" t="str">
        <f t="shared" si="41"/>
        <v>CÓRREGO BARRA MANSA</v>
      </c>
      <c r="C133" s="124" t="str">
        <f t="shared" si="41"/>
        <v>21°45'26.00"S</v>
      </c>
      <c r="D133" s="124" t="str">
        <f t="shared" si="41"/>
        <v>54°10'16.90"W</v>
      </c>
      <c r="E133" s="124">
        <f t="shared" si="42"/>
        <v>5.6</v>
      </c>
      <c r="F133" s="141">
        <v>0.4</v>
      </c>
      <c r="G133" s="141">
        <v>3</v>
      </c>
      <c r="H133" s="141">
        <v>8</v>
      </c>
      <c r="I133" s="141">
        <v>0</v>
      </c>
      <c r="J133" s="141">
        <v>8</v>
      </c>
      <c r="K133" s="141">
        <v>0.4</v>
      </c>
      <c r="L133" s="141">
        <v>5.5</v>
      </c>
      <c r="M133" s="141">
        <v>4</v>
      </c>
      <c r="N133" s="141">
        <v>0</v>
      </c>
      <c r="O133" s="141">
        <f t="shared" si="43"/>
        <v>4</v>
      </c>
      <c r="P133" s="141">
        <v>0.4</v>
      </c>
      <c r="Q133" s="141">
        <v>4</v>
      </c>
      <c r="R133" s="141">
        <v>0</v>
      </c>
      <c r="S133" s="141">
        <f t="shared" si="44"/>
        <v>4</v>
      </c>
    </row>
    <row r="134" spans="1:20" ht="12.95" customHeight="1" x14ac:dyDescent="0.2">
      <c r="A134" s="121">
        <f t="shared" si="41"/>
        <v>26</v>
      </c>
      <c r="B134" s="124" t="str">
        <f t="shared" si="41"/>
        <v>CÓRREGO PASSATEMPO 5</v>
      </c>
      <c r="C134" s="124" t="str">
        <f t="shared" si="41"/>
        <v>21°29'57.99''S</v>
      </c>
      <c r="D134" s="124" t="str">
        <f t="shared" si="41"/>
        <v>54°43'07.39''W</v>
      </c>
      <c r="E134" s="124">
        <f t="shared" si="42"/>
        <v>22.3</v>
      </c>
      <c r="F134" s="141">
        <v>0.4</v>
      </c>
      <c r="G134" s="141">
        <v>3</v>
      </c>
      <c r="H134" s="141">
        <v>20</v>
      </c>
      <c r="I134" s="141">
        <v>0</v>
      </c>
      <c r="J134" s="141">
        <v>20</v>
      </c>
      <c r="K134" s="141">
        <v>0.4</v>
      </c>
      <c r="L134" s="141">
        <v>4.9000000000000004</v>
      </c>
      <c r="M134" s="141">
        <v>10</v>
      </c>
      <c r="N134" s="141">
        <v>0</v>
      </c>
      <c r="O134" s="141">
        <f t="shared" si="43"/>
        <v>10</v>
      </c>
      <c r="P134" s="141">
        <v>0.4</v>
      </c>
      <c r="Q134" s="141">
        <v>10</v>
      </c>
      <c r="R134" s="141">
        <v>0</v>
      </c>
      <c r="S134" s="141">
        <f t="shared" si="44"/>
        <v>10</v>
      </c>
    </row>
    <row r="135" spans="1:20" ht="12.95" customHeight="1" x14ac:dyDescent="0.2">
      <c r="A135" s="121"/>
      <c r="B135" s="124"/>
      <c r="C135" s="124"/>
      <c r="D135" s="124"/>
      <c r="E135" s="124"/>
      <c r="F135" s="141"/>
      <c r="G135" s="141"/>
      <c r="H135" s="141"/>
      <c r="I135" s="141"/>
      <c r="J135" s="141"/>
      <c r="K135" s="141"/>
      <c r="L135" s="141"/>
      <c r="M135" s="141"/>
      <c r="N135" s="141"/>
      <c r="O135" s="141"/>
      <c r="P135" s="141"/>
      <c r="Q135" s="141"/>
      <c r="R135" s="141"/>
      <c r="S135" s="141"/>
    </row>
    <row r="136" spans="1:20" ht="12.95" customHeight="1" x14ac:dyDescent="0.2">
      <c r="A136" s="462" t="s">
        <v>185</v>
      </c>
      <c r="B136" s="462"/>
      <c r="C136" s="462"/>
      <c r="D136" s="462"/>
      <c r="E136" s="79">
        <f>TRUNC(SUM(E109:E135),3)</f>
        <v>335.7</v>
      </c>
      <c r="F136" s="79"/>
      <c r="G136" s="79"/>
      <c r="H136" s="79">
        <v>328</v>
      </c>
      <c r="I136" s="79">
        <v>0</v>
      </c>
      <c r="J136" s="79">
        <v>328</v>
      </c>
      <c r="K136" s="79"/>
      <c r="L136" s="287"/>
      <c r="M136" s="287">
        <f>SUM(M109:M135)</f>
        <v>164</v>
      </c>
      <c r="N136" s="287">
        <f t="shared" ref="N136:S136" si="45">SUM(N109:N135)</f>
        <v>0</v>
      </c>
      <c r="O136" s="287">
        <f t="shared" si="45"/>
        <v>164</v>
      </c>
      <c r="P136" s="287">
        <f t="shared" si="45"/>
        <v>10.400000000000004</v>
      </c>
      <c r="Q136" s="287">
        <f t="shared" si="45"/>
        <v>164</v>
      </c>
      <c r="R136" s="287">
        <f t="shared" si="45"/>
        <v>0</v>
      </c>
      <c r="S136" s="287">
        <f t="shared" si="45"/>
        <v>164</v>
      </c>
      <c r="T136" s="284"/>
    </row>
    <row r="137" spans="1:20" ht="12.95" customHeight="1" x14ac:dyDescent="0.2">
      <c r="A137" s="499"/>
      <c r="B137" s="500"/>
      <c r="C137" s="500"/>
      <c r="D137" s="500"/>
      <c r="E137" s="500"/>
      <c r="F137" s="500"/>
      <c r="G137" s="500"/>
      <c r="H137" s="500"/>
      <c r="I137" s="500"/>
      <c r="J137" s="500"/>
      <c r="K137" s="500"/>
      <c r="L137" s="500"/>
      <c r="M137" s="500"/>
      <c r="N137" s="500"/>
      <c r="O137" s="500"/>
      <c r="P137" s="500"/>
      <c r="Q137" s="500"/>
      <c r="R137" s="500"/>
      <c r="S137" s="501"/>
      <c r="T137" s="284"/>
    </row>
    <row r="138" spans="1:20" ht="12.95" customHeight="1" x14ac:dyDescent="0.2">
      <c r="A138" s="476" t="s">
        <v>416</v>
      </c>
      <c r="B138" s="476"/>
      <c r="C138" s="476"/>
      <c r="D138" s="476"/>
      <c r="E138" s="476"/>
      <c r="F138" s="476"/>
      <c r="G138" s="476"/>
      <c r="H138" s="476"/>
      <c r="I138" s="476"/>
      <c r="J138" s="476"/>
      <c r="K138" s="476"/>
      <c r="L138" s="476"/>
      <c r="M138" s="476"/>
      <c r="N138" s="476"/>
      <c r="O138" s="476"/>
      <c r="P138" s="476"/>
      <c r="Q138" s="476"/>
      <c r="R138" s="476"/>
      <c r="S138" s="476"/>
      <c r="T138" s="284"/>
    </row>
    <row r="139" spans="1:20" ht="12.95" customHeight="1" x14ac:dyDescent="0.2">
      <c r="A139" s="477" t="str">
        <f>$A$7</f>
        <v>MANUTENÇÃO E CONSERVAÇÃO DAS PONTES DE MADEIRA</v>
      </c>
      <c r="B139" s="477"/>
      <c r="C139" s="477"/>
      <c r="D139" s="477"/>
      <c r="E139" s="477"/>
      <c r="F139" s="477"/>
      <c r="G139" s="477"/>
      <c r="H139" s="477"/>
      <c r="I139" s="477"/>
      <c r="J139" s="477"/>
      <c r="K139" s="477"/>
      <c r="L139" s="477"/>
      <c r="M139" s="477"/>
      <c r="N139" s="477"/>
      <c r="O139" s="477"/>
      <c r="P139" s="477"/>
      <c r="Q139" s="477"/>
      <c r="R139" s="477"/>
      <c r="S139" s="477"/>
      <c r="T139" s="284"/>
    </row>
    <row r="140" spans="1:20" ht="12.95" customHeight="1" x14ac:dyDescent="0.2">
      <c r="A140" s="91" t="s">
        <v>0</v>
      </c>
      <c r="B140" s="469" t="s">
        <v>1</v>
      </c>
      <c r="C140" s="469"/>
      <c r="D140" s="469"/>
      <c r="E140" s="469"/>
      <c r="F140" s="469" t="s">
        <v>193</v>
      </c>
      <c r="G140" s="469"/>
      <c r="H140" s="469"/>
      <c r="I140" s="469"/>
      <c r="J140" s="470" t="s">
        <v>194</v>
      </c>
      <c r="K140" s="470"/>
      <c r="L140" s="470"/>
      <c r="M140" s="470"/>
      <c r="N140" s="470"/>
      <c r="O140" s="466" t="s">
        <v>205</v>
      </c>
      <c r="P140" s="467"/>
      <c r="Q140" s="467"/>
      <c r="R140" s="467"/>
      <c r="S140" s="467"/>
      <c r="T140" s="468"/>
    </row>
    <row r="141" spans="1:20" ht="24.95" customHeight="1" x14ac:dyDescent="0.2">
      <c r="A141" s="91"/>
      <c r="B141" s="94" t="s">
        <v>504</v>
      </c>
      <c r="C141" s="94" t="str">
        <f>$C$9</f>
        <v>Latitude</v>
      </c>
      <c r="D141" s="66" t="str">
        <f>$D$9</f>
        <v>Longitude</v>
      </c>
      <c r="E141" s="83" t="str">
        <f>$G$9</f>
        <v>Extensão (m)</v>
      </c>
      <c r="F141" s="83" t="s">
        <v>352</v>
      </c>
      <c r="G141" s="93" t="s">
        <v>33</v>
      </c>
      <c r="H141" s="92" t="s">
        <v>6</v>
      </c>
      <c r="I141" s="92" t="s">
        <v>7</v>
      </c>
      <c r="J141" s="83" t="s">
        <v>352</v>
      </c>
      <c r="K141" s="83" t="s">
        <v>202</v>
      </c>
      <c r="L141" s="92" t="s">
        <v>33</v>
      </c>
      <c r="M141" s="92" t="s">
        <v>6</v>
      </c>
      <c r="N141" s="92" t="s">
        <v>7</v>
      </c>
      <c r="O141" s="83" t="s">
        <v>352</v>
      </c>
      <c r="P141" s="96" t="s">
        <v>404</v>
      </c>
      <c r="Q141" s="96" t="s">
        <v>402</v>
      </c>
      <c r="R141" s="83" t="s">
        <v>352</v>
      </c>
      <c r="S141" s="429" t="s">
        <v>403</v>
      </c>
      <c r="T141" s="434" t="s">
        <v>551</v>
      </c>
    </row>
    <row r="142" spans="1:20" ht="12.95" customHeight="1" x14ac:dyDescent="0.2">
      <c r="A142" s="121">
        <f t="shared" ref="A142:E144" si="46">A109</f>
        <v>1</v>
      </c>
      <c r="B142" s="124" t="str">
        <f t="shared" si="46"/>
        <v>CÓRREGO DO CHINELO</v>
      </c>
      <c r="C142" s="124" t="str">
        <f t="shared" si="46"/>
        <v>21°53'30.35''S</v>
      </c>
      <c r="D142" s="124" t="str">
        <f t="shared" si="46"/>
        <v>54°35'16.91''W</v>
      </c>
      <c r="E142" s="124">
        <f t="shared" si="46"/>
        <v>13</v>
      </c>
      <c r="F142" s="141">
        <v>0.4</v>
      </c>
      <c r="G142" s="126">
        <v>0</v>
      </c>
      <c r="H142" s="141">
        <v>0</v>
      </c>
      <c r="I142" s="125">
        <v>0</v>
      </c>
      <c r="J142" s="141">
        <v>0.4</v>
      </c>
      <c r="K142" s="141">
        <v>6.2</v>
      </c>
      <c r="L142" s="141">
        <v>6</v>
      </c>
      <c r="M142" s="141">
        <v>0</v>
      </c>
      <c r="N142" s="141">
        <v>4</v>
      </c>
      <c r="O142" s="141">
        <v>0.4</v>
      </c>
      <c r="P142" s="141">
        <v>3</v>
      </c>
      <c r="Q142" s="141">
        <v>6</v>
      </c>
      <c r="R142" s="141">
        <v>0.2</v>
      </c>
      <c r="S142" s="431">
        <v>3</v>
      </c>
      <c r="T142" s="433">
        <v>2</v>
      </c>
    </row>
    <row r="143" spans="1:20" ht="12.95" customHeight="1" x14ac:dyDescent="0.2">
      <c r="A143" s="121">
        <f t="shared" si="46"/>
        <v>2</v>
      </c>
      <c r="B143" s="124" t="str">
        <f t="shared" si="46"/>
        <v>CÓRREGO AREIAS</v>
      </c>
      <c r="C143" s="124" t="str">
        <f t="shared" si="46"/>
        <v>21°48'55.89''S</v>
      </c>
      <c r="D143" s="124" t="str">
        <f t="shared" si="46"/>
        <v>54°32'36.89''W</v>
      </c>
      <c r="E143" s="124">
        <f t="shared" si="46"/>
        <v>6</v>
      </c>
      <c r="F143" s="141">
        <v>0.4</v>
      </c>
      <c r="G143" s="126">
        <v>0</v>
      </c>
      <c r="H143" s="141">
        <v>0</v>
      </c>
      <c r="I143" s="125">
        <v>0</v>
      </c>
      <c r="J143" s="141">
        <v>0.4</v>
      </c>
      <c r="K143" s="141">
        <v>5.5</v>
      </c>
      <c r="L143" s="141">
        <v>4</v>
      </c>
      <c r="M143" s="141">
        <v>0</v>
      </c>
      <c r="N143" s="141">
        <v>2</v>
      </c>
      <c r="O143" s="141">
        <v>0.4</v>
      </c>
      <c r="P143" s="141">
        <v>3</v>
      </c>
      <c r="Q143" s="141">
        <v>4</v>
      </c>
      <c r="R143" s="141">
        <v>0.2</v>
      </c>
      <c r="S143" s="431">
        <v>2</v>
      </c>
      <c r="T143" s="433">
        <v>2</v>
      </c>
    </row>
    <row r="144" spans="1:20" ht="12.95" customHeight="1" x14ac:dyDescent="0.2">
      <c r="A144" s="121">
        <f t="shared" si="46"/>
        <v>3</v>
      </c>
      <c r="B144" s="124" t="str">
        <f t="shared" si="46"/>
        <v>CÓRREGO ARARAS</v>
      </c>
      <c r="C144" s="124" t="str">
        <f t="shared" si="46"/>
        <v>21°47'42.63''S</v>
      </c>
      <c r="D144" s="124" t="str">
        <f t="shared" si="46"/>
        <v>54°31'56.42''W</v>
      </c>
      <c r="E144" s="124">
        <f t="shared" si="46"/>
        <v>12</v>
      </c>
      <c r="F144" s="141">
        <v>0.4</v>
      </c>
      <c r="G144" s="126">
        <v>0</v>
      </c>
      <c r="H144" s="141">
        <v>0</v>
      </c>
      <c r="I144" s="125">
        <v>0</v>
      </c>
      <c r="J144" s="141">
        <v>0.4</v>
      </c>
      <c r="K144" s="141">
        <v>5.9</v>
      </c>
      <c r="L144" s="141">
        <v>6</v>
      </c>
      <c r="M144" s="141">
        <v>0</v>
      </c>
      <c r="N144" s="141">
        <v>4</v>
      </c>
      <c r="O144" s="141">
        <v>0.4</v>
      </c>
      <c r="P144" s="141">
        <v>3</v>
      </c>
      <c r="Q144" s="141">
        <v>6</v>
      </c>
      <c r="R144" s="141">
        <v>0.2</v>
      </c>
      <c r="S144" s="431">
        <v>3</v>
      </c>
      <c r="T144" s="433">
        <v>2</v>
      </c>
    </row>
    <row r="145" spans="1:20" ht="12.95" customHeight="1" x14ac:dyDescent="0.2">
      <c r="A145" s="121">
        <f t="shared" ref="A145:E145" si="47">A112</f>
        <v>4</v>
      </c>
      <c r="B145" s="124" t="str">
        <f t="shared" si="47"/>
        <v>CÓRREGO FORMIGA</v>
      </c>
      <c r="C145" s="124" t="str">
        <f t="shared" si="47"/>
        <v>21°39'27.48''S</v>
      </c>
      <c r="D145" s="124" t="str">
        <f t="shared" si="47"/>
        <v>54°25'31.76''W</v>
      </c>
      <c r="E145" s="124">
        <f t="shared" si="47"/>
        <v>13.2</v>
      </c>
      <c r="F145" s="141">
        <v>0.4</v>
      </c>
      <c r="G145" s="126">
        <v>0</v>
      </c>
      <c r="H145" s="141">
        <v>0</v>
      </c>
      <c r="I145" s="125">
        <v>0</v>
      </c>
      <c r="J145" s="141">
        <v>0.4</v>
      </c>
      <c r="K145" s="141">
        <v>5.5</v>
      </c>
      <c r="L145" s="141">
        <v>6</v>
      </c>
      <c r="M145" s="141">
        <v>0</v>
      </c>
      <c r="N145" s="141">
        <v>4</v>
      </c>
      <c r="O145" s="141">
        <v>0.4</v>
      </c>
      <c r="P145" s="141">
        <v>3</v>
      </c>
      <c r="Q145" s="141">
        <v>6</v>
      </c>
      <c r="R145" s="141">
        <v>0.2</v>
      </c>
      <c r="S145" s="431">
        <v>3</v>
      </c>
      <c r="T145" s="433">
        <v>2</v>
      </c>
    </row>
    <row r="146" spans="1:20" ht="12.95" customHeight="1" x14ac:dyDescent="0.2">
      <c r="A146" s="121">
        <f t="shared" ref="A146:E146" si="48">A113</f>
        <v>5</v>
      </c>
      <c r="B146" s="124" t="str">
        <f t="shared" si="48"/>
        <v>CÓRREGO ANTINHA</v>
      </c>
      <c r="C146" s="124" t="str">
        <f t="shared" si="48"/>
        <v>21°38'42.22''S</v>
      </c>
      <c r="D146" s="124" t="str">
        <f t="shared" si="48"/>
        <v>54°27'12.82''W</v>
      </c>
      <c r="E146" s="124">
        <f t="shared" si="48"/>
        <v>7.2</v>
      </c>
      <c r="F146" s="141">
        <v>0.4</v>
      </c>
      <c r="G146" s="126">
        <v>0</v>
      </c>
      <c r="H146" s="141">
        <v>0</v>
      </c>
      <c r="I146" s="125">
        <v>0</v>
      </c>
      <c r="J146" s="141">
        <v>0.4</v>
      </c>
      <c r="K146" s="141">
        <v>5.5</v>
      </c>
      <c r="L146" s="141">
        <v>4</v>
      </c>
      <c r="M146" s="141">
        <v>0</v>
      </c>
      <c r="N146" s="141">
        <v>2</v>
      </c>
      <c r="O146" s="141">
        <v>0.4</v>
      </c>
      <c r="P146" s="141">
        <v>3</v>
      </c>
      <c r="Q146" s="141">
        <v>4</v>
      </c>
      <c r="R146" s="141">
        <v>0.2</v>
      </c>
      <c r="S146" s="431">
        <v>2</v>
      </c>
      <c r="T146" s="433">
        <v>2</v>
      </c>
    </row>
    <row r="147" spans="1:20" ht="12.95" customHeight="1" x14ac:dyDescent="0.2">
      <c r="A147" s="121">
        <f t="shared" ref="A147:E147" si="49">A114</f>
        <v>6</v>
      </c>
      <c r="B147" s="124" t="str">
        <f t="shared" si="49"/>
        <v>CÓRREGO FORMIGA</v>
      </c>
      <c r="C147" s="124" t="str">
        <f t="shared" si="49"/>
        <v>21°38'56.23''S</v>
      </c>
      <c r="D147" s="124" t="str">
        <f t="shared" si="49"/>
        <v>54°25'01.82''W</v>
      </c>
      <c r="E147" s="124">
        <f t="shared" si="49"/>
        <v>12</v>
      </c>
      <c r="F147" s="141">
        <v>0.4</v>
      </c>
      <c r="G147" s="126">
        <v>0</v>
      </c>
      <c r="H147" s="141">
        <v>0</v>
      </c>
      <c r="I147" s="125">
        <v>0</v>
      </c>
      <c r="J147" s="141">
        <v>0.4</v>
      </c>
      <c r="K147" s="141">
        <v>5.5</v>
      </c>
      <c r="L147" s="141">
        <v>6</v>
      </c>
      <c r="M147" s="141">
        <v>0</v>
      </c>
      <c r="N147" s="141">
        <v>4</v>
      </c>
      <c r="O147" s="141">
        <v>0.4</v>
      </c>
      <c r="P147" s="141">
        <v>3</v>
      </c>
      <c r="Q147" s="141">
        <v>6</v>
      </c>
      <c r="R147" s="141">
        <v>0.2</v>
      </c>
      <c r="S147" s="431">
        <v>3</v>
      </c>
      <c r="T147" s="433">
        <v>2</v>
      </c>
    </row>
    <row r="148" spans="1:20" ht="12.95" customHeight="1" x14ac:dyDescent="0.2">
      <c r="A148" s="121">
        <f t="shared" ref="A148:E148" si="50">A115</f>
        <v>7</v>
      </c>
      <c r="B148" s="124" t="str">
        <f t="shared" si="50"/>
        <v>CÓRREGO QUILOMBO</v>
      </c>
      <c r="C148" s="124" t="str">
        <f t="shared" si="50"/>
        <v>21°42'14.33''S</v>
      </c>
      <c r="D148" s="124" t="str">
        <f t="shared" si="50"/>
        <v>54°20'39.58''W</v>
      </c>
      <c r="E148" s="124">
        <f t="shared" si="50"/>
        <v>6.8</v>
      </c>
      <c r="F148" s="141">
        <v>0.4</v>
      </c>
      <c r="G148" s="126">
        <v>0</v>
      </c>
      <c r="H148" s="141">
        <v>0</v>
      </c>
      <c r="I148" s="125">
        <v>0</v>
      </c>
      <c r="J148" s="141">
        <v>0.4</v>
      </c>
      <c r="K148" s="141">
        <v>5.5</v>
      </c>
      <c r="L148" s="141">
        <v>4</v>
      </c>
      <c r="M148" s="141">
        <v>0</v>
      </c>
      <c r="N148" s="141">
        <v>2</v>
      </c>
      <c r="O148" s="141">
        <v>0.4</v>
      </c>
      <c r="P148" s="141">
        <v>3</v>
      </c>
      <c r="Q148" s="141">
        <v>4</v>
      </c>
      <c r="R148" s="141">
        <v>0.2</v>
      </c>
      <c r="S148" s="431">
        <v>2</v>
      </c>
      <c r="T148" s="433">
        <v>2</v>
      </c>
    </row>
    <row r="149" spans="1:20" ht="12.95" customHeight="1" x14ac:dyDescent="0.2">
      <c r="A149" s="121">
        <f t="shared" ref="A149:E149" si="51">A116</f>
        <v>8</v>
      </c>
      <c r="B149" s="124" t="str">
        <f t="shared" si="51"/>
        <v>ARROIO CORREGUINHO</v>
      </c>
      <c r="C149" s="124" t="str">
        <f t="shared" si="51"/>
        <v>21°42'39.87''S</v>
      </c>
      <c r="D149" s="124" t="str">
        <f t="shared" si="51"/>
        <v>54°18'52.81''W</v>
      </c>
      <c r="E149" s="124">
        <f t="shared" si="51"/>
        <v>5.8</v>
      </c>
      <c r="F149" s="141">
        <v>0.4</v>
      </c>
      <c r="G149" s="126">
        <v>0</v>
      </c>
      <c r="H149" s="141">
        <v>0</v>
      </c>
      <c r="I149" s="125">
        <v>0</v>
      </c>
      <c r="J149" s="141">
        <v>0.4</v>
      </c>
      <c r="K149" s="141">
        <v>5.5</v>
      </c>
      <c r="L149" s="141">
        <v>4</v>
      </c>
      <c r="M149" s="141">
        <v>0</v>
      </c>
      <c r="N149" s="141">
        <v>2</v>
      </c>
      <c r="O149" s="141">
        <v>0.4</v>
      </c>
      <c r="P149" s="141">
        <v>3</v>
      </c>
      <c r="Q149" s="141">
        <v>4</v>
      </c>
      <c r="R149" s="141">
        <v>0.2</v>
      </c>
      <c r="S149" s="431">
        <v>2</v>
      </c>
      <c r="T149" s="433">
        <v>2</v>
      </c>
    </row>
    <row r="150" spans="1:20" ht="12.95" customHeight="1" x14ac:dyDescent="0.2">
      <c r="A150" s="121">
        <f t="shared" ref="A150:E150" si="52">A117</f>
        <v>9</v>
      </c>
      <c r="B150" s="124" t="str">
        <f t="shared" si="52"/>
        <v>CÓRREGO GUATAMBU</v>
      </c>
      <c r="C150" s="124" t="str">
        <f t="shared" si="52"/>
        <v>21°43'17.70"S</v>
      </c>
      <c r="D150" s="124" t="str">
        <f t="shared" si="52"/>
        <v>54°16'36.10"W</v>
      </c>
      <c r="E150" s="124">
        <f t="shared" si="52"/>
        <v>10.6</v>
      </c>
      <c r="F150" s="141">
        <v>0.4</v>
      </c>
      <c r="G150" s="126">
        <v>0</v>
      </c>
      <c r="H150" s="141">
        <v>0</v>
      </c>
      <c r="I150" s="125">
        <v>0</v>
      </c>
      <c r="J150" s="141">
        <v>0.4</v>
      </c>
      <c r="K150" s="141">
        <v>5.5</v>
      </c>
      <c r="L150" s="141">
        <v>6</v>
      </c>
      <c r="M150" s="141">
        <v>0</v>
      </c>
      <c r="N150" s="141">
        <v>4</v>
      </c>
      <c r="O150" s="141">
        <v>0.4</v>
      </c>
      <c r="P150" s="141">
        <v>3</v>
      </c>
      <c r="Q150" s="141">
        <v>6</v>
      </c>
      <c r="R150" s="141">
        <v>0.2</v>
      </c>
      <c r="S150" s="431">
        <v>3</v>
      </c>
      <c r="T150" s="433">
        <v>2</v>
      </c>
    </row>
    <row r="151" spans="1:20" ht="12.95" customHeight="1" x14ac:dyDescent="0.2">
      <c r="A151" s="121">
        <f t="shared" ref="A151:E151" si="53">A118</f>
        <v>10</v>
      </c>
      <c r="B151" s="124" t="str">
        <f t="shared" si="53"/>
        <v>CÓRREGO QUILOMBO</v>
      </c>
      <c r="C151" s="124" t="str">
        <f t="shared" si="53"/>
        <v>21°42'51.11''S</v>
      </c>
      <c r="D151" s="124" t="str">
        <f t="shared" si="53"/>
        <v>54°16'52.81''W</v>
      </c>
      <c r="E151" s="124">
        <f t="shared" si="53"/>
        <v>5.8</v>
      </c>
      <c r="F151" s="141">
        <v>0.4</v>
      </c>
      <c r="G151" s="126">
        <v>0</v>
      </c>
      <c r="H151" s="141">
        <v>0</v>
      </c>
      <c r="I151" s="125">
        <v>0</v>
      </c>
      <c r="J151" s="141">
        <v>0.4</v>
      </c>
      <c r="K151" s="141">
        <v>5.5</v>
      </c>
      <c r="L151" s="141">
        <v>4</v>
      </c>
      <c r="M151" s="141">
        <v>0</v>
      </c>
      <c r="N151" s="141">
        <v>2</v>
      </c>
      <c r="O151" s="141">
        <v>0.4</v>
      </c>
      <c r="P151" s="141">
        <v>3</v>
      </c>
      <c r="Q151" s="141">
        <v>4</v>
      </c>
      <c r="R151" s="141">
        <v>0.2</v>
      </c>
      <c r="S151" s="431">
        <v>2</v>
      </c>
      <c r="T151" s="433">
        <v>2</v>
      </c>
    </row>
    <row r="152" spans="1:20" ht="12.95" customHeight="1" x14ac:dyDescent="0.2">
      <c r="A152" s="121">
        <f t="shared" ref="A152:E152" si="54">A119</f>
        <v>11</v>
      </c>
      <c r="B152" s="124" t="str">
        <f t="shared" si="54"/>
        <v>CÓRREGO SAPÉ</v>
      </c>
      <c r="C152" s="124" t="str">
        <f t="shared" si="54"/>
        <v>21°44'57.50"S</v>
      </c>
      <c r="D152" s="124" t="str">
        <f t="shared" si="54"/>
        <v>54°18'00.40"W</v>
      </c>
      <c r="E152" s="124">
        <f t="shared" si="54"/>
        <v>10.8</v>
      </c>
      <c r="F152" s="141">
        <v>0.4</v>
      </c>
      <c r="G152" s="126">
        <v>0</v>
      </c>
      <c r="H152" s="141">
        <v>0</v>
      </c>
      <c r="I152" s="125">
        <v>0</v>
      </c>
      <c r="J152" s="141">
        <v>0.4</v>
      </c>
      <c r="K152" s="141">
        <v>5.5</v>
      </c>
      <c r="L152" s="141">
        <v>6</v>
      </c>
      <c r="M152" s="141">
        <v>0</v>
      </c>
      <c r="N152" s="141">
        <v>4</v>
      </c>
      <c r="O152" s="141">
        <v>0.4</v>
      </c>
      <c r="P152" s="141">
        <v>3</v>
      </c>
      <c r="Q152" s="141">
        <v>6</v>
      </c>
      <c r="R152" s="141">
        <v>0.2</v>
      </c>
      <c r="S152" s="431">
        <v>3</v>
      </c>
      <c r="T152" s="433">
        <v>2</v>
      </c>
    </row>
    <row r="153" spans="1:20" ht="12.95" customHeight="1" x14ac:dyDescent="0.2">
      <c r="A153" s="121">
        <f t="shared" ref="A153:E153" si="55">A120</f>
        <v>12</v>
      </c>
      <c r="B153" s="124" t="str">
        <f t="shared" si="55"/>
        <v>CÓRREGO JUREMA</v>
      </c>
      <c r="C153" s="124" t="str">
        <f t="shared" si="55"/>
        <v>21°47'02.84''S</v>
      </c>
      <c r="D153" s="124" t="str">
        <f t="shared" si="55"/>
        <v>54°14'35.61''W</v>
      </c>
      <c r="E153" s="124">
        <f t="shared" si="55"/>
        <v>7.1</v>
      </c>
      <c r="F153" s="141">
        <v>0.4</v>
      </c>
      <c r="G153" s="126">
        <v>0</v>
      </c>
      <c r="H153" s="141">
        <v>0</v>
      </c>
      <c r="I153" s="125">
        <v>0</v>
      </c>
      <c r="J153" s="141">
        <v>0.4</v>
      </c>
      <c r="K153" s="141">
        <v>5.5</v>
      </c>
      <c r="L153" s="141">
        <v>4</v>
      </c>
      <c r="M153" s="141">
        <v>0</v>
      </c>
      <c r="N153" s="141">
        <v>2</v>
      </c>
      <c r="O153" s="141">
        <v>0.4</v>
      </c>
      <c r="P153" s="141">
        <v>3</v>
      </c>
      <c r="Q153" s="141">
        <v>4</v>
      </c>
      <c r="R153" s="141">
        <v>0.2</v>
      </c>
      <c r="S153" s="431">
        <v>2</v>
      </c>
      <c r="T153" s="433">
        <v>2</v>
      </c>
    </row>
    <row r="154" spans="1:20" ht="12.95" customHeight="1" x14ac:dyDescent="0.2">
      <c r="A154" s="121">
        <f t="shared" ref="A154:E154" si="56">A121</f>
        <v>13</v>
      </c>
      <c r="B154" s="124" t="str">
        <f t="shared" si="56"/>
        <v>CÓRREGO ARACI</v>
      </c>
      <c r="C154" s="124" t="str">
        <f t="shared" si="56"/>
        <v>21°45'04.33''S</v>
      </c>
      <c r="D154" s="124" t="str">
        <f t="shared" si="56"/>
        <v>54°12'41.25''W</v>
      </c>
      <c r="E154" s="124">
        <f t="shared" si="56"/>
        <v>6.4</v>
      </c>
      <c r="F154" s="141">
        <v>0.4</v>
      </c>
      <c r="G154" s="126">
        <v>0</v>
      </c>
      <c r="H154" s="141">
        <v>0</v>
      </c>
      <c r="I154" s="125">
        <v>0</v>
      </c>
      <c r="J154" s="141">
        <v>0.4</v>
      </c>
      <c r="K154" s="141">
        <v>5.5</v>
      </c>
      <c r="L154" s="141">
        <v>4</v>
      </c>
      <c r="M154" s="141">
        <v>0</v>
      </c>
      <c r="N154" s="141">
        <v>2</v>
      </c>
      <c r="O154" s="141">
        <v>0.4</v>
      </c>
      <c r="P154" s="141">
        <v>3</v>
      </c>
      <c r="Q154" s="141">
        <v>4</v>
      </c>
      <c r="R154" s="141">
        <v>0.2</v>
      </c>
      <c r="S154" s="431">
        <v>2</v>
      </c>
      <c r="T154" s="433">
        <v>2</v>
      </c>
    </row>
    <row r="155" spans="1:20" ht="12.95" customHeight="1" x14ac:dyDescent="0.2">
      <c r="A155" s="121">
        <f t="shared" ref="A155:E155" si="57">A122</f>
        <v>14</v>
      </c>
      <c r="B155" s="124" t="str">
        <f t="shared" si="57"/>
        <v>CÓRREGO ANHUMAS</v>
      </c>
      <c r="C155" s="124" t="str">
        <f t="shared" si="57"/>
        <v>21°51'40.49''S</v>
      </c>
      <c r="D155" s="124" t="str">
        <f t="shared" si="57"/>
        <v>54°08'14.26''W</v>
      </c>
      <c r="E155" s="124">
        <f t="shared" si="57"/>
        <v>11.8</v>
      </c>
      <c r="F155" s="141">
        <v>0.4</v>
      </c>
      <c r="G155" s="126">
        <v>0</v>
      </c>
      <c r="H155" s="141">
        <v>0</v>
      </c>
      <c r="I155" s="125">
        <v>0</v>
      </c>
      <c r="J155" s="141">
        <v>0.4</v>
      </c>
      <c r="K155" s="141">
        <v>5.5</v>
      </c>
      <c r="L155" s="141">
        <v>6</v>
      </c>
      <c r="M155" s="141">
        <v>0</v>
      </c>
      <c r="N155" s="141">
        <v>4</v>
      </c>
      <c r="O155" s="141">
        <v>0.4</v>
      </c>
      <c r="P155" s="141">
        <v>3</v>
      </c>
      <c r="Q155" s="141">
        <v>6</v>
      </c>
      <c r="R155" s="141">
        <v>0.2</v>
      </c>
      <c r="S155" s="431">
        <v>3</v>
      </c>
      <c r="T155" s="433">
        <v>2</v>
      </c>
    </row>
    <row r="156" spans="1:20" ht="12.95" customHeight="1" x14ac:dyDescent="0.2">
      <c r="A156" s="121">
        <f t="shared" ref="A156:E156" si="58">A123</f>
        <v>15</v>
      </c>
      <c r="B156" s="124" t="str">
        <f t="shared" si="58"/>
        <v>CÓRREGO CHIFRE DO VIADO</v>
      </c>
      <c r="C156" s="124" t="str">
        <f t="shared" si="58"/>
        <v>21°40'35.65''S</v>
      </c>
      <c r="D156" s="124" t="str">
        <f t="shared" si="58"/>
        <v>54°56'15.44''W</v>
      </c>
      <c r="E156" s="124">
        <f t="shared" si="58"/>
        <v>12</v>
      </c>
      <c r="F156" s="141">
        <v>0.4</v>
      </c>
      <c r="G156" s="126">
        <v>0</v>
      </c>
      <c r="H156" s="141">
        <v>0</v>
      </c>
      <c r="I156" s="125">
        <v>0</v>
      </c>
      <c r="J156" s="141">
        <v>0.4</v>
      </c>
      <c r="K156" s="141">
        <v>6.2</v>
      </c>
      <c r="L156" s="141">
        <v>6</v>
      </c>
      <c r="M156" s="141">
        <v>0</v>
      </c>
      <c r="N156" s="141">
        <v>4</v>
      </c>
      <c r="O156" s="141">
        <v>0.4</v>
      </c>
      <c r="P156" s="141">
        <v>3</v>
      </c>
      <c r="Q156" s="141">
        <v>6</v>
      </c>
      <c r="R156" s="141">
        <v>0.2</v>
      </c>
      <c r="S156" s="431">
        <v>3</v>
      </c>
      <c r="T156" s="433">
        <v>2</v>
      </c>
    </row>
    <row r="157" spans="1:20" ht="12.95" customHeight="1" x14ac:dyDescent="0.2">
      <c r="A157" s="121">
        <f t="shared" ref="A157:E157" si="59">A124</f>
        <v>16</v>
      </c>
      <c r="B157" s="124" t="str">
        <f t="shared" si="59"/>
        <v>CÓRREGO SANTA RITA</v>
      </c>
      <c r="C157" s="124" t="str">
        <f t="shared" si="59"/>
        <v>21°33'23.75''S</v>
      </c>
      <c r="D157" s="124" t="str">
        <f t="shared" si="59"/>
        <v>54°35'26.66''W</v>
      </c>
      <c r="E157" s="124">
        <f t="shared" si="59"/>
        <v>22.1</v>
      </c>
      <c r="F157" s="141">
        <v>0.4</v>
      </c>
      <c r="G157" s="126">
        <v>0</v>
      </c>
      <c r="H157" s="141">
        <v>0</v>
      </c>
      <c r="I157" s="125">
        <v>0</v>
      </c>
      <c r="J157" s="141">
        <v>0.4</v>
      </c>
      <c r="K157" s="141">
        <v>5.5</v>
      </c>
      <c r="L157" s="141">
        <v>10</v>
      </c>
      <c r="M157" s="141">
        <v>0</v>
      </c>
      <c r="N157" s="141">
        <v>6</v>
      </c>
      <c r="O157" s="141">
        <v>0.4</v>
      </c>
      <c r="P157" s="141">
        <v>3</v>
      </c>
      <c r="Q157" s="141">
        <v>10</v>
      </c>
      <c r="R157" s="141">
        <v>0.2</v>
      </c>
      <c r="S157" s="431">
        <v>4</v>
      </c>
      <c r="T157" s="433">
        <v>4</v>
      </c>
    </row>
    <row r="158" spans="1:20" ht="12.95" customHeight="1" x14ac:dyDescent="0.2">
      <c r="A158" s="121">
        <f t="shared" ref="A158:E158" si="60">A125</f>
        <v>17</v>
      </c>
      <c r="B158" s="124" t="str">
        <f t="shared" si="60"/>
        <v>RIO SERROTE</v>
      </c>
      <c r="C158" s="124" t="str">
        <f t="shared" si="60"/>
        <v>21°25'01.14''S</v>
      </c>
      <c r="D158" s="124" t="str">
        <f t="shared" si="60"/>
        <v>54°43'16.96''W</v>
      </c>
      <c r="E158" s="124">
        <f t="shared" si="60"/>
        <v>24.6</v>
      </c>
      <c r="F158" s="141">
        <v>0.4</v>
      </c>
      <c r="G158" s="126">
        <v>0</v>
      </c>
      <c r="H158" s="141">
        <v>0</v>
      </c>
      <c r="I158" s="125">
        <v>0</v>
      </c>
      <c r="J158" s="141">
        <v>0.4</v>
      </c>
      <c r="K158" s="141">
        <v>5.5</v>
      </c>
      <c r="L158" s="141">
        <v>10</v>
      </c>
      <c r="M158" s="141">
        <v>0</v>
      </c>
      <c r="N158" s="141">
        <v>6</v>
      </c>
      <c r="O158" s="141">
        <v>0.4</v>
      </c>
      <c r="P158" s="141">
        <v>3</v>
      </c>
      <c r="Q158" s="141">
        <v>10</v>
      </c>
      <c r="R158" s="141">
        <v>0.2</v>
      </c>
      <c r="S158" s="431">
        <v>4</v>
      </c>
      <c r="T158" s="433">
        <v>5</v>
      </c>
    </row>
    <row r="159" spans="1:20" ht="12.95" customHeight="1" x14ac:dyDescent="0.2">
      <c r="A159" s="121">
        <f t="shared" ref="A159:E159" si="61">A126</f>
        <v>18</v>
      </c>
      <c r="B159" s="124" t="str">
        <f t="shared" si="61"/>
        <v>CÓRREGO PASSATEMPO 1</v>
      </c>
      <c r="C159" s="124" t="str">
        <f t="shared" si="61"/>
        <v>21°29'34.92''S</v>
      </c>
      <c r="D159" s="124" t="str">
        <f t="shared" si="61"/>
        <v>54°49'18.44''W</v>
      </c>
      <c r="E159" s="124">
        <f t="shared" si="61"/>
        <v>16.399999999999999</v>
      </c>
      <c r="F159" s="141">
        <v>0.4</v>
      </c>
      <c r="G159" s="126">
        <v>0</v>
      </c>
      <c r="H159" s="141">
        <v>0</v>
      </c>
      <c r="I159" s="125">
        <v>0</v>
      </c>
      <c r="J159" s="141">
        <v>0.4</v>
      </c>
      <c r="K159" s="141">
        <v>5.5</v>
      </c>
      <c r="L159" s="141">
        <v>8</v>
      </c>
      <c r="M159" s="141">
        <v>0</v>
      </c>
      <c r="N159" s="141">
        <v>5</v>
      </c>
      <c r="O159" s="141">
        <v>0.4</v>
      </c>
      <c r="P159" s="141">
        <v>3</v>
      </c>
      <c r="Q159" s="141">
        <v>8</v>
      </c>
      <c r="R159" s="141">
        <v>0.2</v>
      </c>
      <c r="S159" s="431">
        <v>4</v>
      </c>
      <c r="T159" s="433">
        <v>2</v>
      </c>
    </row>
    <row r="160" spans="1:20" ht="12.95" customHeight="1" x14ac:dyDescent="0.2">
      <c r="A160" s="121">
        <f t="shared" ref="A160:E160" si="62">A127</f>
        <v>19</v>
      </c>
      <c r="B160" s="124" t="str">
        <f t="shared" si="62"/>
        <v>CÓRREGO PASSATEMPO 2</v>
      </c>
      <c r="C160" s="124" t="str">
        <f t="shared" si="62"/>
        <v>21°29'33.39''S</v>
      </c>
      <c r="D160" s="124" t="str">
        <f t="shared" si="62"/>
        <v>54°49'17.44''W</v>
      </c>
      <c r="E160" s="124">
        <f t="shared" si="62"/>
        <v>19.600000000000001</v>
      </c>
      <c r="F160" s="141">
        <v>0.4</v>
      </c>
      <c r="G160" s="126">
        <v>0</v>
      </c>
      <c r="H160" s="141">
        <v>0</v>
      </c>
      <c r="I160" s="125">
        <v>0</v>
      </c>
      <c r="J160" s="141">
        <v>0.4</v>
      </c>
      <c r="K160" s="141">
        <v>5.5</v>
      </c>
      <c r="L160" s="141">
        <v>8</v>
      </c>
      <c r="M160" s="141">
        <v>0</v>
      </c>
      <c r="N160" s="141">
        <v>5</v>
      </c>
      <c r="O160" s="141">
        <v>0.4</v>
      </c>
      <c r="P160" s="141">
        <v>3</v>
      </c>
      <c r="Q160" s="141">
        <v>8</v>
      </c>
      <c r="R160" s="141">
        <v>0.2</v>
      </c>
      <c r="S160" s="431">
        <v>4</v>
      </c>
      <c r="T160" s="433">
        <v>4</v>
      </c>
    </row>
    <row r="161" spans="1:20" ht="12.95" customHeight="1" x14ac:dyDescent="0.2">
      <c r="A161" s="121">
        <f t="shared" ref="A161:E161" si="63">A128</f>
        <v>20</v>
      </c>
      <c r="B161" s="124" t="str">
        <f t="shared" si="63"/>
        <v>CÓRREGO PASSATEMPO 3</v>
      </c>
      <c r="C161" s="124" t="str">
        <f t="shared" si="63"/>
        <v>21°28'09.42''S</v>
      </c>
      <c r="D161" s="124" t="str">
        <f t="shared" si="63"/>
        <v>54°48'01.11''W</v>
      </c>
      <c r="E161" s="124">
        <f t="shared" si="63"/>
        <v>6</v>
      </c>
      <c r="F161" s="141">
        <v>0.4</v>
      </c>
      <c r="G161" s="126">
        <v>0</v>
      </c>
      <c r="H161" s="141">
        <v>0</v>
      </c>
      <c r="I161" s="125">
        <v>0</v>
      </c>
      <c r="J161" s="141">
        <v>0.4</v>
      </c>
      <c r="K161" s="141">
        <v>6.2</v>
      </c>
      <c r="L161" s="141">
        <v>4</v>
      </c>
      <c r="M161" s="141">
        <v>0</v>
      </c>
      <c r="N161" s="141">
        <v>2</v>
      </c>
      <c r="O161" s="141">
        <v>0.4</v>
      </c>
      <c r="P161" s="141">
        <v>3</v>
      </c>
      <c r="Q161" s="141">
        <v>4</v>
      </c>
      <c r="R161" s="141">
        <v>0.2</v>
      </c>
      <c r="S161" s="431">
        <v>2</v>
      </c>
      <c r="T161" s="433">
        <v>2</v>
      </c>
    </row>
    <row r="162" spans="1:20" ht="12.95" customHeight="1" x14ac:dyDescent="0.2">
      <c r="A162" s="121">
        <f t="shared" ref="A162:E162" si="64">A129</f>
        <v>21</v>
      </c>
      <c r="B162" s="124" t="str">
        <f t="shared" si="64"/>
        <v>CÓRREGO TAQUARA</v>
      </c>
      <c r="C162" s="124" t="str">
        <f t="shared" si="64"/>
        <v>21°21'07.90''S</v>
      </c>
      <c r="D162" s="124" t="str">
        <f t="shared" si="64"/>
        <v>54°50'07.01''W</v>
      </c>
      <c r="E162" s="124">
        <f t="shared" si="64"/>
        <v>24</v>
      </c>
      <c r="F162" s="141">
        <v>0.4</v>
      </c>
      <c r="G162" s="126">
        <v>0</v>
      </c>
      <c r="H162" s="141">
        <v>0</v>
      </c>
      <c r="I162" s="125">
        <v>0</v>
      </c>
      <c r="J162" s="141">
        <v>0.4</v>
      </c>
      <c r="K162" s="141">
        <v>5.9</v>
      </c>
      <c r="L162" s="141">
        <v>10</v>
      </c>
      <c r="M162" s="141">
        <v>0</v>
      </c>
      <c r="N162" s="141">
        <v>6</v>
      </c>
      <c r="O162" s="141">
        <v>0.4</v>
      </c>
      <c r="P162" s="141">
        <v>3</v>
      </c>
      <c r="Q162" s="141">
        <v>10</v>
      </c>
      <c r="R162" s="141">
        <v>0.2</v>
      </c>
      <c r="S162" s="431">
        <v>4</v>
      </c>
      <c r="T162" s="433">
        <v>6</v>
      </c>
    </row>
    <row r="163" spans="1:20" ht="12.95" customHeight="1" x14ac:dyDescent="0.2">
      <c r="A163" s="121">
        <f t="shared" ref="A163:E163" si="65">A130</f>
        <v>22</v>
      </c>
      <c r="B163" s="124" t="str">
        <f t="shared" si="65"/>
        <v>CÓRREGO PASSATEMPO 4</v>
      </c>
      <c r="C163" s="124" t="str">
        <f t="shared" si="65"/>
        <v>21°29'23.36''S</v>
      </c>
      <c r="D163" s="124" t="str">
        <f t="shared" si="65"/>
        <v>54°52'56.83''W</v>
      </c>
      <c r="E163" s="124">
        <f t="shared" si="65"/>
        <v>14.3</v>
      </c>
      <c r="F163" s="141">
        <v>0.4</v>
      </c>
      <c r="G163" s="126">
        <v>0</v>
      </c>
      <c r="H163" s="141">
        <v>0</v>
      </c>
      <c r="I163" s="125">
        <v>0</v>
      </c>
      <c r="J163" s="141">
        <v>0.4</v>
      </c>
      <c r="K163" s="141">
        <v>5.5</v>
      </c>
      <c r="L163" s="141">
        <v>6</v>
      </c>
      <c r="M163" s="141">
        <v>0</v>
      </c>
      <c r="N163" s="141">
        <v>4</v>
      </c>
      <c r="O163" s="141">
        <v>0.4</v>
      </c>
      <c r="P163" s="141">
        <v>3</v>
      </c>
      <c r="Q163" s="141">
        <v>6</v>
      </c>
      <c r="R163" s="141">
        <v>0.2</v>
      </c>
      <c r="S163" s="431">
        <v>3</v>
      </c>
      <c r="T163" s="433">
        <v>2</v>
      </c>
    </row>
    <row r="164" spans="1:20" ht="12.95" customHeight="1" x14ac:dyDescent="0.2">
      <c r="A164" s="121">
        <f t="shared" ref="A164:E164" si="66">A131</f>
        <v>23</v>
      </c>
      <c r="B164" s="124" t="str">
        <f t="shared" si="66"/>
        <v>CÓRREGO DO COQUEIRO</v>
      </c>
      <c r="C164" s="124" t="str">
        <f t="shared" si="66"/>
        <v>21°30'51.74''S</v>
      </c>
      <c r="D164" s="124" t="str">
        <f t="shared" si="66"/>
        <v>54°52'00.30''W</v>
      </c>
      <c r="E164" s="124">
        <f t="shared" si="66"/>
        <v>22.3</v>
      </c>
      <c r="F164" s="141">
        <v>0.4</v>
      </c>
      <c r="G164" s="126">
        <v>0</v>
      </c>
      <c r="H164" s="141">
        <v>0</v>
      </c>
      <c r="I164" s="125">
        <v>0</v>
      </c>
      <c r="J164" s="141">
        <v>0.4</v>
      </c>
      <c r="K164" s="141">
        <v>5.5</v>
      </c>
      <c r="L164" s="141">
        <v>10</v>
      </c>
      <c r="M164" s="141">
        <v>0</v>
      </c>
      <c r="N164" s="141">
        <v>6</v>
      </c>
      <c r="O164" s="141">
        <v>0.4</v>
      </c>
      <c r="P164" s="141">
        <v>3</v>
      </c>
      <c r="Q164" s="141">
        <v>10</v>
      </c>
      <c r="R164" s="141">
        <v>0.2</v>
      </c>
      <c r="S164" s="431">
        <v>4</v>
      </c>
      <c r="T164" s="433">
        <v>2</v>
      </c>
    </row>
    <row r="165" spans="1:20" ht="12.95" customHeight="1" x14ac:dyDescent="0.2">
      <c r="A165" s="121">
        <f t="shared" ref="A165:E165" si="67">A132</f>
        <v>24</v>
      </c>
      <c r="B165" s="124" t="str">
        <f t="shared" si="67"/>
        <v>CÓRREGO CARRAPATO</v>
      </c>
      <c r="C165" s="124" t="str">
        <f t="shared" si="67"/>
        <v>21°32'42.64''S</v>
      </c>
      <c r="D165" s="124" t="str">
        <f t="shared" si="67"/>
        <v>55°00'59.87''W</v>
      </c>
      <c r="E165" s="124">
        <f t="shared" si="67"/>
        <v>18</v>
      </c>
      <c r="F165" s="141">
        <v>0.4</v>
      </c>
      <c r="G165" s="126">
        <v>0</v>
      </c>
      <c r="H165" s="141">
        <v>0</v>
      </c>
      <c r="I165" s="125">
        <v>0</v>
      </c>
      <c r="J165" s="141">
        <v>0.4</v>
      </c>
      <c r="K165" s="141">
        <v>5.5</v>
      </c>
      <c r="L165" s="141">
        <v>8</v>
      </c>
      <c r="M165" s="141">
        <v>0</v>
      </c>
      <c r="N165" s="141">
        <v>5</v>
      </c>
      <c r="O165" s="141">
        <v>0.4</v>
      </c>
      <c r="P165" s="141">
        <v>3</v>
      </c>
      <c r="Q165" s="141">
        <v>8</v>
      </c>
      <c r="R165" s="141">
        <v>0.2</v>
      </c>
      <c r="S165" s="431">
        <v>4</v>
      </c>
      <c r="T165" s="433">
        <v>4</v>
      </c>
    </row>
    <row r="166" spans="1:20" ht="12.95" customHeight="1" x14ac:dyDescent="0.2">
      <c r="A166" s="121">
        <f t="shared" ref="A166:E166" si="68">A133</f>
        <v>25</v>
      </c>
      <c r="B166" s="124" t="str">
        <f t="shared" si="68"/>
        <v>CÓRREGO BARRA MANSA</v>
      </c>
      <c r="C166" s="124" t="str">
        <f t="shared" si="68"/>
        <v>21°45'26.00"S</v>
      </c>
      <c r="D166" s="124" t="str">
        <f t="shared" si="68"/>
        <v>54°10'16.90"W</v>
      </c>
      <c r="E166" s="124">
        <f t="shared" si="68"/>
        <v>5.6</v>
      </c>
      <c r="F166" s="141">
        <v>0.4</v>
      </c>
      <c r="G166" s="126">
        <v>0</v>
      </c>
      <c r="H166" s="141">
        <v>0</v>
      </c>
      <c r="I166" s="125">
        <v>0</v>
      </c>
      <c r="J166" s="141">
        <v>0.4</v>
      </c>
      <c r="K166" s="141">
        <v>6.2</v>
      </c>
      <c r="L166" s="141">
        <v>4</v>
      </c>
      <c r="M166" s="141">
        <v>0</v>
      </c>
      <c r="N166" s="141">
        <v>2</v>
      </c>
      <c r="O166" s="141">
        <v>0.4</v>
      </c>
      <c r="P166" s="141">
        <v>3</v>
      </c>
      <c r="Q166" s="141">
        <v>4</v>
      </c>
      <c r="R166" s="141">
        <v>0.2</v>
      </c>
      <c r="S166" s="431">
        <v>2</v>
      </c>
      <c r="T166" s="433">
        <v>2</v>
      </c>
    </row>
    <row r="167" spans="1:20" ht="12.95" customHeight="1" x14ac:dyDescent="0.2">
      <c r="A167" s="121">
        <f t="shared" ref="A167:E167" si="69">A134</f>
        <v>26</v>
      </c>
      <c r="B167" s="124" t="str">
        <f t="shared" si="69"/>
        <v>CÓRREGO PASSATEMPO 5</v>
      </c>
      <c r="C167" s="124" t="str">
        <f t="shared" si="69"/>
        <v>21°29'57.99''S</v>
      </c>
      <c r="D167" s="124" t="str">
        <f t="shared" si="69"/>
        <v>54°43'07.39''W</v>
      </c>
      <c r="E167" s="124">
        <f t="shared" si="69"/>
        <v>22.3</v>
      </c>
      <c r="F167" s="141">
        <v>0.4</v>
      </c>
      <c r="G167" s="126">
        <v>0</v>
      </c>
      <c r="H167" s="141">
        <v>0</v>
      </c>
      <c r="I167" s="125">
        <v>0</v>
      </c>
      <c r="J167" s="141">
        <v>0.4</v>
      </c>
      <c r="K167" s="141">
        <v>5.5</v>
      </c>
      <c r="L167" s="141">
        <v>10</v>
      </c>
      <c r="M167" s="141">
        <v>0</v>
      </c>
      <c r="N167" s="141">
        <v>6</v>
      </c>
      <c r="O167" s="141">
        <v>0.4</v>
      </c>
      <c r="P167" s="141">
        <v>3</v>
      </c>
      <c r="Q167" s="141">
        <v>10</v>
      </c>
      <c r="R167" s="141">
        <v>0.2</v>
      </c>
      <c r="S167" s="431">
        <v>4</v>
      </c>
      <c r="T167" s="433">
        <v>2</v>
      </c>
    </row>
    <row r="168" spans="1:20" ht="12.95" customHeight="1" x14ac:dyDescent="0.2">
      <c r="A168" s="121"/>
      <c r="B168" s="124"/>
      <c r="C168" s="124"/>
      <c r="D168" s="124"/>
      <c r="E168" s="124"/>
      <c r="F168" s="141"/>
      <c r="G168" s="126"/>
      <c r="H168" s="141"/>
      <c r="I168" s="125"/>
      <c r="J168" s="141"/>
      <c r="K168" s="141"/>
      <c r="L168" s="141"/>
      <c r="M168" s="141"/>
      <c r="N168" s="141"/>
      <c r="O168" s="141"/>
      <c r="P168" s="141"/>
      <c r="Q168" s="141"/>
      <c r="R168" s="141"/>
      <c r="S168" s="301"/>
      <c r="T168" s="433"/>
    </row>
    <row r="169" spans="1:20" ht="12.95" customHeight="1" x14ac:dyDescent="0.2">
      <c r="A169" s="462" t="s">
        <v>185</v>
      </c>
      <c r="B169" s="462"/>
      <c r="C169" s="462"/>
      <c r="D169" s="462"/>
      <c r="E169" s="79">
        <f>TRUNC(SUM(E142:E168),3)</f>
        <v>335.7</v>
      </c>
      <c r="F169" s="79"/>
      <c r="G169" s="67">
        <v>0</v>
      </c>
      <c r="H169" s="79">
        <v>0</v>
      </c>
      <c r="I169" s="79">
        <v>0</v>
      </c>
      <c r="J169" s="79"/>
      <c r="K169" s="79"/>
      <c r="L169" s="287">
        <f>SUM(L142:L168)</f>
        <v>164</v>
      </c>
      <c r="M169" s="287">
        <f t="shared" ref="M169:S169" si="70">SUM(M142:M168)</f>
        <v>0</v>
      </c>
      <c r="N169" s="287">
        <f t="shared" si="70"/>
        <v>99</v>
      </c>
      <c r="O169" s="287">
        <f t="shared" si="70"/>
        <v>10.400000000000004</v>
      </c>
      <c r="P169" s="287">
        <f t="shared" si="70"/>
        <v>78</v>
      </c>
      <c r="Q169" s="287">
        <f t="shared" si="70"/>
        <v>164</v>
      </c>
      <c r="R169" s="287">
        <f t="shared" si="70"/>
        <v>5.200000000000002</v>
      </c>
      <c r="S169" s="432">
        <f t="shared" si="70"/>
        <v>77</v>
      </c>
      <c r="T169" s="432">
        <f>SUM(T142:T168)</f>
        <v>65</v>
      </c>
    </row>
    <row r="170" spans="1:20" ht="12.95" customHeight="1" x14ac:dyDescent="0.2">
      <c r="A170" s="502"/>
      <c r="B170" s="502"/>
      <c r="C170" s="502"/>
      <c r="D170" s="502"/>
      <c r="E170" s="502"/>
      <c r="F170" s="502"/>
      <c r="G170" s="502"/>
      <c r="H170" s="502"/>
      <c r="I170" s="502"/>
      <c r="J170" s="502"/>
      <c r="K170" s="502"/>
      <c r="L170" s="502"/>
      <c r="M170" s="502"/>
      <c r="N170" s="502"/>
      <c r="O170" s="502"/>
      <c r="P170" s="502"/>
      <c r="Q170" s="502"/>
      <c r="R170" s="502"/>
      <c r="S170" s="503"/>
      <c r="T170" s="433"/>
    </row>
    <row r="171" spans="1:20" ht="12.95" customHeight="1" x14ac:dyDescent="0.2">
      <c r="A171" s="476" t="s">
        <v>506</v>
      </c>
      <c r="B171" s="476"/>
      <c r="C171" s="476"/>
      <c r="D171" s="476"/>
      <c r="E171" s="476"/>
      <c r="F171" s="476"/>
      <c r="G171" s="476"/>
      <c r="H171" s="476"/>
      <c r="I171" s="476"/>
      <c r="J171" s="476"/>
      <c r="K171" s="476"/>
      <c r="L171" s="476"/>
      <c r="M171" s="476"/>
      <c r="N171" s="476"/>
      <c r="O171" s="476"/>
      <c r="P171" s="476"/>
      <c r="Q171" s="476"/>
      <c r="R171" s="476"/>
      <c r="S171" s="476"/>
    </row>
    <row r="172" spans="1:20" ht="12.95" customHeight="1" x14ac:dyDescent="0.2">
      <c r="A172" s="477" t="str">
        <f>$A$7</f>
        <v>MANUTENÇÃO E CONSERVAÇÃO DAS PONTES DE MADEIRA</v>
      </c>
      <c r="B172" s="477"/>
      <c r="C172" s="477"/>
      <c r="D172" s="477"/>
      <c r="E172" s="477"/>
      <c r="F172" s="477"/>
      <c r="G172" s="477"/>
      <c r="H172" s="477"/>
      <c r="I172" s="477"/>
      <c r="J172" s="477"/>
      <c r="K172" s="477"/>
      <c r="L172" s="477"/>
      <c r="M172" s="477"/>
      <c r="N172" s="477"/>
      <c r="O172" s="477"/>
      <c r="P172" s="477"/>
      <c r="Q172" s="477"/>
      <c r="R172" s="477"/>
      <c r="S172" s="477"/>
    </row>
    <row r="173" spans="1:20" ht="12.95" customHeight="1" x14ac:dyDescent="0.2">
      <c r="A173" s="474" t="s">
        <v>0</v>
      </c>
      <c r="B173" s="463" t="s">
        <v>1</v>
      </c>
      <c r="C173" s="464"/>
      <c r="D173" s="464"/>
      <c r="E173" s="464"/>
      <c r="F173" s="464"/>
      <c r="G173" s="465"/>
      <c r="H173" s="466" t="s">
        <v>61</v>
      </c>
      <c r="I173" s="467"/>
      <c r="J173" s="467"/>
      <c r="K173" s="467"/>
      <c r="L173" s="467"/>
      <c r="M173" s="467"/>
      <c r="N173" s="467"/>
      <c r="O173" s="467"/>
      <c r="P173" s="467"/>
      <c r="Q173" s="467"/>
      <c r="R173" s="467"/>
      <c r="S173" s="468"/>
    </row>
    <row r="174" spans="1:20" ht="33.75" customHeight="1" x14ac:dyDescent="0.2">
      <c r="A174" s="474"/>
      <c r="B174" s="94" t="s">
        <v>504</v>
      </c>
      <c r="C174" s="66" t="str">
        <f t="shared" ref="C174:D200" si="71">C9</f>
        <v>Latitude</v>
      </c>
      <c r="D174" s="66" t="str">
        <f t="shared" si="71"/>
        <v>Longitude</v>
      </c>
      <c r="E174" s="66" t="s">
        <v>396</v>
      </c>
      <c r="F174" s="83" t="str">
        <f>$F$9</f>
        <v>Largura (m)</v>
      </c>
      <c r="G174" s="83" t="str">
        <f>$G$9</f>
        <v>Extensão (m)</v>
      </c>
      <c r="H174" s="83" t="s">
        <v>352</v>
      </c>
      <c r="I174" s="92" t="s">
        <v>47</v>
      </c>
      <c r="J174" s="92" t="s">
        <v>59</v>
      </c>
      <c r="K174" s="92" t="s">
        <v>60</v>
      </c>
      <c r="L174" s="92" t="s">
        <v>48</v>
      </c>
      <c r="M174" s="96" t="s">
        <v>56</v>
      </c>
      <c r="N174" s="96" t="s">
        <v>186</v>
      </c>
      <c r="O174" s="96" t="s">
        <v>187</v>
      </c>
      <c r="P174" s="83" t="s">
        <v>352</v>
      </c>
      <c r="Q174" s="96" t="s">
        <v>394</v>
      </c>
      <c r="R174" s="96" t="s">
        <v>395</v>
      </c>
      <c r="S174" s="96" t="s">
        <v>57</v>
      </c>
    </row>
    <row r="175" spans="1:20" ht="12.95" customHeight="1" x14ac:dyDescent="0.2">
      <c r="A175" s="127">
        <f t="shared" ref="A175:A200" si="72">A76</f>
        <v>1</v>
      </c>
      <c r="B175" s="128" t="str">
        <f t="shared" ref="B175:B200" si="73">B109</f>
        <v>CÓRREGO DO CHINELO</v>
      </c>
      <c r="C175" s="298" t="str">
        <f t="shared" si="71"/>
        <v>21°53'30.35''S</v>
      </c>
      <c r="D175" s="298" t="str">
        <f t="shared" si="71"/>
        <v>54°35'16.91''W</v>
      </c>
      <c r="E175" s="298">
        <f>'1 - Inventário'!K9</f>
        <v>3</v>
      </c>
      <c r="F175" s="128">
        <f t="shared" ref="F175:G200" si="74">F76</f>
        <v>5</v>
      </c>
      <c r="G175" s="128">
        <f t="shared" si="74"/>
        <v>13</v>
      </c>
      <c r="H175" s="141">
        <v>0.4</v>
      </c>
      <c r="I175" s="141">
        <v>2</v>
      </c>
      <c r="J175" s="141">
        <v>10</v>
      </c>
      <c r="K175" s="141">
        <v>5</v>
      </c>
      <c r="L175" s="141">
        <v>2.5</v>
      </c>
      <c r="M175" s="131">
        <v>37.5</v>
      </c>
      <c r="N175" s="129">
        <v>0</v>
      </c>
      <c r="O175" s="130">
        <f>M175</f>
        <v>37.5</v>
      </c>
      <c r="P175" s="141">
        <v>0.2</v>
      </c>
      <c r="Q175" s="129">
        <v>8</v>
      </c>
      <c r="R175" s="129">
        <v>4</v>
      </c>
      <c r="S175" s="130">
        <v>0.69200000000000006</v>
      </c>
    </row>
    <row r="176" spans="1:20" ht="12.95" customHeight="1" x14ac:dyDescent="0.2">
      <c r="A176" s="127">
        <f t="shared" si="72"/>
        <v>2</v>
      </c>
      <c r="B176" s="128" t="str">
        <f t="shared" si="73"/>
        <v>CÓRREGO AREIAS</v>
      </c>
      <c r="C176" s="298" t="str">
        <f t="shared" si="71"/>
        <v>21°48'55.89''S</v>
      </c>
      <c r="D176" s="298" t="str">
        <f t="shared" si="71"/>
        <v>54°32'36.89''W</v>
      </c>
      <c r="E176" s="298">
        <f>'1 - Inventário'!K10</f>
        <v>3</v>
      </c>
      <c r="F176" s="128">
        <f t="shared" si="74"/>
        <v>4.4000000000000004</v>
      </c>
      <c r="G176" s="128">
        <f t="shared" si="74"/>
        <v>6</v>
      </c>
      <c r="H176" s="141">
        <v>0.4</v>
      </c>
      <c r="I176" s="141">
        <v>2</v>
      </c>
      <c r="J176" s="141">
        <v>8.8000000000000007</v>
      </c>
      <c r="K176" s="141">
        <v>4.4000000000000004</v>
      </c>
      <c r="L176" s="141">
        <v>2.5</v>
      </c>
      <c r="M176" s="131">
        <v>33</v>
      </c>
      <c r="N176" s="129">
        <v>0</v>
      </c>
      <c r="O176" s="130">
        <f t="shared" ref="O176:O200" si="75">M176</f>
        <v>33</v>
      </c>
      <c r="P176" s="141">
        <v>0.2</v>
      </c>
      <c r="Q176" s="129">
        <v>8</v>
      </c>
      <c r="R176" s="129">
        <v>4</v>
      </c>
      <c r="S176" s="130">
        <v>0.62719999999999998</v>
      </c>
    </row>
    <row r="177" spans="1:19" ht="12.95" customHeight="1" x14ac:dyDescent="0.2">
      <c r="A177" s="127">
        <f t="shared" si="72"/>
        <v>3</v>
      </c>
      <c r="B177" s="128" t="str">
        <f t="shared" si="73"/>
        <v>CÓRREGO ARARAS</v>
      </c>
      <c r="C177" s="298" t="str">
        <f t="shared" si="71"/>
        <v>21°47'42.63''S</v>
      </c>
      <c r="D177" s="298" t="str">
        <f t="shared" si="71"/>
        <v>54°31'56.42''W</v>
      </c>
      <c r="E177" s="298">
        <f>'1 - Inventário'!K11</f>
        <v>3</v>
      </c>
      <c r="F177" s="128">
        <f t="shared" si="74"/>
        <v>4.8</v>
      </c>
      <c r="G177" s="128">
        <f t="shared" si="74"/>
        <v>12</v>
      </c>
      <c r="H177" s="141">
        <v>0.4</v>
      </c>
      <c r="I177" s="141">
        <v>2</v>
      </c>
      <c r="J177" s="141">
        <v>9.6</v>
      </c>
      <c r="K177" s="141">
        <v>4.8</v>
      </c>
      <c r="L177" s="141">
        <v>2.5</v>
      </c>
      <c r="M177" s="131">
        <v>36</v>
      </c>
      <c r="N177" s="129">
        <v>0</v>
      </c>
      <c r="O177" s="130">
        <f t="shared" si="75"/>
        <v>36</v>
      </c>
      <c r="P177" s="141">
        <v>0.2</v>
      </c>
      <c r="Q177" s="129">
        <v>8</v>
      </c>
      <c r="R177" s="129">
        <v>4</v>
      </c>
      <c r="S177" s="130">
        <v>0.6704</v>
      </c>
    </row>
    <row r="178" spans="1:19" ht="12.95" customHeight="1" x14ac:dyDescent="0.2">
      <c r="A178" s="127">
        <f t="shared" si="72"/>
        <v>4</v>
      </c>
      <c r="B178" s="128" t="str">
        <f t="shared" si="73"/>
        <v>CÓRREGO FORMIGA</v>
      </c>
      <c r="C178" s="298" t="str">
        <f t="shared" si="71"/>
        <v>21°39'27.48''S</v>
      </c>
      <c r="D178" s="298" t="str">
        <f t="shared" si="71"/>
        <v>54°25'31.76''W</v>
      </c>
      <c r="E178" s="298">
        <f>'1 - Inventário'!K12</f>
        <v>3</v>
      </c>
      <c r="F178" s="128">
        <f t="shared" si="74"/>
        <v>4.4000000000000004</v>
      </c>
      <c r="G178" s="128">
        <f t="shared" si="74"/>
        <v>13.2</v>
      </c>
      <c r="H178" s="141">
        <v>0.4</v>
      </c>
      <c r="I178" s="141">
        <v>2</v>
      </c>
      <c r="J178" s="141">
        <v>8.8000000000000007</v>
      </c>
      <c r="K178" s="141">
        <v>4.4000000000000004</v>
      </c>
      <c r="L178" s="141">
        <v>2.5</v>
      </c>
      <c r="M178" s="131">
        <v>33</v>
      </c>
      <c r="N178" s="129">
        <v>0</v>
      </c>
      <c r="O178" s="130">
        <f t="shared" si="75"/>
        <v>33</v>
      </c>
      <c r="P178" s="141">
        <v>0.2</v>
      </c>
      <c r="Q178" s="129">
        <v>8</v>
      </c>
      <c r="R178" s="129">
        <v>4</v>
      </c>
      <c r="S178" s="130">
        <v>0.62719999999999998</v>
      </c>
    </row>
    <row r="179" spans="1:19" ht="12.95" customHeight="1" x14ac:dyDescent="0.2">
      <c r="A179" s="127">
        <f t="shared" si="72"/>
        <v>5</v>
      </c>
      <c r="B179" s="128" t="str">
        <f t="shared" si="73"/>
        <v>CÓRREGO ANTINHA</v>
      </c>
      <c r="C179" s="298" t="str">
        <f t="shared" si="71"/>
        <v>21°38'42.22''S</v>
      </c>
      <c r="D179" s="298" t="str">
        <f t="shared" si="71"/>
        <v>54°27'12.82''W</v>
      </c>
      <c r="E179" s="298">
        <f>'1 - Inventário'!K13</f>
        <v>3</v>
      </c>
      <c r="F179" s="128">
        <f t="shared" si="74"/>
        <v>4.4000000000000004</v>
      </c>
      <c r="G179" s="128">
        <f t="shared" si="74"/>
        <v>7.2</v>
      </c>
      <c r="H179" s="141">
        <v>0.4</v>
      </c>
      <c r="I179" s="141">
        <v>2</v>
      </c>
      <c r="J179" s="141">
        <v>8.8000000000000007</v>
      </c>
      <c r="K179" s="141">
        <v>4.4000000000000004</v>
      </c>
      <c r="L179" s="141">
        <v>2.5</v>
      </c>
      <c r="M179" s="131">
        <v>33</v>
      </c>
      <c r="N179" s="129">
        <v>0</v>
      </c>
      <c r="O179" s="130">
        <f t="shared" si="75"/>
        <v>33</v>
      </c>
      <c r="P179" s="141">
        <v>0.2</v>
      </c>
      <c r="Q179" s="129">
        <v>8</v>
      </c>
      <c r="R179" s="129">
        <v>4</v>
      </c>
      <c r="S179" s="130">
        <v>0.62719999999999998</v>
      </c>
    </row>
    <row r="180" spans="1:19" ht="12.95" customHeight="1" x14ac:dyDescent="0.2">
      <c r="A180" s="127">
        <f t="shared" si="72"/>
        <v>6</v>
      </c>
      <c r="B180" s="128" t="str">
        <f t="shared" si="73"/>
        <v>CÓRREGO FORMIGA</v>
      </c>
      <c r="C180" s="298" t="str">
        <f t="shared" si="71"/>
        <v>21°38'56.23''S</v>
      </c>
      <c r="D180" s="298" t="str">
        <f t="shared" si="71"/>
        <v>54°25'01.82''W</v>
      </c>
      <c r="E180" s="298">
        <f>'1 - Inventário'!K14</f>
        <v>3</v>
      </c>
      <c r="F180" s="128">
        <f t="shared" si="74"/>
        <v>4.4000000000000004</v>
      </c>
      <c r="G180" s="128">
        <f t="shared" si="74"/>
        <v>12</v>
      </c>
      <c r="H180" s="141">
        <v>0.4</v>
      </c>
      <c r="I180" s="141">
        <v>2</v>
      </c>
      <c r="J180" s="141">
        <v>8.8000000000000007</v>
      </c>
      <c r="K180" s="141">
        <v>4.4000000000000004</v>
      </c>
      <c r="L180" s="141">
        <v>2.5</v>
      </c>
      <c r="M180" s="131">
        <v>33</v>
      </c>
      <c r="N180" s="129">
        <v>0</v>
      </c>
      <c r="O180" s="130">
        <f t="shared" si="75"/>
        <v>33</v>
      </c>
      <c r="P180" s="141">
        <v>0.2</v>
      </c>
      <c r="Q180" s="129">
        <v>8</v>
      </c>
      <c r="R180" s="129">
        <v>4</v>
      </c>
      <c r="S180" s="130">
        <v>0.62719999999999998</v>
      </c>
    </row>
    <row r="181" spans="1:19" ht="12.95" customHeight="1" x14ac:dyDescent="0.2">
      <c r="A181" s="127">
        <f t="shared" si="72"/>
        <v>7</v>
      </c>
      <c r="B181" s="128" t="str">
        <f t="shared" si="73"/>
        <v>CÓRREGO QUILOMBO</v>
      </c>
      <c r="C181" s="298" t="str">
        <f t="shared" si="71"/>
        <v>21°42'14.33''S</v>
      </c>
      <c r="D181" s="298" t="str">
        <f t="shared" si="71"/>
        <v>54°20'39.58''W</v>
      </c>
      <c r="E181" s="298">
        <f>'1 - Inventário'!K15</f>
        <v>3</v>
      </c>
      <c r="F181" s="128">
        <f t="shared" si="74"/>
        <v>4.4000000000000004</v>
      </c>
      <c r="G181" s="128">
        <f t="shared" si="74"/>
        <v>6.8</v>
      </c>
      <c r="H181" s="141">
        <v>0.4</v>
      </c>
      <c r="I181" s="141">
        <v>2</v>
      </c>
      <c r="J181" s="141">
        <v>8.8000000000000007</v>
      </c>
      <c r="K181" s="141">
        <v>4.4000000000000004</v>
      </c>
      <c r="L181" s="141">
        <v>2.5</v>
      </c>
      <c r="M181" s="131">
        <v>33</v>
      </c>
      <c r="N181" s="129">
        <v>0</v>
      </c>
      <c r="O181" s="130">
        <f t="shared" si="75"/>
        <v>33</v>
      </c>
      <c r="P181" s="141">
        <v>0.2</v>
      </c>
      <c r="Q181" s="129">
        <v>8</v>
      </c>
      <c r="R181" s="129">
        <v>4</v>
      </c>
      <c r="S181" s="130">
        <v>0.62719999999999998</v>
      </c>
    </row>
    <row r="182" spans="1:19" ht="12.95" customHeight="1" x14ac:dyDescent="0.2">
      <c r="A182" s="127">
        <f t="shared" si="72"/>
        <v>8</v>
      </c>
      <c r="B182" s="128" t="str">
        <f t="shared" si="73"/>
        <v>ARROIO CORREGUINHO</v>
      </c>
      <c r="C182" s="298" t="str">
        <f t="shared" si="71"/>
        <v>21°42'39.87''S</v>
      </c>
      <c r="D182" s="298" t="str">
        <f t="shared" si="71"/>
        <v>54°18'52.81''W</v>
      </c>
      <c r="E182" s="298">
        <f>'1 - Inventário'!K16</f>
        <v>3</v>
      </c>
      <c r="F182" s="128">
        <f t="shared" si="74"/>
        <v>4.4000000000000004</v>
      </c>
      <c r="G182" s="128">
        <f t="shared" si="74"/>
        <v>5.8</v>
      </c>
      <c r="H182" s="141">
        <v>0.4</v>
      </c>
      <c r="I182" s="141">
        <v>2</v>
      </c>
      <c r="J182" s="141">
        <v>8.8000000000000007</v>
      </c>
      <c r="K182" s="141">
        <v>4.4000000000000004</v>
      </c>
      <c r="L182" s="141">
        <v>2.5</v>
      </c>
      <c r="M182" s="131">
        <v>33</v>
      </c>
      <c r="N182" s="129">
        <v>0</v>
      </c>
      <c r="O182" s="130">
        <f t="shared" si="75"/>
        <v>33</v>
      </c>
      <c r="P182" s="141">
        <v>0.2</v>
      </c>
      <c r="Q182" s="129">
        <v>8</v>
      </c>
      <c r="R182" s="129">
        <v>4</v>
      </c>
      <c r="S182" s="130">
        <v>0.62719999999999998</v>
      </c>
    </row>
    <row r="183" spans="1:19" ht="12.95" customHeight="1" x14ac:dyDescent="0.2">
      <c r="A183" s="127">
        <f t="shared" si="72"/>
        <v>9</v>
      </c>
      <c r="B183" s="128" t="str">
        <f t="shared" si="73"/>
        <v>CÓRREGO GUATAMBU</v>
      </c>
      <c r="C183" s="298" t="str">
        <f t="shared" si="71"/>
        <v>21°43'17.70"S</v>
      </c>
      <c r="D183" s="298" t="str">
        <f t="shared" si="71"/>
        <v>54°16'36.10"W</v>
      </c>
      <c r="E183" s="298">
        <f>'1 - Inventário'!K17</f>
        <v>3</v>
      </c>
      <c r="F183" s="128">
        <f t="shared" si="74"/>
        <v>4.4000000000000004</v>
      </c>
      <c r="G183" s="128">
        <f t="shared" si="74"/>
        <v>10.6</v>
      </c>
      <c r="H183" s="141">
        <v>0.4</v>
      </c>
      <c r="I183" s="141">
        <v>2</v>
      </c>
      <c r="J183" s="141">
        <v>8.8000000000000007</v>
      </c>
      <c r="K183" s="141">
        <v>4.4000000000000004</v>
      </c>
      <c r="L183" s="141">
        <v>2.5</v>
      </c>
      <c r="M183" s="131">
        <v>33</v>
      </c>
      <c r="N183" s="129">
        <v>0</v>
      </c>
      <c r="O183" s="130">
        <f t="shared" si="75"/>
        <v>33</v>
      </c>
      <c r="P183" s="141">
        <v>0.2</v>
      </c>
      <c r="Q183" s="129">
        <v>8</v>
      </c>
      <c r="R183" s="129">
        <v>4</v>
      </c>
      <c r="S183" s="130">
        <v>0.62719999999999998</v>
      </c>
    </row>
    <row r="184" spans="1:19" ht="12.95" customHeight="1" x14ac:dyDescent="0.2">
      <c r="A184" s="127">
        <f t="shared" si="72"/>
        <v>10</v>
      </c>
      <c r="B184" s="128" t="str">
        <f t="shared" si="73"/>
        <v>CÓRREGO QUILOMBO</v>
      </c>
      <c r="C184" s="298" t="str">
        <f t="shared" si="71"/>
        <v>21°42'51.11''S</v>
      </c>
      <c r="D184" s="298" t="str">
        <f t="shared" si="71"/>
        <v>54°16'52.81''W</v>
      </c>
      <c r="E184" s="298">
        <f>'1 - Inventário'!K18</f>
        <v>3</v>
      </c>
      <c r="F184" s="128">
        <f t="shared" si="74"/>
        <v>4.4000000000000004</v>
      </c>
      <c r="G184" s="128">
        <f t="shared" si="74"/>
        <v>5.8</v>
      </c>
      <c r="H184" s="141">
        <v>0.4</v>
      </c>
      <c r="I184" s="141">
        <v>2</v>
      </c>
      <c r="J184" s="141">
        <v>8.8000000000000007</v>
      </c>
      <c r="K184" s="141">
        <v>4.4000000000000004</v>
      </c>
      <c r="L184" s="141">
        <v>2.5</v>
      </c>
      <c r="M184" s="131">
        <v>33</v>
      </c>
      <c r="N184" s="129">
        <v>0</v>
      </c>
      <c r="O184" s="130">
        <f t="shared" si="75"/>
        <v>33</v>
      </c>
      <c r="P184" s="141">
        <v>0.2</v>
      </c>
      <c r="Q184" s="129">
        <v>8</v>
      </c>
      <c r="R184" s="129">
        <v>4</v>
      </c>
      <c r="S184" s="130">
        <v>0.62719999999999998</v>
      </c>
    </row>
    <row r="185" spans="1:19" ht="12.95" customHeight="1" x14ac:dyDescent="0.2">
      <c r="A185" s="127">
        <f t="shared" si="72"/>
        <v>11</v>
      </c>
      <c r="B185" s="128" t="str">
        <f t="shared" si="73"/>
        <v>CÓRREGO SAPÉ</v>
      </c>
      <c r="C185" s="298" t="str">
        <f t="shared" si="71"/>
        <v>21°44'57.50"S</v>
      </c>
      <c r="D185" s="298" t="str">
        <f t="shared" si="71"/>
        <v>54°18'00.40"W</v>
      </c>
      <c r="E185" s="298">
        <f>'1 - Inventário'!K19</f>
        <v>3</v>
      </c>
      <c r="F185" s="128">
        <f t="shared" si="74"/>
        <v>4.4000000000000004</v>
      </c>
      <c r="G185" s="128">
        <f t="shared" si="74"/>
        <v>10.8</v>
      </c>
      <c r="H185" s="141">
        <v>0.4</v>
      </c>
      <c r="I185" s="141">
        <v>2</v>
      </c>
      <c r="J185" s="141">
        <v>8.8000000000000007</v>
      </c>
      <c r="K185" s="141">
        <v>4.4000000000000004</v>
      </c>
      <c r="L185" s="141">
        <v>2.5</v>
      </c>
      <c r="M185" s="131">
        <v>33</v>
      </c>
      <c r="N185" s="129">
        <v>0</v>
      </c>
      <c r="O185" s="130">
        <f t="shared" si="75"/>
        <v>33</v>
      </c>
      <c r="P185" s="141">
        <v>0.2</v>
      </c>
      <c r="Q185" s="129">
        <v>8</v>
      </c>
      <c r="R185" s="129">
        <v>4</v>
      </c>
      <c r="S185" s="130">
        <v>0.62719999999999998</v>
      </c>
    </row>
    <row r="186" spans="1:19" ht="12.95" customHeight="1" x14ac:dyDescent="0.2">
      <c r="A186" s="127">
        <f t="shared" si="72"/>
        <v>12</v>
      </c>
      <c r="B186" s="128" t="str">
        <f t="shared" si="73"/>
        <v>CÓRREGO JUREMA</v>
      </c>
      <c r="C186" s="298" t="str">
        <f t="shared" si="71"/>
        <v>21°47'02.84''S</v>
      </c>
      <c r="D186" s="298" t="str">
        <f t="shared" si="71"/>
        <v>54°14'35.61''W</v>
      </c>
      <c r="E186" s="298">
        <f>'1 - Inventário'!K20</f>
        <v>3</v>
      </c>
      <c r="F186" s="128">
        <f t="shared" si="74"/>
        <v>4.4000000000000004</v>
      </c>
      <c r="G186" s="128">
        <f t="shared" si="74"/>
        <v>7.1</v>
      </c>
      <c r="H186" s="141">
        <v>0.4</v>
      </c>
      <c r="I186" s="141">
        <v>2</v>
      </c>
      <c r="J186" s="141">
        <v>8.8000000000000007</v>
      </c>
      <c r="K186" s="141">
        <v>4.4000000000000004</v>
      </c>
      <c r="L186" s="141">
        <v>2.5</v>
      </c>
      <c r="M186" s="131">
        <v>33</v>
      </c>
      <c r="N186" s="129">
        <v>0</v>
      </c>
      <c r="O186" s="130">
        <f t="shared" si="75"/>
        <v>33</v>
      </c>
      <c r="P186" s="141">
        <v>0.2</v>
      </c>
      <c r="Q186" s="129">
        <v>8</v>
      </c>
      <c r="R186" s="129">
        <v>4</v>
      </c>
      <c r="S186" s="130">
        <v>0.62719999999999998</v>
      </c>
    </row>
    <row r="187" spans="1:19" ht="12.95" customHeight="1" x14ac:dyDescent="0.2">
      <c r="A187" s="127">
        <f t="shared" si="72"/>
        <v>13</v>
      </c>
      <c r="B187" s="128" t="str">
        <f t="shared" si="73"/>
        <v>CÓRREGO ARACI</v>
      </c>
      <c r="C187" s="298" t="str">
        <f t="shared" si="71"/>
        <v>21°45'04.33''S</v>
      </c>
      <c r="D187" s="298" t="str">
        <f t="shared" si="71"/>
        <v>54°12'41.25''W</v>
      </c>
      <c r="E187" s="298">
        <f>'1 - Inventário'!K21</f>
        <v>3</v>
      </c>
      <c r="F187" s="128">
        <f t="shared" si="74"/>
        <v>4.4000000000000004</v>
      </c>
      <c r="G187" s="128">
        <f t="shared" si="74"/>
        <v>6.4</v>
      </c>
      <c r="H187" s="141">
        <v>0.4</v>
      </c>
      <c r="I187" s="141">
        <v>2</v>
      </c>
      <c r="J187" s="141">
        <v>8.8000000000000007</v>
      </c>
      <c r="K187" s="141">
        <v>4.4000000000000004</v>
      </c>
      <c r="L187" s="141">
        <v>2.5</v>
      </c>
      <c r="M187" s="131">
        <v>33</v>
      </c>
      <c r="N187" s="129">
        <v>0</v>
      </c>
      <c r="O187" s="130">
        <f t="shared" si="75"/>
        <v>33</v>
      </c>
      <c r="P187" s="141">
        <v>0.2</v>
      </c>
      <c r="Q187" s="129">
        <v>8</v>
      </c>
      <c r="R187" s="129">
        <v>4</v>
      </c>
      <c r="S187" s="130">
        <v>0.62719999999999998</v>
      </c>
    </row>
    <row r="188" spans="1:19" ht="12.95" customHeight="1" x14ac:dyDescent="0.2">
      <c r="A188" s="127">
        <f t="shared" si="72"/>
        <v>14</v>
      </c>
      <c r="B188" s="128" t="str">
        <f t="shared" si="73"/>
        <v>CÓRREGO ANHUMAS</v>
      </c>
      <c r="C188" s="298" t="str">
        <f t="shared" si="71"/>
        <v>21°51'40.49''S</v>
      </c>
      <c r="D188" s="298" t="str">
        <f t="shared" si="71"/>
        <v>54°08'14.26''W</v>
      </c>
      <c r="E188" s="298">
        <f>'1 - Inventário'!K22</f>
        <v>3</v>
      </c>
      <c r="F188" s="128">
        <f t="shared" si="74"/>
        <v>4.4000000000000004</v>
      </c>
      <c r="G188" s="128">
        <f t="shared" si="74"/>
        <v>11.8</v>
      </c>
      <c r="H188" s="141">
        <v>0.4</v>
      </c>
      <c r="I188" s="141">
        <v>2</v>
      </c>
      <c r="J188" s="141">
        <v>8.8000000000000007</v>
      </c>
      <c r="K188" s="141">
        <v>4.4000000000000004</v>
      </c>
      <c r="L188" s="141">
        <v>2.5</v>
      </c>
      <c r="M188" s="131">
        <v>33</v>
      </c>
      <c r="N188" s="129">
        <v>0</v>
      </c>
      <c r="O188" s="130">
        <f t="shared" si="75"/>
        <v>33</v>
      </c>
      <c r="P188" s="141">
        <v>0.2</v>
      </c>
      <c r="Q188" s="129">
        <v>8</v>
      </c>
      <c r="R188" s="129">
        <v>4</v>
      </c>
      <c r="S188" s="130">
        <v>0.62719999999999998</v>
      </c>
    </row>
    <row r="189" spans="1:19" ht="12.95" customHeight="1" x14ac:dyDescent="0.2">
      <c r="A189" s="127">
        <f t="shared" si="72"/>
        <v>15</v>
      </c>
      <c r="B189" s="128" t="str">
        <f t="shared" si="73"/>
        <v>CÓRREGO CHIFRE DO VIADO</v>
      </c>
      <c r="C189" s="298" t="str">
        <f t="shared" si="71"/>
        <v>21°40'35.65''S</v>
      </c>
      <c r="D189" s="298" t="str">
        <f t="shared" si="71"/>
        <v>54°56'15.44''W</v>
      </c>
      <c r="E189" s="298">
        <f>'1 - Inventário'!K23</f>
        <v>3</v>
      </c>
      <c r="F189" s="128">
        <f t="shared" si="74"/>
        <v>5</v>
      </c>
      <c r="G189" s="128">
        <f t="shared" si="74"/>
        <v>12</v>
      </c>
      <c r="H189" s="141">
        <v>0.4</v>
      </c>
      <c r="I189" s="141">
        <v>2</v>
      </c>
      <c r="J189" s="141">
        <v>10</v>
      </c>
      <c r="K189" s="141">
        <v>5</v>
      </c>
      <c r="L189" s="141">
        <v>2.5</v>
      </c>
      <c r="M189" s="131">
        <v>37.5</v>
      </c>
      <c r="N189" s="129">
        <v>0</v>
      </c>
      <c r="O189" s="130">
        <f t="shared" si="75"/>
        <v>37.5</v>
      </c>
      <c r="P189" s="141">
        <v>0.2</v>
      </c>
      <c r="Q189" s="129">
        <v>8</v>
      </c>
      <c r="R189" s="129">
        <v>4</v>
      </c>
      <c r="S189" s="130">
        <v>0.69200000000000006</v>
      </c>
    </row>
    <row r="190" spans="1:19" ht="12.95" customHeight="1" x14ac:dyDescent="0.2">
      <c r="A190" s="127">
        <f t="shared" si="72"/>
        <v>16</v>
      </c>
      <c r="B190" s="128" t="str">
        <f t="shared" si="73"/>
        <v>CÓRREGO SANTA RITA</v>
      </c>
      <c r="C190" s="298" t="str">
        <f t="shared" si="71"/>
        <v>21°33'23.75''S</v>
      </c>
      <c r="D190" s="298" t="str">
        <f t="shared" si="71"/>
        <v>54°35'26.66''W</v>
      </c>
      <c r="E190" s="298">
        <f>'1 - Inventário'!K24</f>
        <v>3</v>
      </c>
      <c r="F190" s="128">
        <f t="shared" si="74"/>
        <v>4.4000000000000004</v>
      </c>
      <c r="G190" s="128">
        <f t="shared" si="74"/>
        <v>22.1</v>
      </c>
      <c r="H190" s="141">
        <v>0.4</v>
      </c>
      <c r="I190" s="141">
        <v>2</v>
      </c>
      <c r="J190" s="141">
        <v>8.8000000000000007</v>
      </c>
      <c r="K190" s="141">
        <v>4.4000000000000004</v>
      </c>
      <c r="L190" s="141">
        <v>2.5</v>
      </c>
      <c r="M190" s="131">
        <v>33</v>
      </c>
      <c r="N190" s="129">
        <v>0</v>
      </c>
      <c r="O190" s="130">
        <f t="shared" si="75"/>
        <v>33</v>
      </c>
      <c r="P190" s="141">
        <v>0.2</v>
      </c>
      <c r="Q190" s="129">
        <v>8</v>
      </c>
      <c r="R190" s="129">
        <v>4</v>
      </c>
      <c r="S190" s="130">
        <v>0.62719999999999998</v>
      </c>
    </row>
    <row r="191" spans="1:19" ht="12.95" customHeight="1" x14ac:dyDescent="0.2">
      <c r="A191" s="127">
        <f t="shared" si="72"/>
        <v>17</v>
      </c>
      <c r="B191" s="128" t="str">
        <f t="shared" si="73"/>
        <v>RIO SERROTE</v>
      </c>
      <c r="C191" s="298" t="str">
        <f t="shared" si="71"/>
        <v>21°25'01.14''S</v>
      </c>
      <c r="D191" s="298" t="str">
        <f t="shared" si="71"/>
        <v>54°43'16.96''W</v>
      </c>
      <c r="E191" s="298">
        <f>'1 - Inventário'!K25</f>
        <v>3</v>
      </c>
      <c r="F191" s="128">
        <f t="shared" si="74"/>
        <v>4.4000000000000004</v>
      </c>
      <c r="G191" s="128">
        <f t="shared" si="74"/>
        <v>24.6</v>
      </c>
      <c r="H191" s="141">
        <v>0.4</v>
      </c>
      <c r="I191" s="141">
        <v>2</v>
      </c>
      <c r="J191" s="141">
        <v>8.8000000000000007</v>
      </c>
      <c r="K191" s="141">
        <v>4.4000000000000004</v>
      </c>
      <c r="L191" s="141">
        <v>2.5</v>
      </c>
      <c r="M191" s="131">
        <v>33</v>
      </c>
      <c r="N191" s="129">
        <v>0</v>
      </c>
      <c r="O191" s="130">
        <f t="shared" si="75"/>
        <v>33</v>
      </c>
      <c r="P191" s="141">
        <v>0.2</v>
      </c>
      <c r="Q191" s="129">
        <v>8</v>
      </c>
      <c r="R191" s="129">
        <v>4</v>
      </c>
      <c r="S191" s="130">
        <v>0.62719999999999998</v>
      </c>
    </row>
    <row r="192" spans="1:19" ht="12.95" customHeight="1" x14ac:dyDescent="0.2">
      <c r="A192" s="127">
        <f t="shared" si="72"/>
        <v>18</v>
      </c>
      <c r="B192" s="128" t="str">
        <f t="shared" si="73"/>
        <v>CÓRREGO PASSATEMPO 1</v>
      </c>
      <c r="C192" s="298" t="str">
        <f t="shared" si="71"/>
        <v>21°29'34.92''S</v>
      </c>
      <c r="D192" s="298" t="str">
        <f t="shared" si="71"/>
        <v>54°49'18.44''W</v>
      </c>
      <c r="E192" s="298">
        <f>'1 - Inventário'!K26</f>
        <v>3</v>
      </c>
      <c r="F192" s="128">
        <f t="shared" si="74"/>
        <v>4.4000000000000004</v>
      </c>
      <c r="G192" s="128">
        <f t="shared" si="74"/>
        <v>16.399999999999999</v>
      </c>
      <c r="H192" s="141">
        <v>0.4</v>
      </c>
      <c r="I192" s="141">
        <v>2</v>
      </c>
      <c r="J192" s="141">
        <v>8.8000000000000007</v>
      </c>
      <c r="K192" s="141">
        <v>4.4000000000000004</v>
      </c>
      <c r="L192" s="141">
        <v>2.5</v>
      </c>
      <c r="M192" s="131">
        <v>33</v>
      </c>
      <c r="N192" s="129">
        <v>0</v>
      </c>
      <c r="O192" s="130">
        <f t="shared" si="75"/>
        <v>33</v>
      </c>
      <c r="P192" s="141">
        <v>0.2</v>
      </c>
      <c r="Q192" s="129">
        <v>8</v>
      </c>
      <c r="R192" s="129">
        <v>4</v>
      </c>
      <c r="S192" s="130">
        <v>0.62719999999999998</v>
      </c>
    </row>
    <row r="193" spans="1:24" ht="12.95" customHeight="1" x14ac:dyDescent="0.2">
      <c r="A193" s="127">
        <f t="shared" si="72"/>
        <v>19</v>
      </c>
      <c r="B193" s="128" t="str">
        <f t="shared" si="73"/>
        <v>CÓRREGO PASSATEMPO 2</v>
      </c>
      <c r="C193" s="298" t="str">
        <f t="shared" si="71"/>
        <v>21°29'33.39''S</v>
      </c>
      <c r="D193" s="298" t="str">
        <f t="shared" si="71"/>
        <v>54°49'17.44''W</v>
      </c>
      <c r="E193" s="298">
        <f>'1 - Inventário'!K27</f>
        <v>3</v>
      </c>
      <c r="F193" s="128">
        <f t="shared" si="74"/>
        <v>4.4000000000000004</v>
      </c>
      <c r="G193" s="128">
        <f t="shared" si="74"/>
        <v>19.600000000000001</v>
      </c>
      <c r="H193" s="141">
        <v>0.4</v>
      </c>
      <c r="I193" s="141">
        <v>2</v>
      </c>
      <c r="J193" s="141">
        <v>8.8000000000000007</v>
      </c>
      <c r="K193" s="141">
        <v>4.4000000000000004</v>
      </c>
      <c r="L193" s="141">
        <v>2.5</v>
      </c>
      <c r="M193" s="131">
        <v>33</v>
      </c>
      <c r="N193" s="129">
        <v>0</v>
      </c>
      <c r="O193" s="130">
        <f t="shared" si="75"/>
        <v>33</v>
      </c>
      <c r="P193" s="141">
        <v>0.2</v>
      </c>
      <c r="Q193" s="129">
        <v>8</v>
      </c>
      <c r="R193" s="129">
        <v>4</v>
      </c>
      <c r="S193" s="130">
        <v>0.62719999999999998</v>
      </c>
    </row>
    <row r="194" spans="1:24" ht="12.95" customHeight="1" x14ac:dyDescent="0.2">
      <c r="A194" s="127">
        <f t="shared" si="72"/>
        <v>20</v>
      </c>
      <c r="B194" s="128" t="str">
        <f t="shared" si="73"/>
        <v>CÓRREGO PASSATEMPO 3</v>
      </c>
      <c r="C194" s="298" t="str">
        <f t="shared" si="71"/>
        <v>21°28'09.42''S</v>
      </c>
      <c r="D194" s="298" t="str">
        <f t="shared" si="71"/>
        <v>54°48'01.11''W</v>
      </c>
      <c r="E194" s="298">
        <f>'1 - Inventário'!K28</f>
        <v>3</v>
      </c>
      <c r="F194" s="128">
        <f t="shared" si="74"/>
        <v>5</v>
      </c>
      <c r="G194" s="128">
        <f t="shared" si="74"/>
        <v>6</v>
      </c>
      <c r="H194" s="141">
        <v>0.4</v>
      </c>
      <c r="I194" s="141">
        <v>2</v>
      </c>
      <c r="J194" s="141">
        <v>10</v>
      </c>
      <c r="K194" s="141">
        <v>5</v>
      </c>
      <c r="L194" s="141">
        <v>2.5</v>
      </c>
      <c r="M194" s="131">
        <v>37.5</v>
      </c>
      <c r="N194" s="129">
        <v>0</v>
      </c>
      <c r="O194" s="130">
        <f t="shared" si="75"/>
        <v>37.5</v>
      </c>
      <c r="P194" s="141">
        <v>0.2</v>
      </c>
      <c r="Q194" s="129">
        <v>8</v>
      </c>
      <c r="R194" s="129">
        <v>4</v>
      </c>
      <c r="S194" s="130">
        <v>0.69200000000000006</v>
      </c>
    </row>
    <row r="195" spans="1:24" ht="12.95" customHeight="1" x14ac:dyDescent="0.2">
      <c r="A195" s="127">
        <f t="shared" si="72"/>
        <v>21</v>
      </c>
      <c r="B195" s="128" t="str">
        <f t="shared" si="73"/>
        <v>CÓRREGO TAQUARA</v>
      </c>
      <c r="C195" s="298" t="str">
        <f t="shared" si="71"/>
        <v>21°21'07.90''S</v>
      </c>
      <c r="D195" s="298" t="str">
        <f t="shared" si="71"/>
        <v>54°50'07.01''W</v>
      </c>
      <c r="E195" s="298">
        <f>'1 - Inventário'!K29</f>
        <v>3</v>
      </c>
      <c r="F195" s="128">
        <f t="shared" si="74"/>
        <v>4.8</v>
      </c>
      <c r="G195" s="128">
        <f t="shared" si="74"/>
        <v>24</v>
      </c>
      <c r="H195" s="141">
        <v>0.4</v>
      </c>
      <c r="I195" s="141">
        <v>2</v>
      </c>
      <c r="J195" s="141">
        <v>9.6</v>
      </c>
      <c r="K195" s="141">
        <v>4.8</v>
      </c>
      <c r="L195" s="141">
        <v>2.5</v>
      </c>
      <c r="M195" s="131">
        <v>36</v>
      </c>
      <c r="N195" s="129">
        <v>0</v>
      </c>
      <c r="O195" s="130">
        <f t="shared" si="75"/>
        <v>36</v>
      </c>
      <c r="P195" s="141">
        <v>0.2</v>
      </c>
      <c r="Q195" s="129">
        <v>8</v>
      </c>
      <c r="R195" s="129">
        <v>4</v>
      </c>
      <c r="S195" s="130">
        <v>0.6704</v>
      </c>
    </row>
    <row r="196" spans="1:24" ht="12.95" customHeight="1" x14ac:dyDescent="0.2">
      <c r="A196" s="127">
        <f t="shared" si="72"/>
        <v>22</v>
      </c>
      <c r="B196" s="128" t="str">
        <f t="shared" si="73"/>
        <v>CÓRREGO PASSATEMPO 4</v>
      </c>
      <c r="C196" s="298" t="str">
        <f t="shared" si="71"/>
        <v>21°29'23.36''S</v>
      </c>
      <c r="D196" s="298" t="str">
        <f t="shared" si="71"/>
        <v>54°52'56.83''W</v>
      </c>
      <c r="E196" s="298">
        <f>'1 - Inventário'!K30</f>
        <v>3</v>
      </c>
      <c r="F196" s="128">
        <f t="shared" si="74"/>
        <v>4.4000000000000004</v>
      </c>
      <c r="G196" s="128">
        <f t="shared" si="74"/>
        <v>14.3</v>
      </c>
      <c r="H196" s="141">
        <v>0.4</v>
      </c>
      <c r="I196" s="141">
        <v>2</v>
      </c>
      <c r="J196" s="141">
        <v>8.8000000000000007</v>
      </c>
      <c r="K196" s="141">
        <v>4.4000000000000004</v>
      </c>
      <c r="L196" s="141">
        <v>2.5</v>
      </c>
      <c r="M196" s="131">
        <v>33</v>
      </c>
      <c r="N196" s="129">
        <v>0</v>
      </c>
      <c r="O196" s="130">
        <f t="shared" si="75"/>
        <v>33</v>
      </c>
      <c r="P196" s="141">
        <v>0.2</v>
      </c>
      <c r="Q196" s="129">
        <v>8</v>
      </c>
      <c r="R196" s="129">
        <v>4</v>
      </c>
      <c r="S196" s="130">
        <v>0.62719999999999998</v>
      </c>
    </row>
    <row r="197" spans="1:24" ht="12.95" customHeight="1" x14ac:dyDescent="0.2">
      <c r="A197" s="127">
        <f t="shared" si="72"/>
        <v>23</v>
      </c>
      <c r="B197" s="128" t="str">
        <f t="shared" si="73"/>
        <v>CÓRREGO DO COQUEIRO</v>
      </c>
      <c r="C197" s="298" t="str">
        <f t="shared" si="71"/>
        <v>21°30'51.74''S</v>
      </c>
      <c r="D197" s="298" t="str">
        <f t="shared" si="71"/>
        <v>54°52'00.30''W</v>
      </c>
      <c r="E197" s="298">
        <f>'1 - Inventário'!K31</f>
        <v>3</v>
      </c>
      <c r="F197" s="128">
        <f t="shared" si="74"/>
        <v>4.4000000000000004</v>
      </c>
      <c r="G197" s="128">
        <f t="shared" si="74"/>
        <v>22.3</v>
      </c>
      <c r="H197" s="141">
        <v>0.4</v>
      </c>
      <c r="I197" s="141">
        <v>2</v>
      </c>
      <c r="J197" s="141">
        <v>8.8000000000000007</v>
      </c>
      <c r="K197" s="141">
        <v>4.4000000000000004</v>
      </c>
      <c r="L197" s="141">
        <v>2.5</v>
      </c>
      <c r="M197" s="131">
        <v>33</v>
      </c>
      <c r="N197" s="129">
        <v>0</v>
      </c>
      <c r="O197" s="130">
        <f t="shared" si="75"/>
        <v>33</v>
      </c>
      <c r="P197" s="141">
        <v>0.2</v>
      </c>
      <c r="Q197" s="129">
        <v>8</v>
      </c>
      <c r="R197" s="129">
        <v>4</v>
      </c>
      <c r="S197" s="130">
        <v>0.62719999999999998</v>
      </c>
    </row>
    <row r="198" spans="1:24" ht="12.95" customHeight="1" x14ac:dyDescent="0.2">
      <c r="A198" s="127">
        <f t="shared" si="72"/>
        <v>24</v>
      </c>
      <c r="B198" s="128" t="str">
        <f t="shared" si="73"/>
        <v>CÓRREGO CARRAPATO</v>
      </c>
      <c r="C198" s="298" t="str">
        <f t="shared" si="71"/>
        <v>21°32'42.64''S</v>
      </c>
      <c r="D198" s="298" t="str">
        <f t="shared" si="71"/>
        <v>55°00'59.87''W</v>
      </c>
      <c r="E198" s="298">
        <f>'1 - Inventário'!K32</f>
        <v>3</v>
      </c>
      <c r="F198" s="128">
        <f t="shared" si="74"/>
        <v>4.4000000000000004</v>
      </c>
      <c r="G198" s="128">
        <f t="shared" si="74"/>
        <v>18</v>
      </c>
      <c r="H198" s="141">
        <v>0.4</v>
      </c>
      <c r="I198" s="141">
        <v>2</v>
      </c>
      <c r="J198" s="141">
        <v>8.8000000000000007</v>
      </c>
      <c r="K198" s="141">
        <v>4.4000000000000004</v>
      </c>
      <c r="L198" s="141">
        <v>2.5</v>
      </c>
      <c r="M198" s="131">
        <v>33</v>
      </c>
      <c r="N198" s="129">
        <v>0</v>
      </c>
      <c r="O198" s="130">
        <f t="shared" si="75"/>
        <v>33</v>
      </c>
      <c r="P198" s="141">
        <v>0.2</v>
      </c>
      <c r="Q198" s="129">
        <v>8</v>
      </c>
      <c r="R198" s="129">
        <v>4</v>
      </c>
      <c r="S198" s="130">
        <v>0.62719999999999998</v>
      </c>
    </row>
    <row r="199" spans="1:24" ht="12.95" customHeight="1" x14ac:dyDescent="0.2">
      <c r="A199" s="127">
        <f t="shared" si="72"/>
        <v>25</v>
      </c>
      <c r="B199" s="128" t="str">
        <f t="shared" si="73"/>
        <v>CÓRREGO BARRA MANSA</v>
      </c>
      <c r="C199" s="298" t="str">
        <f t="shared" si="71"/>
        <v>21°45'26.00"S</v>
      </c>
      <c r="D199" s="298" t="str">
        <f t="shared" si="71"/>
        <v>54°10'16.90"W</v>
      </c>
      <c r="E199" s="298">
        <f>'1 - Inventário'!K33</f>
        <v>3</v>
      </c>
      <c r="F199" s="128">
        <f t="shared" si="74"/>
        <v>5</v>
      </c>
      <c r="G199" s="128">
        <f t="shared" si="74"/>
        <v>5.6</v>
      </c>
      <c r="H199" s="141">
        <v>0.4</v>
      </c>
      <c r="I199" s="141">
        <v>2</v>
      </c>
      <c r="J199" s="141">
        <v>10</v>
      </c>
      <c r="K199" s="141">
        <v>5</v>
      </c>
      <c r="L199" s="141">
        <v>2.5</v>
      </c>
      <c r="M199" s="131">
        <v>37.5</v>
      </c>
      <c r="N199" s="129">
        <v>0</v>
      </c>
      <c r="O199" s="130">
        <f t="shared" si="75"/>
        <v>37.5</v>
      </c>
      <c r="P199" s="141">
        <v>0.2</v>
      </c>
      <c r="Q199" s="129">
        <v>8</v>
      </c>
      <c r="R199" s="129">
        <v>4</v>
      </c>
      <c r="S199" s="130">
        <v>0.69200000000000006</v>
      </c>
    </row>
    <row r="200" spans="1:24" ht="12.95" customHeight="1" x14ac:dyDescent="0.2">
      <c r="A200" s="127">
        <f t="shared" si="72"/>
        <v>26</v>
      </c>
      <c r="B200" s="128" t="str">
        <f t="shared" si="73"/>
        <v>CÓRREGO PASSATEMPO 5</v>
      </c>
      <c r="C200" s="298" t="str">
        <f t="shared" si="71"/>
        <v>21°29'57.99''S</v>
      </c>
      <c r="D200" s="298" t="str">
        <f t="shared" si="71"/>
        <v>54°43'07.39''W</v>
      </c>
      <c r="E200" s="298">
        <f>'1 - Inventário'!K34</f>
        <v>3</v>
      </c>
      <c r="F200" s="128">
        <f t="shared" si="74"/>
        <v>4.4000000000000004</v>
      </c>
      <c r="G200" s="128">
        <f t="shared" si="74"/>
        <v>22.3</v>
      </c>
      <c r="H200" s="141">
        <v>0.4</v>
      </c>
      <c r="I200" s="141">
        <v>2</v>
      </c>
      <c r="J200" s="141">
        <v>8.8000000000000007</v>
      </c>
      <c r="K200" s="141">
        <v>4.4000000000000004</v>
      </c>
      <c r="L200" s="141">
        <v>2.5</v>
      </c>
      <c r="M200" s="131">
        <v>33</v>
      </c>
      <c r="N200" s="129">
        <v>0</v>
      </c>
      <c r="O200" s="130">
        <f t="shared" si="75"/>
        <v>33</v>
      </c>
      <c r="P200" s="141">
        <v>0.2</v>
      </c>
      <c r="Q200" s="129">
        <v>8</v>
      </c>
      <c r="R200" s="129">
        <v>4</v>
      </c>
      <c r="S200" s="130">
        <v>0.62719999999999998</v>
      </c>
    </row>
    <row r="201" spans="1:24" ht="12.95" customHeight="1" x14ac:dyDescent="0.2">
      <c r="A201" s="127"/>
      <c r="B201" s="128"/>
      <c r="C201" s="128"/>
      <c r="D201" s="128"/>
      <c r="E201" s="128"/>
      <c r="F201" s="131"/>
      <c r="G201" s="128"/>
      <c r="H201" s="141"/>
      <c r="I201" s="141"/>
      <c r="J201" s="141"/>
      <c r="K201" s="141"/>
      <c r="L201" s="141"/>
      <c r="M201" s="129"/>
      <c r="N201" s="129"/>
      <c r="O201" s="129"/>
      <c r="P201" s="141"/>
      <c r="Q201" s="129"/>
      <c r="R201" s="129"/>
      <c r="S201" s="130"/>
    </row>
    <row r="202" spans="1:24" ht="12.95" customHeight="1" x14ac:dyDescent="0.2">
      <c r="A202" s="462" t="s">
        <v>185</v>
      </c>
      <c r="B202" s="462"/>
      <c r="C202" s="462"/>
      <c r="D202" s="462"/>
      <c r="E202" s="462"/>
      <c r="F202" s="462"/>
      <c r="G202" s="79">
        <f>TRUNC(SUM(G175:G201),3)</f>
        <v>335.7</v>
      </c>
      <c r="H202" s="79"/>
      <c r="I202" s="79">
        <v>52</v>
      </c>
      <c r="J202" s="79">
        <v>235.2</v>
      </c>
      <c r="K202" s="79">
        <v>117.6</v>
      </c>
      <c r="L202" s="79">
        <v>65</v>
      </c>
      <c r="M202" s="435">
        <f>SUM(M175:M200)</f>
        <v>882</v>
      </c>
      <c r="N202" s="435">
        <f t="shared" ref="N202:S202" si="76">SUM(N175:N200)</f>
        <v>0</v>
      </c>
      <c r="O202" s="435">
        <f t="shared" si="76"/>
        <v>882</v>
      </c>
      <c r="P202" s="435">
        <f t="shared" si="76"/>
        <v>5.200000000000002</v>
      </c>
      <c r="Q202" s="435">
        <f t="shared" si="76"/>
        <v>208</v>
      </c>
      <c r="R202" s="435">
        <f t="shared" si="76"/>
        <v>104</v>
      </c>
      <c r="S202" s="435">
        <f t="shared" si="76"/>
        <v>16.652800000000003</v>
      </c>
    </row>
    <row r="203" spans="1:24" ht="12.95" customHeight="1" x14ac:dyDescent="0.2">
      <c r="A203" s="502"/>
      <c r="B203" s="502"/>
      <c r="C203" s="502"/>
      <c r="D203" s="502"/>
      <c r="E203" s="502"/>
      <c r="F203" s="502"/>
      <c r="G203" s="502"/>
      <c r="H203" s="502"/>
      <c r="I203" s="502"/>
      <c r="J203" s="502"/>
      <c r="K203" s="502"/>
      <c r="L203" s="502"/>
      <c r="M203" s="502"/>
      <c r="N203" s="502"/>
      <c r="O203" s="502"/>
      <c r="P203" s="502"/>
      <c r="Q203" s="502"/>
      <c r="R203" s="502"/>
      <c r="S203" s="502"/>
    </row>
    <row r="204" spans="1:24" ht="12.95" customHeight="1" x14ac:dyDescent="0.2">
      <c r="A204" s="476" t="s">
        <v>415</v>
      </c>
      <c r="B204" s="476"/>
      <c r="C204" s="476"/>
      <c r="D204" s="476"/>
      <c r="E204" s="476"/>
      <c r="F204" s="476"/>
      <c r="G204" s="476"/>
      <c r="H204" s="476"/>
      <c r="I204" s="476"/>
      <c r="J204" s="476"/>
      <c r="K204" s="476"/>
      <c r="L204" s="476"/>
      <c r="M204" s="476"/>
      <c r="N204" s="476"/>
      <c r="O204" s="476"/>
      <c r="P204" s="476"/>
      <c r="Q204" s="476"/>
      <c r="R204" s="476"/>
      <c r="S204" s="476"/>
    </row>
    <row r="205" spans="1:24" ht="12.95" customHeight="1" x14ac:dyDescent="0.2">
      <c r="A205" s="477" t="str">
        <f>$A$7</f>
        <v>MANUTENÇÃO E CONSERVAÇÃO DAS PONTES DE MADEIRA</v>
      </c>
      <c r="B205" s="477"/>
      <c r="C205" s="477"/>
      <c r="D205" s="477"/>
      <c r="E205" s="477"/>
      <c r="F205" s="477"/>
      <c r="G205" s="477"/>
      <c r="H205" s="477"/>
      <c r="I205" s="477"/>
      <c r="J205" s="477"/>
      <c r="K205" s="477"/>
      <c r="L205" s="477"/>
      <c r="M205" s="477"/>
      <c r="N205" s="477"/>
      <c r="O205" s="477"/>
      <c r="P205" s="477"/>
      <c r="Q205" s="477"/>
      <c r="R205" s="477"/>
      <c r="S205" s="477"/>
    </row>
    <row r="206" spans="1:24" ht="12.95" customHeight="1" x14ac:dyDescent="0.2">
      <c r="A206" s="474" t="s">
        <v>0</v>
      </c>
      <c r="B206" s="469" t="s">
        <v>1</v>
      </c>
      <c r="C206" s="469"/>
      <c r="D206" s="469"/>
      <c r="E206" s="469"/>
      <c r="F206" s="469"/>
      <c r="G206" s="470" t="s">
        <v>214</v>
      </c>
      <c r="H206" s="470"/>
      <c r="I206" s="470"/>
      <c r="J206" s="470"/>
      <c r="K206" s="470"/>
      <c r="L206" s="470"/>
      <c r="M206" s="470"/>
      <c r="N206" s="471" t="s">
        <v>405</v>
      </c>
      <c r="O206" s="472"/>
      <c r="P206" s="471" t="s">
        <v>406</v>
      </c>
      <c r="Q206" s="473"/>
      <c r="R206" s="306"/>
      <c r="S206" s="307"/>
    </row>
    <row r="207" spans="1:24" ht="24.95" customHeight="1" x14ac:dyDescent="0.2">
      <c r="A207" s="474"/>
      <c r="B207" s="94" t="s">
        <v>504</v>
      </c>
      <c r="C207" s="66" t="str">
        <f t="shared" ref="C207:F208" si="77">C174</f>
        <v>Latitude</v>
      </c>
      <c r="D207" s="66" t="str">
        <f t="shared" si="77"/>
        <v>Longitude</v>
      </c>
      <c r="E207" s="83" t="str">
        <f t="shared" si="77"/>
        <v>Altura Média (m)</v>
      </c>
      <c r="F207" s="83" t="str">
        <f t="shared" si="77"/>
        <v>Largura (m)</v>
      </c>
      <c r="G207" s="83" t="str">
        <f>$G$9</f>
        <v>Extensão (m)</v>
      </c>
      <c r="H207" s="83" t="s">
        <v>352</v>
      </c>
      <c r="I207" s="92" t="s">
        <v>47</v>
      </c>
      <c r="J207" s="92" t="s">
        <v>54</v>
      </c>
      <c r="K207" s="96" t="s">
        <v>410</v>
      </c>
      <c r="L207" s="96" t="s">
        <v>49</v>
      </c>
      <c r="M207" s="96" t="s">
        <v>50</v>
      </c>
      <c r="N207" s="83" t="s">
        <v>352</v>
      </c>
      <c r="O207" s="83" t="s">
        <v>44</v>
      </c>
      <c r="P207" s="83" t="s">
        <v>352</v>
      </c>
      <c r="Q207" s="304" t="s">
        <v>44</v>
      </c>
      <c r="R207" s="308"/>
      <c r="S207" s="309"/>
      <c r="U207" s="80"/>
      <c r="V207" s="80"/>
      <c r="W207" s="480"/>
      <c r="X207" s="480"/>
    </row>
    <row r="208" spans="1:24" ht="12.95" customHeight="1" x14ac:dyDescent="0.2">
      <c r="A208" s="127">
        <f>A175</f>
        <v>1</v>
      </c>
      <c r="B208" s="128" t="str">
        <f>B175</f>
        <v>CÓRREGO DO CHINELO</v>
      </c>
      <c r="C208" s="298" t="str">
        <f t="shared" si="77"/>
        <v>21°53'30.35''S</v>
      </c>
      <c r="D208" s="298" t="str">
        <f t="shared" si="77"/>
        <v>54°35'16.91''W</v>
      </c>
      <c r="E208" s="128">
        <f t="shared" si="77"/>
        <v>3</v>
      </c>
      <c r="F208" s="128">
        <f t="shared" si="77"/>
        <v>5</v>
      </c>
      <c r="G208" s="128">
        <f t="shared" ref="G208:G233" si="78">G175</f>
        <v>13</v>
      </c>
      <c r="H208" s="141">
        <v>0.4</v>
      </c>
      <c r="I208" s="131">
        <v>2</v>
      </c>
      <c r="J208" s="131">
        <v>1</v>
      </c>
      <c r="K208" s="131">
        <v>37.5</v>
      </c>
      <c r="L208" s="131">
        <v>15</v>
      </c>
      <c r="M208" s="131">
        <v>15</v>
      </c>
      <c r="N208" s="141">
        <v>0</v>
      </c>
      <c r="O208" s="141">
        <v>0</v>
      </c>
      <c r="P208" s="141">
        <v>0</v>
      </c>
      <c r="Q208" s="305">
        <v>0</v>
      </c>
      <c r="R208" s="308"/>
      <c r="S208" s="309"/>
      <c r="U208" s="81"/>
      <c r="V208" s="81"/>
      <c r="W208" s="475"/>
      <c r="X208" s="475"/>
    </row>
    <row r="209" spans="1:24" ht="12.95" customHeight="1" x14ac:dyDescent="0.2">
      <c r="A209" s="127">
        <f>A176</f>
        <v>2</v>
      </c>
      <c r="B209" s="128" t="str">
        <f>B176</f>
        <v>CÓRREGO AREIAS</v>
      </c>
      <c r="C209" s="298" t="str">
        <f>C176</f>
        <v>21°48'55.89''S</v>
      </c>
      <c r="D209" s="298" t="str">
        <f>D176</f>
        <v>54°32'36.89''W</v>
      </c>
      <c r="E209" s="128">
        <f>E176</f>
        <v>3</v>
      </c>
      <c r="F209" s="128">
        <f t="shared" ref="F209" si="79">F176</f>
        <v>4.4000000000000004</v>
      </c>
      <c r="G209" s="128">
        <f t="shared" si="78"/>
        <v>6</v>
      </c>
      <c r="H209" s="141">
        <v>0.4</v>
      </c>
      <c r="I209" s="131">
        <v>2</v>
      </c>
      <c r="J209" s="131">
        <v>1</v>
      </c>
      <c r="K209" s="131">
        <v>33</v>
      </c>
      <c r="L209" s="131">
        <v>13.200000000000001</v>
      </c>
      <c r="M209" s="131">
        <v>13.200000000000001</v>
      </c>
      <c r="N209" s="141">
        <v>0</v>
      </c>
      <c r="O209" s="141">
        <v>0</v>
      </c>
      <c r="P209" s="141">
        <v>0</v>
      </c>
      <c r="Q209" s="305">
        <v>0</v>
      </c>
      <c r="R209" s="308"/>
      <c r="S209" s="309"/>
      <c r="U209" s="81"/>
      <c r="V209" s="81"/>
      <c r="W209" s="475"/>
      <c r="X209" s="475"/>
    </row>
    <row r="210" spans="1:24" ht="12.95" customHeight="1" x14ac:dyDescent="0.2">
      <c r="A210" s="127">
        <f t="shared" ref="A210:E210" si="80">A177</f>
        <v>3</v>
      </c>
      <c r="B210" s="128" t="str">
        <f t="shared" si="80"/>
        <v>CÓRREGO ARARAS</v>
      </c>
      <c r="C210" s="298" t="str">
        <f t="shared" si="80"/>
        <v>21°47'42.63''S</v>
      </c>
      <c r="D210" s="298" t="str">
        <f t="shared" si="80"/>
        <v>54°31'56.42''W</v>
      </c>
      <c r="E210" s="128">
        <f t="shared" si="80"/>
        <v>3</v>
      </c>
      <c r="F210" s="128">
        <f t="shared" ref="F210" si="81">F177</f>
        <v>4.8</v>
      </c>
      <c r="G210" s="128">
        <f t="shared" si="78"/>
        <v>12</v>
      </c>
      <c r="H210" s="141">
        <v>0.4</v>
      </c>
      <c r="I210" s="131">
        <v>2</v>
      </c>
      <c r="J210" s="131">
        <v>1</v>
      </c>
      <c r="K210" s="131">
        <v>36</v>
      </c>
      <c r="L210" s="131">
        <v>14.4</v>
      </c>
      <c r="M210" s="131">
        <v>14.4</v>
      </c>
      <c r="N210" s="141">
        <v>0</v>
      </c>
      <c r="O210" s="141">
        <v>0</v>
      </c>
      <c r="P210" s="141">
        <v>0</v>
      </c>
      <c r="Q210" s="305">
        <v>0</v>
      </c>
      <c r="R210" s="308"/>
      <c r="S210" s="309"/>
      <c r="U210" s="81"/>
      <c r="V210" s="81"/>
      <c r="W210" s="475"/>
      <c r="X210" s="475"/>
    </row>
    <row r="211" spans="1:24" ht="12.95" customHeight="1" x14ac:dyDescent="0.2">
      <c r="A211" s="127">
        <f t="shared" ref="A211:E220" si="82">A178</f>
        <v>4</v>
      </c>
      <c r="B211" s="128" t="str">
        <f t="shared" si="82"/>
        <v>CÓRREGO FORMIGA</v>
      </c>
      <c r="C211" s="298" t="str">
        <f t="shared" si="82"/>
        <v>21°39'27.48''S</v>
      </c>
      <c r="D211" s="298" t="str">
        <f t="shared" si="82"/>
        <v>54°25'31.76''W</v>
      </c>
      <c r="E211" s="128">
        <f t="shared" si="82"/>
        <v>3</v>
      </c>
      <c r="F211" s="128">
        <f t="shared" ref="F211" si="83">F178</f>
        <v>4.4000000000000004</v>
      </c>
      <c r="G211" s="128">
        <f t="shared" si="78"/>
        <v>13.2</v>
      </c>
      <c r="H211" s="141">
        <v>0.4</v>
      </c>
      <c r="I211" s="131">
        <v>2</v>
      </c>
      <c r="J211" s="131">
        <v>1</v>
      </c>
      <c r="K211" s="131">
        <v>33</v>
      </c>
      <c r="L211" s="131">
        <v>13.200000000000001</v>
      </c>
      <c r="M211" s="131">
        <v>13.200000000000001</v>
      </c>
      <c r="N211" s="141">
        <v>0</v>
      </c>
      <c r="O211" s="141">
        <v>0</v>
      </c>
      <c r="P211" s="141">
        <v>0</v>
      </c>
      <c r="Q211" s="305">
        <v>0</v>
      </c>
      <c r="R211" s="308"/>
      <c r="S211" s="309"/>
    </row>
    <row r="212" spans="1:24" ht="12.95" customHeight="1" x14ac:dyDescent="0.2">
      <c r="A212" s="127">
        <f t="shared" si="82"/>
        <v>5</v>
      </c>
      <c r="B212" s="128" t="str">
        <f t="shared" si="82"/>
        <v>CÓRREGO ANTINHA</v>
      </c>
      <c r="C212" s="298" t="str">
        <f t="shared" si="82"/>
        <v>21°38'42.22''S</v>
      </c>
      <c r="D212" s="298" t="str">
        <f t="shared" si="82"/>
        <v>54°27'12.82''W</v>
      </c>
      <c r="E212" s="128">
        <f t="shared" si="82"/>
        <v>3</v>
      </c>
      <c r="F212" s="128">
        <f t="shared" ref="F212" si="84">F179</f>
        <v>4.4000000000000004</v>
      </c>
      <c r="G212" s="128">
        <f t="shared" si="78"/>
        <v>7.2</v>
      </c>
      <c r="H212" s="141">
        <v>0.4</v>
      </c>
      <c r="I212" s="131">
        <v>2</v>
      </c>
      <c r="J212" s="131">
        <v>1</v>
      </c>
      <c r="K212" s="131">
        <v>33</v>
      </c>
      <c r="L212" s="131">
        <v>13.200000000000001</v>
      </c>
      <c r="M212" s="131">
        <v>13.200000000000001</v>
      </c>
      <c r="N212" s="141">
        <v>0</v>
      </c>
      <c r="O212" s="141">
        <v>0</v>
      </c>
      <c r="P212" s="141">
        <v>0</v>
      </c>
      <c r="Q212" s="305">
        <v>0</v>
      </c>
      <c r="R212" s="308"/>
      <c r="S212" s="309"/>
    </row>
    <row r="213" spans="1:24" ht="12.95" customHeight="1" x14ac:dyDescent="0.2">
      <c r="A213" s="127">
        <f t="shared" si="82"/>
        <v>6</v>
      </c>
      <c r="B213" s="128" t="str">
        <f t="shared" si="82"/>
        <v>CÓRREGO FORMIGA</v>
      </c>
      <c r="C213" s="298" t="str">
        <f t="shared" si="82"/>
        <v>21°38'56.23''S</v>
      </c>
      <c r="D213" s="298" t="str">
        <f t="shared" si="82"/>
        <v>54°25'01.82''W</v>
      </c>
      <c r="E213" s="128">
        <f t="shared" si="82"/>
        <v>3</v>
      </c>
      <c r="F213" s="128">
        <f t="shared" ref="F213" si="85">F180</f>
        <v>4.4000000000000004</v>
      </c>
      <c r="G213" s="128">
        <f t="shared" si="78"/>
        <v>12</v>
      </c>
      <c r="H213" s="141">
        <v>0.4</v>
      </c>
      <c r="I213" s="131">
        <v>2</v>
      </c>
      <c r="J213" s="131">
        <v>1</v>
      </c>
      <c r="K213" s="131">
        <v>33</v>
      </c>
      <c r="L213" s="131">
        <v>13.200000000000001</v>
      </c>
      <c r="M213" s="131">
        <v>13.200000000000001</v>
      </c>
      <c r="N213" s="141">
        <v>0</v>
      </c>
      <c r="O213" s="141">
        <v>0</v>
      </c>
      <c r="P213" s="141">
        <v>0</v>
      </c>
      <c r="Q213" s="305">
        <v>0</v>
      </c>
      <c r="R213" s="308"/>
      <c r="S213" s="309"/>
    </row>
    <row r="214" spans="1:24" ht="12.95" customHeight="1" x14ac:dyDescent="0.2">
      <c r="A214" s="127">
        <f t="shared" si="82"/>
        <v>7</v>
      </c>
      <c r="B214" s="128" t="str">
        <f t="shared" si="82"/>
        <v>CÓRREGO QUILOMBO</v>
      </c>
      <c r="C214" s="298" t="str">
        <f t="shared" si="82"/>
        <v>21°42'14.33''S</v>
      </c>
      <c r="D214" s="298" t="str">
        <f t="shared" si="82"/>
        <v>54°20'39.58''W</v>
      </c>
      <c r="E214" s="128">
        <f t="shared" si="82"/>
        <v>3</v>
      </c>
      <c r="F214" s="128">
        <f t="shared" ref="F214" si="86">F181</f>
        <v>4.4000000000000004</v>
      </c>
      <c r="G214" s="128">
        <f t="shared" si="78"/>
        <v>6.8</v>
      </c>
      <c r="H214" s="141">
        <v>0.4</v>
      </c>
      <c r="I214" s="131">
        <v>2</v>
      </c>
      <c r="J214" s="131">
        <v>1</v>
      </c>
      <c r="K214" s="131">
        <v>33</v>
      </c>
      <c r="L214" s="131">
        <v>13.200000000000001</v>
      </c>
      <c r="M214" s="131">
        <v>13.200000000000001</v>
      </c>
      <c r="N214" s="141">
        <v>0</v>
      </c>
      <c r="O214" s="141">
        <v>0</v>
      </c>
      <c r="P214" s="141">
        <v>0</v>
      </c>
      <c r="Q214" s="305">
        <v>0</v>
      </c>
      <c r="R214" s="308"/>
      <c r="S214" s="309"/>
    </row>
    <row r="215" spans="1:24" ht="12.95" customHeight="1" x14ac:dyDescent="0.2">
      <c r="A215" s="127">
        <f t="shared" si="82"/>
        <v>8</v>
      </c>
      <c r="B215" s="128" t="str">
        <f t="shared" si="82"/>
        <v>ARROIO CORREGUINHO</v>
      </c>
      <c r="C215" s="298" t="str">
        <f t="shared" si="82"/>
        <v>21°42'39.87''S</v>
      </c>
      <c r="D215" s="298" t="str">
        <f t="shared" si="82"/>
        <v>54°18'52.81''W</v>
      </c>
      <c r="E215" s="128">
        <f t="shared" si="82"/>
        <v>3</v>
      </c>
      <c r="F215" s="128">
        <f t="shared" ref="F215" si="87">F182</f>
        <v>4.4000000000000004</v>
      </c>
      <c r="G215" s="128">
        <f t="shared" si="78"/>
        <v>5.8</v>
      </c>
      <c r="H215" s="141">
        <v>0.4</v>
      </c>
      <c r="I215" s="131">
        <v>2</v>
      </c>
      <c r="J215" s="131">
        <v>1</v>
      </c>
      <c r="K215" s="131">
        <v>33</v>
      </c>
      <c r="L215" s="131">
        <v>13.200000000000001</v>
      </c>
      <c r="M215" s="131">
        <v>13.200000000000001</v>
      </c>
      <c r="N215" s="141">
        <v>0</v>
      </c>
      <c r="O215" s="141">
        <v>0</v>
      </c>
      <c r="P215" s="141">
        <v>0</v>
      </c>
      <c r="Q215" s="305">
        <v>0</v>
      </c>
      <c r="R215" s="308"/>
      <c r="S215" s="309"/>
    </row>
    <row r="216" spans="1:24" ht="12.95" customHeight="1" x14ac:dyDescent="0.2">
      <c r="A216" s="127">
        <f t="shared" si="82"/>
        <v>9</v>
      </c>
      <c r="B216" s="128" t="str">
        <f t="shared" si="82"/>
        <v>CÓRREGO GUATAMBU</v>
      </c>
      <c r="C216" s="298" t="str">
        <f t="shared" si="82"/>
        <v>21°43'17.70"S</v>
      </c>
      <c r="D216" s="298" t="str">
        <f t="shared" si="82"/>
        <v>54°16'36.10"W</v>
      </c>
      <c r="E216" s="128">
        <f t="shared" si="82"/>
        <v>3</v>
      </c>
      <c r="F216" s="128">
        <f t="shared" ref="F216" si="88">F183</f>
        <v>4.4000000000000004</v>
      </c>
      <c r="G216" s="128">
        <f t="shared" si="78"/>
        <v>10.6</v>
      </c>
      <c r="H216" s="141">
        <v>0.4</v>
      </c>
      <c r="I216" s="131">
        <v>2</v>
      </c>
      <c r="J216" s="131">
        <v>1</v>
      </c>
      <c r="K216" s="131">
        <v>33</v>
      </c>
      <c r="L216" s="131">
        <v>13.200000000000001</v>
      </c>
      <c r="M216" s="131">
        <v>13.200000000000001</v>
      </c>
      <c r="N216" s="141">
        <v>0</v>
      </c>
      <c r="O216" s="141">
        <v>0</v>
      </c>
      <c r="P216" s="141">
        <v>0</v>
      </c>
      <c r="Q216" s="305">
        <v>0</v>
      </c>
      <c r="R216" s="308"/>
      <c r="S216" s="309"/>
    </row>
    <row r="217" spans="1:24" ht="12.95" customHeight="1" x14ac:dyDescent="0.2">
      <c r="A217" s="127">
        <f t="shared" si="82"/>
        <v>10</v>
      </c>
      <c r="B217" s="128" t="str">
        <f t="shared" si="82"/>
        <v>CÓRREGO QUILOMBO</v>
      </c>
      <c r="C217" s="298" t="str">
        <f t="shared" si="82"/>
        <v>21°42'51.11''S</v>
      </c>
      <c r="D217" s="298" t="str">
        <f t="shared" si="82"/>
        <v>54°16'52.81''W</v>
      </c>
      <c r="E217" s="128">
        <f t="shared" si="82"/>
        <v>3</v>
      </c>
      <c r="F217" s="128">
        <f t="shared" ref="F217" si="89">F184</f>
        <v>4.4000000000000004</v>
      </c>
      <c r="G217" s="128">
        <f t="shared" si="78"/>
        <v>5.8</v>
      </c>
      <c r="H217" s="141">
        <v>0.4</v>
      </c>
      <c r="I217" s="131">
        <v>2</v>
      </c>
      <c r="J217" s="131">
        <v>1</v>
      </c>
      <c r="K217" s="131">
        <v>33</v>
      </c>
      <c r="L217" s="131">
        <v>13.200000000000001</v>
      </c>
      <c r="M217" s="131">
        <v>13.200000000000001</v>
      </c>
      <c r="N217" s="141">
        <v>0</v>
      </c>
      <c r="O217" s="141">
        <v>0</v>
      </c>
      <c r="P217" s="141">
        <v>0</v>
      </c>
      <c r="Q217" s="305">
        <v>0</v>
      </c>
      <c r="R217" s="308"/>
      <c r="S217" s="309"/>
    </row>
    <row r="218" spans="1:24" ht="12.95" customHeight="1" x14ac:dyDescent="0.2">
      <c r="A218" s="127">
        <f t="shared" si="82"/>
        <v>11</v>
      </c>
      <c r="B218" s="128" t="str">
        <f t="shared" si="82"/>
        <v>CÓRREGO SAPÉ</v>
      </c>
      <c r="C218" s="298" t="str">
        <f t="shared" si="82"/>
        <v>21°44'57.50"S</v>
      </c>
      <c r="D218" s="298" t="str">
        <f t="shared" si="82"/>
        <v>54°18'00.40"W</v>
      </c>
      <c r="E218" s="128">
        <f t="shared" si="82"/>
        <v>3</v>
      </c>
      <c r="F218" s="128">
        <f t="shared" ref="F218" si="90">F185</f>
        <v>4.4000000000000004</v>
      </c>
      <c r="G218" s="128">
        <f t="shared" si="78"/>
        <v>10.8</v>
      </c>
      <c r="H218" s="141">
        <v>0.4</v>
      </c>
      <c r="I218" s="131">
        <v>2</v>
      </c>
      <c r="J218" s="131">
        <v>1</v>
      </c>
      <c r="K218" s="131">
        <v>33</v>
      </c>
      <c r="L218" s="131">
        <v>13.200000000000001</v>
      </c>
      <c r="M218" s="131">
        <v>13.200000000000001</v>
      </c>
      <c r="N218" s="141">
        <v>0</v>
      </c>
      <c r="O218" s="141">
        <v>0</v>
      </c>
      <c r="P218" s="141">
        <v>0</v>
      </c>
      <c r="Q218" s="305">
        <v>0</v>
      </c>
      <c r="R218" s="308"/>
      <c r="S218" s="309"/>
    </row>
    <row r="219" spans="1:24" ht="12.95" customHeight="1" x14ac:dyDescent="0.2">
      <c r="A219" s="127">
        <f t="shared" si="82"/>
        <v>12</v>
      </c>
      <c r="B219" s="128" t="str">
        <f t="shared" si="82"/>
        <v>CÓRREGO JUREMA</v>
      </c>
      <c r="C219" s="298" t="str">
        <f t="shared" si="82"/>
        <v>21°47'02.84''S</v>
      </c>
      <c r="D219" s="298" t="str">
        <f t="shared" si="82"/>
        <v>54°14'35.61''W</v>
      </c>
      <c r="E219" s="128">
        <f t="shared" si="82"/>
        <v>3</v>
      </c>
      <c r="F219" s="128">
        <f t="shared" ref="F219" si="91">F186</f>
        <v>4.4000000000000004</v>
      </c>
      <c r="G219" s="128">
        <f t="shared" si="78"/>
        <v>7.1</v>
      </c>
      <c r="H219" s="141">
        <v>0.4</v>
      </c>
      <c r="I219" s="131">
        <v>2</v>
      </c>
      <c r="J219" s="131">
        <v>1</v>
      </c>
      <c r="K219" s="131">
        <v>33</v>
      </c>
      <c r="L219" s="131">
        <v>13.200000000000001</v>
      </c>
      <c r="M219" s="131">
        <v>13.200000000000001</v>
      </c>
      <c r="N219" s="141">
        <v>0</v>
      </c>
      <c r="O219" s="141">
        <v>0</v>
      </c>
      <c r="P219" s="141">
        <v>0</v>
      </c>
      <c r="Q219" s="305">
        <v>0</v>
      </c>
      <c r="R219" s="308"/>
      <c r="S219" s="309"/>
    </row>
    <row r="220" spans="1:24" ht="12.95" customHeight="1" x14ac:dyDescent="0.2">
      <c r="A220" s="127">
        <f t="shared" si="82"/>
        <v>13</v>
      </c>
      <c r="B220" s="128" t="str">
        <f t="shared" si="82"/>
        <v>CÓRREGO ARACI</v>
      </c>
      <c r="C220" s="298" t="str">
        <f t="shared" si="82"/>
        <v>21°45'04.33''S</v>
      </c>
      <c r="D220" s="298" t="str">
        <f t="shared" si="82"/>
        <v>54°12'41.25''W</v>
      </c>
      <c r="E220" s="128">
        <f t="shared" si="82"/>
        <v>3</v>
      </c>
      <c r="F220" s="128">
        <f t="shared" ref="F220" si="92">F187</f>
        <v>4.4000000000000004</v>
      </c>
      <c r="G220" s="128">
        <f t="shared" si="78"/>
        <v>6.4</v>
      </c>
      <c r="H220" s="141">
        <v>0.4</v>
      </c>
      <c r="I220" s="131">
        <v>2</v>
      </c>
      <c r="J220" s="131">
        <v>1</v>
      </c>
      <c r="K220" s="131">
        <v>33</v>
      </c>
      <c r="L220" s="131">
        <v>13.200000000000001</v>
      </c>
      <c r="M220" s="131">
        <v>13.200000000000001</v>
      </c>
      <c r="N220" s="141">
        <v>0</v>
      </c>
      <c r="O220" s="141">
        <v>0</v>
      </c>
      <c r="P220" s="141">
        <v>0</v>
      </c>
      <c r="Q220" s="305">
        <v>0</v>
      </c>
      <c r="R220" s="308"/>
      <c r="S220" s="309"/>
    </row>
    <row r="221" spans="1:24" ht="12.95" customHeight="1" x14ac:dyDescent="0.2">
      <c r="A221" s="127">
        <f t="shared" ref="A221:E229" si="93">A188</f>
        <v>14</v>
      </c>
      <c r="B221" s="128" t="str">
        <f t="shared" si="93"/>
        <v>CÓRREGO ANHUMAS</v>
      </c>
      <c r="C221" s="298" t="str">
        <f t="shared" si="93"/>
        <v>21°51'40.49''S</v>
      </c>
      <c r="D221" s="298" t="str">
        <f t="shared" si="93"/>
        <v>54°08'14.26''W</v>
      </c>
      <c r="E221" s="128">
        <f t="shared" si="93"/>
        <v>3</v>
      </c>
      <c r="F221" s="128">
        <f t="shared" ref="F221" si="94">F188</f>
        <v>4.4000000000000004</v>
      </c>
      <c r="G221" s="128">
        <f t="shared" si="78"/>
        <v>11.8</v>
      </c>
      <c r="H221" s="141">
        <v>0.4</v>
      </c>
      <c r="I221" s="131">
        <v>2</v>
      </c>
      <c r="J221" s="131">
        <v>1</v>
      </c>
      <c r="K221" s="131">
        <v>33</v>
      </c>
      <c r="L221" s="131">
        <v>13.200000000000001</v>
      </c>
      <c r="M221" s="131">
        <v>13.200000000000001</v>
      </c>
      <c r="N221" s="141">
        <v>0</v>
      </c>
      <c r="O221" s="141">
        <v>0</v>
      </c>
      <c r="P221" s="141">
        <v>0</v>
      </c>
      <c r="Q221" s="305">
        <v>0</v>
      </c>
      <c r="R221" s="308"/>
      <c r="S221" s="309"/>
    </row>
    <row r="222" spans="1:24" ht="12.95" customHeight="1" x14ac:dyDescent="0.2">
      <c r="A222" s="127">
        <f t="shared" si="93"/>
        <v>15</v>
      </c>
      <c r="B222" s="128" t="str">
        <f t="shared" si="93"/>
        <v>CÓRREGO CHIFRE DO VIADO</v>
      </c>
      <c r="C222" s="298" t="str">
        <f t="shared" si="93"/>
        <v>21°40'35.65''S</v>
      </c>
      <c r="D222" s="298" t="str">
        <f t="shared" si="93"/>
        <v>54°56'15.44''W</v>
      </c>
      <c r="E222" s="128">
        <f t="shared" si="93"/>
        <v>3</v>
      </c>
      <c r="F222" s="128">
        <f t="shared" ref="F222" si="95">F189</f>
        <v>5</v>
      </c>
      <c r="G222" s="128">
        <f t="shared" si="78"/>
        <v>12</v>
      </c>
      <c r="H222" s="141">
        <v>0.4</v>
      </c>
      <c r="I222" s="131">
        <v>2</v>
      </c>
      <c r="J222" s="131">
        <v>1</v>
      </c>
      <c r="K222" s="131">
        <v>37.5</v>
      </c>
      <c r="L222" s="131">
        <v>15</v>
      </c>
      <c r="M222" s="131">
        <v>15</v>
      </c>
      <c r="N222" s="141">
        <v>0</v>
      </c>
      <c r="O222" s="141">
        <v>0</v>
      </c>
      <c r="P222" s="141">
        <v>0</v>
      </c>
      <c r="Q222" s="305">
        <v>0</v>
      </c>
      <c r="R222" s="308"/>
      <c r="S222" s="309"/>
    </row>
    <row r="223" spans="1:24" ht="12.95" customHeight="1" x14ac:dyDescent="0.2">
      <c r="A223" s="127">
        <f t="shared" si="93"/>
        <v>16</v>
      </c>
      <c r="B223" s="128" t="str">
        <f t="shared" si="93"/>
        <v>CÓRREGO SANTA RITA</v>
      </c>
      <c r="C223" s="298" t="str">
        <f t="shared" si="93"/>
        <v>21°33'23.75''S</v>
      </c>
      <c r="D223" s="298" t="str">
        <f t="shared" si="93"/>
        <v>54°35'26.66''W</v>
      </c>
      <c r="E223" s="128">
        <f t="shared" si="93"/>
        <v>3</v>
      </c>
      <c r="F223" s="128">
        <f t="shared" ref="F223" si="96">F190</f>
        <v>4.4000000000000004</v>
      </c>
      <c r="G223" s="128">
        <f t="shared" si="78"/>
        <v>22.1</v>
      </c>
      <c r="H223" s="141">
        <v>0.4</v>
      </c>
      <c r="I223" s="131">
        <v>2</v>
      </c>
      <c r="J223" s="131">
        <v>1</v>
      </c>
      <c r="K223" s="131">
        <v>33</v>
      </c>
      <c r="L223" s="131">
        <v>13.200000000000001</v>
      </c>
      <c r="M223" s="131">
        <v>13.200000000000001</v>
      </c>
      <c r="N223" s="141">
        <v>0</v>
      </c>
      <c r="O223" s="141">
        <v>0</v>
      </c>
      <c r="P223" s="141">
        <v>0</v>
      </c>
      <c r="Q223" s="305">
        <v>0</v>
      </c>
      <c r="R223" s="308"/>
      <c r="S223" s="309"/>
    </row>
    <row r="224" spans="1:24" ht="12.95" customHeight="1" x14ac:dyDescent="0.2">
      <c r="A224" s="127">
        <f t="shared" si="93"/>
        <v>17</v>
      </c>
      <c r="B224" s="128" t="str">
        <f t="shared" si="93"/>
        <v>RIO SERROTE</v>
      </c>
      <c r="C224" s="298" t="str">
        <f t="shared" si="93"/>
        <v>21°25'01.14''S</v>
      </c>
      <c r="D224" s="298" t="str">
        <f t="shared" si="93"/>
        <v>54°43'16.96''W</v>
      </c>
      <c r="E224" s="128">
        <f t="shared" si="93"/>
        <v>3</v>
      </c>
      <c r="F224" s="128">
        <f t="shared" ref="F224" si="97">F191</f>
        <v>4.4000000000000004</v>
      </c>
      <c r="G224" s="128">
        <f t="shared" si="78"/>
        <v>24.6</v>
      </c>
      <c r="H224" s="141">
        <v>0.4</v>
      </c>
      <c r="I224" s="131">
        <v>2</v>
      </c>
      <c r="J224" s="131">
        <v>1</v>
      </c>
      <c r="K224" s="131">
        <v>33</v>
      </c>
      <c r="L224" s="131">
        <v>13.200000000000001</v>
      </c>
      <c r="M224" s="131">
        <v>13.200000000000001</v>
      </c>
      <c r="N224" s="141">
        <v>0</v>
      </c>
      <c r="O224" s="141">
        <v>0</v>
      </c>
      <c r="P224" s="141">
        <v>0</v>
      </c>
      <c r="Q224" s="305">
        <v>0</v>
      </c>
      <c r="R224" s="308"/>
      <c r="S224" s="309"/>
    </row>
    <row r="225" spans="1:19" ht="12.95" customHeight="1" x14ac:dyDescent="0.2">
      <c r="A225" s="127">
        <f t="shared" si="93"/>
        <v>18</v>
      </c>
      <c r="B225" s="128" t="str">
        <f t="shared" si="93"/>
        <v>CÓRREGO PASSATEMPO 1</v>
      </c>
      <c r="C225" s="298" t="str">
        <f t="shared" si="93"/>
        <v>21°29'34.92''S</v>
      </c>
      <c r="D225" s="298" t="str">
        <f t="shared" si="93"/>
        <v>54°49'18.44''W</v>
      </c>
      <c r="E225" s="128">
        <f t="shared" si="93"/>
        <v>3</v>
      </c>
      <c r="F225" s="128">
        <f t="shared" ref="F225" si="98">F192</f>
        <v>4.4000000000000004</v>
      </c>
      <c r="G225" s="128">
        <f t="shared" si="78"/>
        <v>16.399999999999999</v>
      </c>
      <c r="H225" s="141">
        <v>0.4</v>
      </c>
      <c r="I225" s="131">
        <v>2</v>
      </c>
      <c r="J225" s="131">
        <v>1</v>
      </c>
      <c r="K225" s="131">
        <v>33</v>
      </c>
      <c r="L225" s="131">
        <v>13.200000000000001</v>
      </c>
      <c r="M225" s="131">
        <v>13.200000000000001</v>
      </c>
      <c r="N225" s="141">
        <v>0</v>
      </c>
      <c r="O225" s="141">
        <v>0</v>
      </c>
      <c r="P225" s="141">
        <v>0</v>
      </c>
      <c r="Q225" s="305">
        <v>0</v>
      </c>
      <c r="R225" s="308"/>
      <c r="S225" s="309"/>
    </row>
    <row r="226" spans="1:19" ht="12.95" customHeight="1" x14ac:dyDescent="0.2">
      <c r="A226" s="127">
        <f t="shared" si="93"/>
        <v>19</v>
      </c>
      <c r="B226" s="128" t="str">
        <f t="shared" si="93"/>
        <v>CÓRREGO PASSATEMPO 2</v>
      </c>
      <c r="C226" s="298" t="str">
        <f t="shared" si="93"/>
        <v>21°29'33.39''S</v>
      </c>
      <c r="D226" s="298" t="str">
        <f t="shared" si="93"/>
        <v>54°49'17.44''W</v>
      </c>
      <c r="E226" s="128">
        <f t="shared" si="93"/>
        <v>3</v>
      </c>
      <c r="F226" s="128">
        <f t="shared" ref="F226" si="99">F193</f>
        <v>4.4000000000000004</v>
      </c>
      <c r="G226" s="128">
        <f t="shared" si="78"/>
        <v>19.600000000000001</v>
      </c>
      <c r="H226" s="141">
        <v>0.4</v>
      </c>
      <c r="I226" s="131">
        <v>2</v>
      </c>
      <c r="J226" s="131">
        <v>1</v>
      </c>
      <c r="K226" s="131">
        <v>33</v>
      </c>
      <c r="L226" s="131">
        <v>13.200000000000001</v>
      </c>
      <c r="M226" s="131">
        <v>13.200000000000001</v>
      </c>
      <c r="N226" s="141">
        <v>0</v>
      </c>
      <c r="O226" s="141">
        <v>0</v>
      </c>
      <c r="P226" s="141">
        <v>0</v>
      </c>
      <c r="Q226" s="305">
        <v>0</v>
      </c>
      <c r="R226" s="308"/>
      <c r="S226" s="309"/>
    </row>
    <row r="227" spans="1:19" ht="12.95" customHeight="1" x14ac:dyDescent="0.2">
      <c r="A227" s="127">
        <f t="shared" si="93"/>
        <v>20</v>
      </c>
      <c r="B227" s="128" t="str">
        <f t="shared" si="93"/>
        <v>CÓRREGO PASSATEMPO 3</v>
      </c>
      <c r="C227" s="298" t="str">
        <f t="shared" si="93"/>
        <v>21°28'09.42''S</v>
      </c>
      <c r="D227" s="298" t="str">
        <f t="shared" si="93"/>
        <v>54°48'01.11''W</v>
      </c>
      <c r="E227" s="128">
        <f t="shared" si="93"/>
        <v>3</v>
      </c>
      <c r="F227" s="128">
        <f t="shared" ref="F227" si="100">F194</f>
        <v>5</v>
      </c>
      <c r="G227" s="128">
        <f t="shared" si="78"/>
        <v>6</v>
      </c>
      <c r="H227" s="141">
        <v>0.4</v>
      </c>
      <c r="I227" s="131">
        <v>2</v>
      </c>
      <c r="J227" s="131">
        <v>1</v>
      </c>
      <c r="K227" s="131">
        <v>37.5</v>
      </c>
      <c r="L227" s="131">
        <v>15</v>
      </c>
      <c r="M227" s="131">
        <v>15</v>
      </c>
      <c r="N227" s="141">
        <v>0</v>
      </c>
      <c r="O227" s="141">
        <v>0</v>
      </c>
      <c r="P227" s="141">
        <v>0</v>
      </c>
      <c r="Q227" s="305">
        <v>0</v>
      </c>
      <c r="R227" s="308"/>
      <c r="S227" s="309"/>
    </row>
    <row r="228" spans="1:19" ht="12.95" customHeight="1" x14ac:dyDescent="0.2">
      <c r="A228" s="127">
        <f t="shared" si="93"/>
        <v>21</v>
      </c>
      <c r="B228" s="128" t="str">
        <f t="shared" si="93"/>
        <v>CÓRREGO TAQUARA</v>
      </c>
      <c r="C228" s="298" t="str">
        <f t="shared" si="93"/>
        <v>21°21'07.90''S</v>
      </c>
      <c r="D228" s="298" t="str">
        <f t="shared" si="93"/>
        <v>54°50'07.01''W</v>
      </c>
      <c r="E228" s="128">
        <f t="shared" si="93"/>
        <v>3</v>
      </c>
      <c r="F228" s="128">
        <f t="shared" ref="F228" si="101">F195</f>
        <v>4.8</v>
      </c>
      <c r="G228" s="128">
        <f t="shared" si="78"/>
        <v>24</v>
      </c>
      <c r="H228" s="141">
        <v>0.4</v>
      </c>
      <c r="I228" s="131">
        <v>2</v>
      </c>
      <c r="J228" s="131">
        <v>1</v>
      </c>
      <c r="K228" s="131">
        <v>36</v>
      </c>
      <c r="L228" s="131">
        <v>14.4</v>
      </c>
      <c r="M228" s="131">
        <v>14.4</v>
      </c>
      <c r="N228" s="141">
        <v>0</v>
      </c>
      <c r="O228" s="141">
        <v>0</v>
      </c>
      <c r="P228" s="141">
        <v>0</v>
      </c>
      <c r="Q228" s="305">
        <v>0</v>
      </c>
      <c r="R228" s="308"/>
      <c r="S228" s="309"/>
    </row>
    <row r="229" spans="1:19" ht="12.95" customHeight="1" x14ac:dyDescent="0.2">
      <c r="A229" s="127">
        <f t="shared" si="93"/>
        <v>22</v>
      </c>
      <c r="B229" s="128" t="str">
        <f t="shared" si="93"/>
        <v>CÓRREGO PASSATEMPO 4</v>
      </c>
      <c r="C229" s="298" t="str">
        <f t="shared" si="93"/>
        <v>21°29'23.36''S</v>
      </c>
      <c r="D229" s="298" t="str">
        <f t="shared" si="93"/>
        <v>54°52'56.83''W</v>
      </c>
      <c r="E229" s="128">
        <f t="shared" si="93"/>
        <v>3</v>
      </c>
      <c r="F229" s="128">
        <f t="shared" ref="F229" si="102">F196</f>
        <v>4.4000000000000004</v>
      </c>
      <c r="G229" s="128">
        <f t="shared" si="78"/>
        <v>14.3</v>
      </c>
      <c r="H229" s="141">
        <v>0.4</v>
      </c>
      <c r="I229" s="131">
        <v>2</v>
      </c>
      <c r="J229" s="131">
        <v>1</v>
      </c>
      <c r="K229" s="131">
        <v>33</v>
      </c>
      <c r="L229" s="131">
        <v>13.200000000000001</v>
      </c>
      <c r="M229" s="131">
        <v>13.200000000000001</v>
      </c>
      <c r="N229" s="141">
        <v>0</v>
      </c>
      <c r="O229" s="141">
        <v>0</v>
      </c>
      <c r="P229" s="141">
        <v>0</v>
      </c>
      <c r="Q229" s="305">
        <v>0</v>
      </c>
      <c r="R229" s="308"/>
      <c r="S229" s="309"/>
    </row>
    <row r="230" spans="1:19" ht="12.95" customHeight="1" x14ac:dyDescent="0.2">
      <c r="A230" s="127">
        <f t="shared" ref="A230:E230" si="103">A197</f>
        <v>23</v>
      </c>
      <c r="B230" s="128" t="str">
        <f t="shared" si="103"/>
        <v>CÓRREGO DO COQUEIRO</v>
      </c>
      <c r="C230" s="298" t="str">
        <f t="shared" si="103"/>
        <v>21°30'51.74''S</v>
      </c>
      <c r="D230" s="298" t="str">
        <f t="shared" si="103"/>
        <v>54°52'00.30''W</v>
      </c>
      <c r="E230" s="128">
        <f t="shared" si="103"/>
        <v>3</v>
      </c>
      <c r="F230" s="128">
        <f t="shared" ref="F230" si="104">F197</f>
        <v>4.4000000000000004</v>
      </c>
      <c r="G230" s="128">
        <f t="shared" si="78"/>
        <v>22.3</v>
      </c>
      <c r="H230" s="141">
        <v>0.4</v>
      </c>
      <c r="I230" s="131">
        <v>2</v>
      </c>
      <c r="J230" s="131">
        <v>1</v>
      </c>
      <c r="K230" s="131">
        <v>33</v>
      </c>
      <c r="L230" s="131">
        <v>13.200000000000001</v>
      </c>
      <c r="M230" s="131">
        <v>13.200000000000001</v>
      </c>
      <c r="N230" s="141">
        <v>0</v>
      </c>
      <c r="O230" s="141">
        <v>0</v>
      </c>
      <c r="P230" s="141">
        <v>0</v>
      </c>
      <c r="Q230" s="305">
        <v>0</v>
      </c>
      <c r="R230" s="308"/>
      <c r="S230" s="309"/>
    </row>
    <row r="231" spans="1:19" ht="12.95" customHeight="1" x14ac:dyDescent="0.2">
      <c r="A231" s="127">
        <f t="shared" ref="A231:E231" si="105">A198</f>
        <v>24</v>
      </c>
      <c r="B231" s="128" t="str">
        <f t="shared" si="105"/>
        <v>CÓRREGO CARRAPATO</v>
      </c>
      <c r="C231" s="298" t="str">
        <f t="shared" si="105"/>
        <v>21°32'42.64''S</v>
      </c>
      <c r="D231" s="298" t="str">
        <f t="shared" si="105"/>
        <v>55°00'59.87''W</v>
      </c>
      <c r="E231" s="128">
        <f t="shared" si="105"/>
        <v>3</v>
      </c>
      <c r="F231" s="128">
        <f t="shared" ref="F231" si="106">F198</f>
        <v>4.4000000000000004</v>
      </c>
      <c r="G231" s="128">
        <f t="shared" si="78"/>
        <v>18</v>
      </c>
      <c r="H231" s="141">
        <v>0.4</v>
      </c>
      <c r="I231" s="131">
        <v>2</v>
      </c>
      <c r="J231" s="131">
        <v>1</v>
      </c>
      <c r="K231" s="131">
        <v>33</v>
      </c>
      <c r="L231" s="131">
        <v>13.200000000000001</v>
      </c>
      <c r="M231" s="131">
        <v>13.200000000000001</v>
      </c>
      <c r="N231" s="141">
        <v>0</v>
      </c>
      <c r="O231" s="141">
        <v>0</v>
      </c>
      <c r="P231" s="141">
        <v>0</v>
      </c>
      <c r="Q231" s="305">
        <v>0</v>
      </c>
      <c r="R231" s="308"/>
      <c r="S231" s="309"/>
    </row>
    <row r="232" spans="1:19" ht="12.95" customHeight="1" x14ac:dyDescent="0.2">
      <c r="A232" s="127">
        <f t="shared" ref="A232:E232" si="107">A199</f>
        <v>25</v>
      </c>
      <c r="B232" s="128" t="str">
        <f t="shared" si="107"/>
        <v>CÓRREGO BARRA MANSA</v>
      </c>
      <c r="C232" s="298" t="str">
        <f t="shared" si="107"/>
        <v>21°45'26.00"S</v>
      </c>
      <c r="D232" s="298" t="str">
        <f t="shared" si="107"/>
        <v>54°10'16.90"W</v>
      </c>
      <c r="E232" s="128">
        <f t="shared" si="107"/>
        <v>3</v>
      </c>
      <c r="F232" s="128">
        <f t="shared" ref="F232" si="108">F199</f>
        <v>5</v>
      </c>
      <c r="G232" s="128">
        <f t="shared" si="78"/>
        <v>5.6</v>
      </c>
      <c r="H232" s="141">
        <v>0.4</v>
      </c>
      <c r="I232" s="131">
        <v>2</v>
      </c>
      <c r="J232" s="131">
        <v>1</v>
      </c>
      <c r="K232" s="131">
        <v>37.5</v>
      </c>
      <c r="L232" s="131">
        <v>15</v>
      </c>
      <c r="M232" s="131">
        <v>15</v>
      </c>
      <c r="N232" s="141">
        <v>0</v>
      </c>
      <c r="O232" s="141">
        <v>0</v>
      </c>
      <c r="P232" s="141">
        <v>0</v>
      </c>
      <c r="Q232" s="305">
        <v>0</v>
      </c>
      <c r="R232" s="308"/>
      <c r="S232" s="309"/>
    </row>
    <row r="233" spans="1:19" ht="12.95" customHeight="1" x14ac:dyDescent="0.2">
      <c r="A233" s="127">
        <f t="shared" ref="A233:E233" si="109">A200</f>
        <v>26</v>
      </c>
      <c r="B233" s="128" t="str">
        <f t="shared" si="109"/>
        <v>CÓRREGO PASSATEMPO 5</v>
      </c>
      <c r="C233" s="298" t="str">
        <f t="shared" si="109"/>
        <v>21°29'57.99''S</v>
      </c>
      <c r="D233" s="298" t="str">
        <f t="shared" si="109"/>
        <v>54°43'07.39''W</v>
      </c>
      <c r="E233" s="128">
        <f t="shared" si="109"/>
        <v>3</v>
      </c>
      <c r="F233" s="128">
        <f t="shared" ref="F233" si="110">F200</f>
        <v>4.4000000000000004</v>
      </c>
      <c r="G233" s="128">
        <f t="shared" si="78"/>
        <v>22.3</v>
      </c>
      <c r="H233" s="141">
        <v>0.4</v>
      </c>
      <c r="I233" s="131">
        <v>2</v>
      </c>
      <c r="J233" s="131">
        <v>1</v>
      </c>
      <c r="K233" s="131">
        <v>33</v>
      </c>
      <c r="L233" s="131">
        <v>13.200000000000001</v>
      </c>
      <c r="M233" s="131">
        <v>13.200000000000001</v>
      </c>
      <c r="N233" s="141">
        <v>0</v>
      </c>
      <c r="O233" s="141">
        <v>0</v>
      </c>
      <c r="P233" s="141">
        <v>0</v>
      </c>
      <c r="Q233" s="305">
        <v>0</v>
      </c>
      <c r="R233" s="308"/>
      <c r="S233" s="309"/>
    </row>
    <row r="234" spans="1:19" ht="12.95" customHeight="1" x14ac:dyDescent="0.2">
      <c r="A234" s="127"/>
      <c r="B234" s="128"/>
      <c r="C234" s="128"/>
      <c r="D234" s="128"/>
      <c r="E234" s="131"/>
      <c r="F234" s="128"/>
      <c r="G234" s="141"/>
      <c r="H234" s="141"/>
      <c r="I234" s="131"/>
      <c r="J234" s="129"/>
      <c r="K234" s="129"/>
      <c r="L234" s="131"/>
      <c r="M234" s="131"/>
      <c r="N234" s="141"/>
      <c r="O234" s="141"/>
      <c r="P234" s="141"/>
      <c r="Q234" s="305"/>
      <c r="R234" s="308"/>
      <c r="S234" s="309"/>
    </row>
    <row r="235" spans="1:19" ht="12.95" customHeight="1" x14ac:dyDescent="0.2">
      <c r="A235" s="462" t="s">
        <v>185</v>
      </c>
      <c r="B235" s="462"/>
      <c r="C235" s="462"/>
      <c r="D235" s="462"/>
      <c r="E235" s="462"/>
      <c r="F235" s="462"/>
      <c r="G235" s="79">
        <f>TRUNC(SUM(G208:G234),3)</f>
        <v>335.7</v>
      </c>
      <c r="H235" s="79"/>
      <c r="I235" s="79">
        <v>52</v>
      </c>
      <c r="J235" s="79"/>
      <c r="K235" s="79">
        <v>882</v>
      </c>
      <c r="L235" s="79">
        <v>352.8</v>
      </c>
      <c r="M235" s="79">
        <v>352.8</v>
      </c>
      <c r="N235" s="79"/>
      <c r="O235" s="303">
        <v>0</v>
      </c>
      <c r="P235" s="79"/>
      <c r="Q235" s="303">
        <v>0</v>
      </c>
      <c r="R235" s="310"/>
      <c r="S235" s="311"/>
    </row>
    <row r="236" spans="1:19" s="68" customFormat="1" ht="12.95" customHeight="1" x14ac:dyDescent="0.25">
      <c r="A236" s="478"/>
      <c r="B236" s="478"/>
      <c r="C236" s="478"/>
      <c r="D236" s="478"/>
      <c r="E236" s="478"/>
      <c r="F236" s="478"/>
      <c r="G236" s="478"/>
      <c r="H236" s="478"/>
      <c r="I236" s="478"/>
      <c r="J236" s="478"/>
      <c r="K236" s="478"/>
      <c r="L236" s="478"/>
      <c r="M236" s="478"/>
      <c r="N236" s="478"/>
      <c r="O236" s="478"/>
      <c r="P236" s="478"/>
      <c r="Q236" s="478"/>
      <c r="R236" s="479"/>
      <c r="S236" s="479"/>
    </row>
    <row r="237" spans="1:19" ht="12.95" customHeight="1" x14ac:dyDescent="0.2">
      <c r="A237" s="476" t="s">
        <v>414</v>
      </c>
      <c r="B237" s="476"/>
      <c r="C237" s="476"/>
      <c r="D237" s="476"/>
      <c r="E237" s="476"/>
      <c r="F237" s="476"/>
      <c r="G237" s="476"/>
      <c r="H237" s="476"/>
      <c r="I237" s="476"/>
      <c r="J237" s="476"/>
      <c r="K237" s="476"/>
      <c r="L237" s="476"/>
      <c r="M237" s="476"/>
      <c r="N237" s="476"/>
      <c r="O237" s="476"/>
      <c r="P237" s="476"/>
      <c r="Q237" s="476"/>
      <c r="R237" s="476"/>
      <c r="S237" s="476"/>
    </row>
    <row r="238" spans="1:19" ht="12.95" customHeight="1" x14ac:dyDescent="0.2">
      <c r="A238" s="484" t="str">
        <f>$A$7</f>
        <v>MANUTENÇÃO E CONSERVAÇÃO DAS PONTES DE MADEIRA</v>
      </c>
      <c r="B238" s="477"/>
      <c r="C238" s="477"/>
      <c r="D238" s="477"/>
      <c r="E238" s="477"/>
      <c r="F238" s="477"/>
      <c r="G238" s="477"/>
      <c r="H238" s="477"/>
      <c r="I238" s="477"/>
      <c r="J238" s="477"/>
      <c r="K238" s="477"/>
      <c r="L238" s="477"/>
      <c r="M238" s="477"/>
      <c r="N238" s="477"/>
      <c r="O238" s="477"/>
      <c r="P238" s="477"/>
      <c r="Q238" s="477"/>
      <c r="R238" s="477"/>
      <c r="S238" s="485"/>
    </row>
    <row r="239" spans="1:19" ht="27" customHeight="1" x14ac:dyDescent="0.2">
      <c r="A239" s="490" t="s">
        <v>0</v>
      </c>
      <c r="B239" s="469" t="s">
        <v>1</v>
      </c>
      <c r="C239" s="469"/>
      <c r="D239" s="469"/>
      <c r="E239" s="469"/>
      <c r="F239" s="469"/>
      <c r="G239" s="469"/>
      <c r="H239" s="466" t="s">
        <v>363</v>
      </c>
      <c r="I239" s="467"/>
      <c r="J239" s="467"/>
      <c r="K239" s="468"/>
      <c r="L239" s="471" t="s">
        <v>507</v>
      </c>
      <c r="M239" s="473"/>
      <c r="N239" s="473"/>
      <c r="O239" s="487" t="s">
        <v>208</v>
      </c>
      <c r="P239" s="488"/>
      <c r="Q239" s="488"/>
      <c r="R239" s="488"/>
      <c r="S239" s="489"/>
    </row>
    <row r="240" spans="1:19" ht="33" customHeight="1" x14ac:dyDescent="0.2">
      <c r="A240" s="490"/>
      <c r="B240" s="94" t="s">
        <v>504</v>
      </c>
      <c r="C240" s="66" t="str">
        <f>$D$9</f>
        <v>Longitude</v>
      </c>
      <c r="D240" s="66" t="str">
        <f>$D$9</f>
        <v>Longitude</v>
      </c>
      <c r="E240" s="66" t="str">
        <f>$E$9</f>
        <v>Vigamento</v>
      </c>
      <c r="F240" s="83" t="str">
        <f>$F$9</f>
        <v>Largura (m)</v>
      </c>
      <c r="G240" s="83" t="str">
        <f>$G$9</f>
        <v>Extensão (m)</v>
      </c>
      <c r="H240" s="83" t="s">
        <v>352</v>
      </c>
      <c r="I240" s="95" t="s">
        <v>212</v>
      </c>
      <c r="J240" s="83" t="s">
        <v>42</v>
      </c>
      <c r="K240" s="83" t="s">
        <v>62</v>
      </c>
      <c r="L240" s="83" t="s">
        <v>352</v>
      </c>
      <c r="M240" s="299" t="s">
        <v>398</v>
      </c>
      <c r="N240" s="83" t="s">
        <v>397</v>
      </c>
      <c r="O240" s="83" t="s">
        <v>352</v>
      </c>
      <c r="P240" s="82" t="s">
        <v>5</v>
      </c>
      <c r="Q240" s="82" t="s">
        <v>54</v>
      </c>
      <c r="R240" s="82" t="s">
        <v>48</v>
      </c>
      <c r="S240" s="333" t="s">
        <v>399</v>
      </c>
    </row>
    <row r="241" spans="1:24" ht="12.95" customHeight="1" x14ac:dyDescent="0.2">
      <c r="A241" s="330">
        <f t="shared" ref="A241:G250" si="111">A76</f>
        <v>1</v>
      </c>
      <c r="B241" s="121" t="str">
        <f t="shared" si="111"/>
        <v>CÓRREGO DO CHINELO</v>
      </c>
      <c r="C241" s="122" t="str">
        <f t="shared" si="111"/>
        <v>21°53'30.35''S</v>
      </c>
      <c r="D241" s="121" t="str">
        <f t="shared" si="111"/>
        <v>54°35'16.91''W</v>
      </c>
      <c r="E241" s="142" t="str">
        <f t="shared" si="111"/>
        <v>Simples</v>
      </c>
      <c r="F241" s="122">
        <f t="shared" si="111"/>
        <v>5</v>
      </c>
      <c r="G241" s="122">
        <f t="shared" si="111"/>
        <v>13</v>
      </c>
      <c r="H241" s="141">
        <v>0.8</v>
      </c>
      <c r="I241" s="125">
        <v>12</v>
      </c>
      <c r="J241" s="141">
        <v>2</v>
      </c>
      <c r="K241" s="141">
        <v>2</v>
      </c>
      <c r="L241" s="141">
        <v>0.8</v>
      </c>
      <c r="M241" s="300">
        <v>4</v>
      </c>
      <c r="N241" s="141">
        <v>13</v>
      </c>
      <c r="O241" s="141">
        <v>0.15</v>
      </c>
      <c r="P241" s="134">
        <v>13</v>
      </c>
      <c r="Q241" s="134">
        <v>5</v>
      </c>
      <c r="R241" s="134">
        <v>3</v>
      </c>
      <c r="S241" s="327">
        <v>5.85</v>
      </c>
    </row>
    <row r="242" spans="1:24" ht="12.95" customHeight="1" x14ac:dyDescent="0.2">
      <c r="A242" s="330">
        <f t="shared" si="111"/>
        <v>2</v>
      </c>
      <c r="B242" s="121" t="str">
        <f t="shared" si="111"/>
        <v>CÓRREGO AREIAS</v>
      </c>
      <c r="C242" s="122" t="str">
        <f t="shared" si="111"/>
        <v>21°48'55.89''S</v>
      </c>
      <c r="D242" s="121" t="str">
        <f t="shared" si="111"/>
        <v>54°32'36.89''W</v>
      </c>
      <c r="E242" s="142" t="str">
        <f t="shared" si="111"/>
        <v>Simples</v>
      </c>
      <c r="F242" s="122">
        <f t="shared" si="111"/>
        <v>4.4000000000000004</v>
      </c>
      <c r="G242" s="122">
        <f t="shared" si="111"/>
        <v>6</v>
      </c>
      <c r="H242" s="141">
        <v>0.8</v>
      </c>
      <c r="I242" s="125">
        <v>12</v>
      </c>
      <c r="J242" s="141">
        <v>2</v>
      </c>
      <c r="K242" s="141">
        <v>2</v>
      </c>
      <c r="L242" s="141">
        <v>0.8</v>
      </c>
      <c r="M242" s="300">
        <v>4</v>
      </c>
      <c r="N242" s="141">
        <v>6</v>
      </c>
      <c r="O242" s="141">
        <v>0.15</v>
      </c>
      <c r="P242" s="134">
        <v>6</v>
      </c>
      <c r="Q242" s="134">
        <v>4.4000000000000004</v>
      </c>
      <c r="R242" s="134">
        <v>3</v>
      </c>
      <c r="S242" s="327">
        <v>2.3759999999999999</v>
      </c>
    </row>
    <row r="243" spans="1:24" ht="12.95" customHeight="1" x14ac:dyDescent="0.2">
      <c r="A243" s="330">
        <f t="shared" si="111"/>
        <v>3</v>
      </c>
      <c r="B243" s="121" t="str">
        <f t="shared" si="111"/>
        <v>CÓRREGO ARARAS</v>
      </c>
      <c r="C243" s="122" t="str">
        <f t="shared" si="111"/>
        <v>21°47'42.63''S</v>
      </c>
      <c r="D243" s="121" t="str">
        <f t="shared" si="111"/>
        <v>54°31'56.42''W</v>
      </c>
      <c r="E243" s="142" t="str">
        <f t="shared" si="111"/>
        <v>Simples</v>
      </c>
      <c r="F243" s="122">
        <f t="shared" si="111"/>
        <v>4.8</v>
      </c>
      <c r="G243" s="122">
        <f t="shared" si="111"/>
        <v>12</v>
      </c>
      <c r="H243" s="141">
        <v>0.8</v>
      </c>
      <c r="I243" s="125">
        <v>12</v>
      </c>
      <c r="J243" s="141">
        <v>2</v>
      </c>
      <c r="K243" s="141">
        <v>2</v>
      </c>
      <c r="L243" s="141">
        <v>0.8</v>
      </c>
      <c r="M243" s="300">
        <v>4</v>
      </c>
      <c r="N243" s="141">
        <v>12</v>
      </c>
      <c r="O243" s="141">
        <v>0.15</v>
      </c>
      <c r="P243" s="134">
        <v>12</v>
      </c>
      <c r="Q243" s="134">
        <v>4.8</v>
      </c>
      <c r="R243" s="134">
        <v>3</v>
      </c>
      <c r="S243" s="327">
        <v>5.1839999999999993</v>
      </c>
    </row>
    <row r="244" spans="1:24" ht="12.95" customHeight="1" x14ac:dyDescent="0.2">
      <c r="A244" s="330">
        <f t="shared" si="111"/>
        <v>4</v>
      </c>
      <c r="B244" s="121" t="str">
        <f t="shared" si="111"/>
        <v>CÓRREGO FORMIGA</v>
      </c>
      <c r="C244" s="122" t="str">
        <f t="shared" si="111"/>
        <v>21°39'27.48''S</v>
      </c>
      <c r="D244" s="121" t="str">
        <f t="shared" si="111"/>
        <v>54°25'31.76''W</v>
      </c>
      <c r="E244" s="142" t="str">
        <f t="shared" si="111"/>
        <v>Simples</v>
      </c>
      <c r="F244" s="122">
        <f t="shared" si="111"/>
        <v>4.4000000000000004</v>
      </c>
      <c r="G244" s="122">
        <f t="shared" si="111"/>
        <v>13.2</v>
      </c>
      <c r="H244" s="141">
        <v>0.8</v>
      </c>
      <c r="I244" s="125">
        <v>12</v>
      </c>
      <c r="J244" s="141">
        <v>2</v>
      </c>
      <c r="K244" s="141">
        <v>2</v>
      </c>
      <c r="L244" s="141">
        <v>0.8</v>
      </c>
      <c r="M244" s="300">
        <v>4</v>
      </c>
      <c r="N244" s="141">
        <v>13</v>
      </c>
      <c r="O244" s="141">
        <v>0.15</v>
      </c>
      <c r="P244" s="134">
        <v>13.2</v>
      </c>
      <c r="Q244" s="134">
        <v>4.4000000000000004</v>
      </c>
      <c r="R244" s="134">
        <v>3</v>
      </c>
      <c r="S244" s="327">
        <v>5.2271999999999998</v>
      </c>
      <c r="U244" s="81"/>
      <c r="V244" s="81"/>
      <c r="W244" s="81"/>
      <c r="X244" s="81"/>
    </row>
    <row r="245" spans="1:24" ht="12.95" customHeight="1" x14ac:dyDescent="0.2">
      <c r="A245" s="330">
        <f t="shared" si="111"/>
        <v>5</v>
      </c>
      <c r="B245" s="121" t="str">
        <f t="shared" si="111"/>
        <v>CÓRREGO ANTINHA</v>
      </c>
      <c r="C245" s="122" t="str">
        <f t="shared" si="111"/>
        <v>21°38'42.22''S</v>
      </c>
      <c r="D245" s="121" t="str">
        <f t="shared" si="111"/>
        <v>54°27'12.82''W</v>
      </c>
      <c r="E245" s="142" t="str">
        <f t="shared" si="111"/>
        <v>Simples</v>
      </c>
      <c r="F245" s="122">
        <f t="shared" si="111"/>
        <v>4.4000000000000004</v>
      </c>
      <c r="G245" s="122">
        <f t="shared" si="111"/>
        <v>7.2</v>
      </c>
      <c r="H245" s="141">
        <v>0.8</v>
      </c>
      <c r="I245" s="125">
        <v>12</v>
      </c>
      <c r="J245" s="141">
        <v>2</v>
      </c>
      <c r="K245" s="141">
        <v>2</v>
      </c>
      <c r="L245" s="141">
        <v>0.8</v>
      </c>
      <c r="M245" s="300">
        <v>4</v>
      </c>
      <c r="N245" s="141">
        <v>7</v>
      </c>
      <c r="O245" s="141">
        <v>0.15</v>
      </c>
      <c r="P245" s="134">
        <v>7.2</v>
      </c>
      <c r="Q245" s="134">
        <v>4.4000000000000004</v>
      </c>
      <c r="R245" s="134">
        <v>3</v>
      </c>
      <c r="S245" s="327">
        <v>2.8512000000000004</v>
      </c>
      <c r="U245" s="81"/>
      <c r="V245" s="81"/>
      <c r="W245" s="81"/>
      <c r="X245" s="81"/>
    </row>
    <row r="246" spans="1:24" ht="12.95" customHeight="1" x14ac:dyDescent="0.2">
      <c r="A246" s="330">
        <f t="shared" si="111"/>
        <v>6</v>
      </c>
      <c r="B246" s="121" t="str">
        <f t="shared" si="111"/>
        <v>CÓRREGO FORMIGA</v>
      </c>
      <c r="C246" s="122" t="str">
        <f t="shared" si="111"/>
        <v>21°38'56.23''S</v>
      </c>
      <c r="D246" s="121" t="str">
        <f t="shared" si="111"/>
        <v>54°25'01.82''W</v>
      </c>
      <c r="E246" s="142" t="str">
        <f t="shared" si="111"/>
        <v>Simples</v>
      </c>
      <c r="F246" s="122">
        <f t="shared" si="111"/>
        <v>4.4000000000000004</v>
      </c>
      <c r="G246" s="122">
        <f t="shared" si="111"/>
        <v>12</v>
      </c>
      <c r="H246" s="141">
        <v>0.8</v>
      </c>
      <c r="I246" s="125">
        <v>12</v>
      </c>
      <c r="J246" s="141">
        <v>2</v>
      </c>
      <c r="K246" s="141">
        <v>2</v>
      </c>
      <c r="L246" s="141">
        <v>0.8</v>
      </c>
      <c r="M246" s="300">
        <v>4</v>
      </c>
      <c r="N246" s="141">
        <v>12</v>
      </c>
      <c r="O246" s="141">
        <v>0.15</v>
      </c>
      <c r="P246" s="134">
        <v>12</v>
      </c>
      <c r="Q246" s="134">
        <v>4.4000000000000004</v>
      </c>
      <c r="R246" s="134">
        <v>3</v>
      </c>
      <c r="S246" s="327">
        <v>4.7519999999999998</v>
      </c>
      <c r="U246" s="81"/>
      <c r="V246" s="81"/>
      <c r="W246" s="81"/>
      <c r="X246" s="81"/>
    </row>
    <row r="247" spans="1:24" ht="12.95" customHeight="1" x14ac:dyDescent="0.2">
      <c r="A247" s="330">
        <f t="shared" si="111"/>
        <v>7</v>
      </c>
      <c r="B247" s="121" t="str">
        <f t="shared" si="111"/>
        <v>CÓRREGO QUILOMBO</v>
      </c>
      <c r="C247" s="122" t="str">
        <f t="shared" si="111"/>
        <v>21°42'14.33''S</v>
      </c>
      <c r="D247" s="121" t="str">
        <f t="shared" si="111"/>
        <v>54°20'39.58''W</v>
      </c>
      <c r="E247" s="142" t="str">
        <f t="shared" si="111"/>
        <v>Simples</v>
      </c>
      <c r="F247" s="122">
        <f t="shared" si="111"/>
        <v>4.4000000000000004</v>
      </c>
      <c r="G247" s="122">
        <f t="shared" si="111"/>
        <v>6.8</v>
      </c>
      <c r="H247" s="141">
        <v>0.8</v>
      </c>
      <c r="I247" s="125">
        <v>12</v>
      </c>
      <c r="J247" s="141">
        <v>2</v>
      </c>
      <c r="K247" s="141">
        <v>2</v>
      </c>
      <c r="L247" s="141">
        <v>0.8</v>
      </c>
      <c r="M247" s="300">
        <v>4</v>
      </c>
      <c r="N247" s="141">
        <v>7</v>
      </c>
      <c r="O247" s="141">
        <v>0.15</v>
      </c>
      <c r="P247" s="134">
        <v>6.8</v>
      </c>
      <c r="Q247" s="134">
        <v>4.4000000000000004</v>
      </c>
      <c r="R247" s="134">
        <v>3</v>
      </c>
      <c r="S247" s="327">
        <v>2.6928000000000001</v>
      </c>
      <c r="U247" s="81"/>
      <c r="V247" s="81"/>
      <c r="W247" s="81"/>
      <c r="X247" s="81"/>
    </row>
    <row r="248" spans="1:24" ht="12.95" customHeight="1" x14ac:dyDescent="0.2">
      <c r="A248" s="330">
        <f t="shared" si="111"/>
        <v>8</v>
      </c>
      <c r="B248" s="121" t="str">
        <f t="shared" si="111"/>
        <v>ARROIO CORREGUINHO</v>
      </c>
      <c r="C248" s="122" t="str">
        <f t="shared" si="111"/>
        <v>21°42'39.87''S</v>
      </c>
      <c r="D248" s="121" t="str">
        <f t="shared" si="111"/>
        <v>54°18'52.81''W</v>
      </c>
      <c r="E248" s="142" t="str">
        <f t="shared" si="111"/>
        <v>Simples</v>
      </c>
      <c r="F248" s="122">
        <f t="shared" si="111"/>
        <v>4.4000000000000004</v>
      </c>
      <c r="G248" s="122">
        <f t="shared" si="111"/>
        <v>5.8</v>
      </c>
      <c r="H248" s="141">
        <v>0.8</v>
      </c>
      <c r="I248" s="125">
        <v>12</v>
      </c>
      <c r="J248" s="141">
        <v>2</v>
      </c>
      <c r="K248" s="141">
        <v>2</v>
      </c>
      <c r="L248" s="141">
        <v>0.8</v>
      </c>
      <c r="M248" s="300">
        <v>4</v>
      </c>
      <c r="N248" s="141">
        <v>6</v>
      </c>
      <c r="O248" s="141">
        <v>0.15</v>
      </c>
      <c r="P248" s="134">
        <v>5.8</v>
      </c>
      <c r="Q248" s="134">
        <v>4.4000000000000004</v>
      </c>
      <c r="R248" s="134">
        <v>3</v>
      </c>
      <c r="S248" s="327">
        <v>2.2968000000000002</v>
      </c>
      <c r="U248" s="81"/>
      <c r="V248" s="81"/>
      <c r="W248" s="81"/>
      <c r="X248" s="81"/>
    </row>
    <row r="249" spans="1:24" ht="12.95" customHeight="1" x14ac:dyDescent="0.2">
      <c r="A249" s="330">
        <f t="shared" si="111"/>
        <v>9</v>
      </c>
      <c r="B249" s="121" t="str">
        <f t="shared" si="111"/>
        <v>CÓRREGO GUATAMBU</v>
      </c>
      <c r="C249" s="122" t="str">
        <f t="shared" si="111"/>
        <v>21°43'17.70"S</v>
      </c>
      <c r="D249" s="121" t="str">
        <f t="shared" si="111"/>
        <v>54°16'36.10"W</v>
      </c>
      <c r="E249" s="142" t="str">
        <f t="shared" si="111"/>
        <v>Simples</v>
      </c>
      <c r="F249" s="122">
        <f t="shared" si="111"/>
        <v>4.4000000000000004</v>
      </c>
      <c r="G249" s="122">
        <f t="shared" si="111"/>
        <v>10.6</v>
      </c>
      <c r="H249" s="141">
        <v>0.8</v>
      </c>
      <c r="I249" s="125">
        <v>12</v>
      </c>
      <c r="J249" s="141">
        <v>2</v>
      </c>
      <c r="K249" s="141">
        <v>2</v>
      </c>
      <c r="L249" s="141">
        <v>0.8</v>
      </c>
      <c r="M249" s="300">
        <v>4</v>
      </c>
      <c r="N249" s="141">
        <v>11</v>
      </c>
      <c r="O249" s="141">
        <v>0.15</v>
      </c>
      <c r="P249" s="134">
        <v>10.6</v>
      </c>
      <c r="Q249" s="134">
        <v>4.4000000000000004</v>
      </c>
      <c r="R249" s="134">
        <v>3</v>
      </c>
      <c r="S249" s="327">
        <v>4.1976000000000004</v>
      </c>
      <c r="U249" s="81"/>
      <c r="V249" s="81"/>
      <c r="W249" s="81"/>
      <c r="X249" s="81"/>
    </row>
    <row r="250" spans="1:24" ht="12.95" customHeight="1" x14ac:dyDescent="0.2">
      <c r="A250" s="330">
        <f t="shared" si="111"/>
        <v>10</v>
      </c>
      <c r="B250" s="121" t="str">
        <f t="shared" si="111"/>
        <v>CÓRREGO QUILOMBO</v>
      </c>
      <c r="C250" s="122" t="str">
        <f t="shared" si="111"/>
        <v>21°42'51.11''S</v>
      </c>
      <c r="D250" s="121" t="str">
        <f t="shared" si="111"/>
        <v>54°16'52.81''W</v>
      </c>
      <c r="E250" s="142" t="str">
        <f t="shared" si="111"/>
        <v>Simples</v>
      </c>
      <c r="F250" s="122">
        <f t="shared" si="111"/>
        <v>4.4000000000000004</v>
      </c>
      <c r="G250" s="122">
        <f t="shared" si="111"/>
        <v>5.8</v>
      </c>
      <c r="H250" s="141">
        <v>0.8</v>
      </c>
      <c r="I250" s="125">
        <v>12</v>
      </c>
      <c r="J250" s="141">
        <v>2</v>
      </c>
      <c r="K250" s="141">
        <v>2</v>
      </c>
      <c r="L250" s="141">
        <v>0.8</v>
      </c>
      <c r="M250" s="300">
        <v>4</v>
      </c>
      <c r="N250" s="141">
        <v>6</v>
      </c>
      <c r="O250" s="141">
        <v>0.15</v>
      </c>
      <c r="P250" s="134">
        <v>5.8</v>
      </c>
      <c r="Q250" s="134">
        <v>4.4000000000000004</v>
      </c>
      <c r="R250" s="134">
        <v>3</v>
      </c>
      <c r="S250" s="327">
        <v>2.2968000000000002</v>
      </c>
      <c r="U250" s="81"/>
      <c r="V250" s="81"/>
      <c r="W250" s="81"/>
      <c r="X250" s="81"/>
    </row>
    <row r="251" spans="1:24" ht="12.95" customHeight="1" x14ac:dyDescent="0.2">
      <c r="A251" s="330">
        <f t="shared" ref="A251:G260" si="112">A86</f>
        <v>11</v>
      </c>
      <c r="B251" s="121" t="str">
        <f t="shared" si="112"/>
        <v>CÓRREGO SAPÉ</v>
      </c>
      <c r="C251" s="122" t="str">
        <f t="shared" si="112"/>
        <v>21°44'57.50"S</v>
      </c>
      <c r="D251" s="121" t="str">
        <f t="shared" si="112"/>
        <v>54°18'00.40"W</v>
      </c>
      <c r="E251" s="142" t="str">
        <f t="shared" si="112"/>
        <v>Simples</v>
      </c>
      <c r="F251" s="122">
        <f t="shared" si="112"/>
        <v>4.4000000000000004</v>
      </c>
      <c r="G251" s="122">
        <f t="shared" si="112"/>
        <v>10.8</v>
      </c>
      <c r="H251" s="141">
        <v>0.8</v>
      </c>
      <c r="I251" s="125">
        <v>12</v>
      </c>
      <c r="J251" s="141">
        <v>2</v>
      </c>
      <c r="K251" s="141">
        <v>2</v>
      </c>
      <c r="L251" s="141">
        <v>0.8</v>
      </c>
      <c r="M251" s="300">
        <v>4</v>
      </c>
      <c r="N251" s="141">
        <v>11</v>
      </c>
      <c r="O251" s="141">
        <v>0.15</v>
      </c>
      <c r="P251" s="134">
        <v>10.8</v>
      </c>
      <c r="Q251" s="134">
        <v>4.4000000000000004</v>
      </c>
      <c r="R251" s="134">
        <v>3</v>
      </c>
      <c r="S251" s="327">
        <v>4.2768000000000006</v>
      </c>
      <c r="U251" s="81"/>
      <c r="V251" s="81"/>
      <c r="W251" s="81"/>
      <c r="X251" s="81"/>
    </row>
    <row r="252" spans="1:24" ht="12.95" customHeight="1" x14ac:dyDescent="0.2">
      <c r="A252" s="330">
        <f t="shared" si="112"/>
        <v>12</v>
      </c>
      <c r="B252" s="121" t="str">
        <f t="shared" si="112"/>
        <v>CÓRREGO JUREMA</v>
      </c>
      <c r="C252" s="122" t="str">
        <f t="shared" si="112"/>
        <v>21°47'02.84''S</v>
      </c>
      <c r="D252" s="121" t="str">
        <f t="shared" si="112"/>
        <v>54°14'35.61''W</v>
      </c>
      <c r="E252" s="142" t="str">
        <f t="shared" si="112"/>
        <v>Simples</v>
      </c>
      <c r="F252" s="122">
        <f t="shared" si="112"/>
        <v>4.4000000000000004</v>
      </c>
      <c r="G252" s="122">
        <f t="shared" si="112"/>
        <v>7.1</v>
      </c>
      <c r="H252" s="141">
        <v>0.8</v>
      </c>
      <c r="I252" s="125">
        <v>12</v>
      </c>
      <c r="J252" s="141">
        <v>2</v>
      </c>
      <c r="K252" s="141">
        <v>2</v>
      </c>
      <c r="L252" s="141">
        <v>0.8</v>
      </c>
      <c r="M252" s="300">
        <v>4</v>
      </c>
      <c r="N252" s="141">
        <v>7</v>
      </c>
      <c r="O252" s="141">
        <v>0.15</v>
      </c>
      <c r="P252" s="134">
        <v>7.1</v>
      </c>
      <c r="Q252" s="134">
        <v>4.4000000000000004</v>
      </c>
      <c r="R252" s="134">
        <v>3</v>
      </c>
      <c r="S252" s="327">
        <v>2.8115999999999999</v>
      </c>
      <c r="U252" s="81"/>
      <c r="V252" s="81"/>
      <c r="W252" s="81"/>
      <c r="X252" s="81"/>
    </row>
    <row r="253" spans="1:24" ht="12.95" customHeight="1" x14ac:dyDescent="0.2">
      <c r="A253" s="330">
        <f t="shared" si="112"/>
        <v>13</v>
      </c>
      <c r="B253" s="121" t="str">
        <f t="shared" si="112"/>
        <v>CÓRREGO ARACI</v>
      </c>
      <c r="C253" s="122" t="str">
        <f t="shared" si="112"/>
        <v>21°45'04.33''S</v>
      </c>
      <c r="D253" s="121" t="str">
        <f t="shared" si="112"/>
        <v>54°12'41.25''W</v>
      </c>
      <c r="E253" s="142" t="str">
        <f t="shared" si="112"/>
        <v>Simples</v>
      </c>
      <c r="F253" s="122">
        <f t="shared" si="112"/>
        <v>4.4000000000000004</v>
      </c>
      <c r="G253" s="122">
        <f t="shared" si="112"/>
        <v>6.4</v>
      </c>
      <c r="H253" s="141">
        <v>0.8</v>
      </c>
      <c r="I253" s="125">
        <v>12</v>
      </c>
      <c r="J253" s="141">
        <v>2</v>
      </c>
      <c r="K253" s="141">
        <v>2</v>
      </c>
      <c r="L253" s="141">
        <v>0.8</v>
      </c>
      <c r="M253" s="300">
        <v>4</v>
      </c>
      <c r="N253" s="141">
        <v>6</v>
      </c>
      <c r="O253" s="141">
        <v>0.15</v>
      </c>
      <c r="P253" s="134">
        <v>6.4</v>
      </c>
      <c r="Q253" s="134">
        <v>4.4000000000000004</v>
      </c>
      <c r="R253" s="134">
        <v>3</v>
      </c>
      <c r="S253" s="327">
        <v>2.5344000000000007</v>
      </c>
      <c r="U253" s="81"/>
      <c r="V253" s="81"/>
      <c r="W253" s="81"/>
      <c r="X253" s="81"/>
    </row>
    <row r="254" spans="1:24" ht="12.95" customHeight="1" x14ac:dyDescent="0.2">
      <c r="A254" s="330">
        <f t="shared" si="112"/>
        <v>14</v>
      </c>
      <c r="B254" s="121" t="str">
        <f t="shared" si="112"/>
        <v>CÓRREGO ANHUMAS</v>
      </c>
      <c r="C254" s="122" t="str">
        <f t="shared" si="112"/>
        <v>21°51'40.49''S</v>
      </c>
      <c r="D254" s="121" t="str">
        <f t="shared" si="112"/>
        <v>54°08'14.26''W</v>
      </c>
      <c r="E254" s="142" t="str">
        <f t="shared" si="112"/>
        <v>Simples</v>
      </c>
      <c r="F254" s="122">
        <f t="shared" si="112"/>
        <v>4.4000000000000004</v>
      </c>
      <c r="G254" s="122">
        <f t="shared" si="112"/>
        <v>11.8</v>
      </c>
      <c r="H254" s="141">
        <v>0.8</v>
      </c>
      <c r="I254" s="125">
        <v>12</v>
      </c>
      <c r="J254" s="141">
        <v>2</v>
      </c>
      <c r="K254" s="141">
        <v>2</v>
      </c>
      <c r="L254" s="141">
        <v>0.8</v>
      </c>
      <c r="M254" s="300">
        <v>4</v>
      </c>
      <c r="N254" s="141">
        <v>12</v>
      </c>
      <c r="O254" s="141">
        <v>0.15</v>
      </c>
      <c r="P254" s="134">
        <v>11.8</v>
      </c>
      <c r="Q254" s="134">
        <v>4.4000000000000004</v>
      </c>
      <c r="R254" s="134">
        <v>3</v>
      </c>
      <c r="S254" s="327">
        <v>4.6728000000000005</v>
      </c>
      <c r="U254" s="81"/>
      <c r="V254" s="81"/>
      <c r="W254" s="81"/>
      <c r="X254" s="81"/>
    </row>
    <row r="255" spans="1:24" ht="12.95" customHeight="1" x14ac:dyDescent="0.2">
      <c r="A255" s="330">
        <f t="shared" si="112"/>
        <v>15</v>
      </c>
      <c r="B255" s="121" t="str">
        <f t="shared" si="112"/>
        <v>CÓRREGO CHIFRE DO VIADO</v>
      </c>
      <c r="C255" s="122" t="str">
        <f t="shared" si="112"/>
        <v>21°40'35.65''S</v>
      </c>
      <c r="D255" s="121" t="str">
        <f t="shared" si="112"/>
        <v>54°56'15.44''W</v>
      </c>
      <c r="E255" s="142" t="str">
        <f t="shared" si="112"/>
        <v>Simples</v>
      </c>
      <c r="F255" s="122">
        <f t="shared" si="112"/>
        <v>5</v>
      </c>
      <c r="G255" s="122">
        <f t="shared" si="112"/>
        <v>12</v>
      </c>
      <c r="H255" s="141">
        <v>0.8</v>
      </c>
      <c r="I255" s="125">
        <v>12</v>
      </c>
      <c r="J255" s="141">
        <v>2</v>
      </c>
      <c r="K255" s="141">
        <v>2</v>
      </c>
      <c r="L255" s="141">
        <v>0.8</v>
      </c>
      <c r="M255" s="300">
        <v>4</v>
      </c>
      <c r="N255" s="141">
        <v>12</v>
      </c>
      <c r="O255" s="141">
        <v>0.15</v>
      </c>
      <c r="P255" s="134">
        <v>12</v>
      </c>
      <c r="Q255" s="134">
        <v>5</v>
      </c>
      <c r="R255" s="134">
        <v>3</v>
      </c>
      <c r="S255" s="327">
        <v>5.3999999999999995</v>
      </c>
      <c r="U255" s="81"/>
      <c r="V255" s="81"/>
      <c r="W255" s="81"/>
      <c r="X255" s="81"/>
    </row>
    <row r="256" spans="1:24" ht="12.95" customHeight="1" x14ac:dyDescent="0.2">
      <c r="A256" s="330">
        <f t="shared" si="112"/>
        <v>16</v>
      </c>
      <c r="B256" s="121" t="str">
        <f t="shared" si="112"/>
        <v>CÓRREGO SANTA RITA</v>
      </c>
      <c r="C256" s="122" t="str">
        <f t="shared" si="112"/>
        <v>21°33'23.75''S</v>
      </c>
      <c r="D256" s="121" t="str">
        <f t="shared" si="112"/>
        <v>54°35'26.66''W</v>
      </c>
      <c r="E256" s="142" t="str">
        <f t="shared" si="112"/>
        <v>Simples</v>
      </c>
      <c r="F256" s="122">
        <f t="shared" si="112"/>
        <v>4.4000000000000004</v>
      </c>
      <c r="G256" s="122">
        <f t="shared" si="112"/>
        <v>22.1</v>
      </c>
      <c r="H256" s="141">
        <v>0.8</v>
      </c>
      <c r="I256" s="125">
        <v>12</v>
      </c>
      <c r="J256" s="141">
        <v>2</v>
      </c>
      <c r="K256" s="141">
        <v>2</v>
      </c>
      <c r="L256" s="141">
        <v>0.8</v>
      </c>
      <c r="M256" s="300">
        <v>4</v>
      </c>
      <c r="N256" s="141">
        <v>22</v>
      </c>
      <c r="O256" s="141">
        <v>0.15</v>
      </c>
      <c r="P256" s="134">
        <v>22.1</v>
      </c>
      <c r="Q256" s="134">
        <v>4.4000000000000004</v>
      </c>
      <c r="R256" s="134">
        <v>3</v>
      </c>
      <c r="S256" s="327">
        <v>8.7516000000000016</v>
      </c>
      <c r="U256" s="81"/>
      <c r="V256" s="81"/>
      <c r="W256" s="81"/>
      <c r="X256" s="81"/>
    </row>
    <row r="257" spans="1:24" ht="12.95" customHeight="1" x14ac:dyDescent="0.2">
      <c r="A257" s="330">
        <f t="shared" si="112"/>
        <v>17</v>
      </c>
      <c r="B257" s="121" t="str">
        <f t="shared" si="112"/>
        <v>RIO SERROTE</v>
      </c>
      <c r="C257" s="122" t="str">
        <f t="shared" si="112"/>
        <v>21°25'01.14''S</v>
      </c>
      <c r="D257" s="121" t="str">
        <f t="shared" si="112"/>
        <v>54°43'16.96''W</v>
      </c>
      <c r="E257" s="142" t="str">
        <f t="shared" si="112"/>
        <v>Simples</v>
      </c>
      <c r="F257" s="122">
        <f t="shared" si="112"/>
        <v>4.4000000000000004</v>
      </c>
      <c r="G257" s="122">
        <f t="shared" si="112"/>
        <v>24.6</v>
      </c>
      <c r="H257" s="141">
        <v>0.8</v>
      </c>
      <c r="I257" s="125">
        <v>12</v>
      </c>
      <c r="J257" s="141">
        <v>2</v>
      </c>
      <c r="K257" s="141">
        <v>2</v>
      </c>
      <c r="L257" s="141">
        <v>0.8</v>
      </c>
      <c r="M257" s="300">
        <v>4</v>
      </c>
      <c r="N257" s="141">
        <v>25</v>
      </c>
      <c r="O257" s="141">
        <v>0.15</v>
      </c>
      <c r="P257" s="134">
        <v>24.6</v>
      </c>
      <c r="Q257" s="134">
        <v>4.4000000000000004</v>
      </c>
      <c r="R257" s="134">
        <v>3</v>
      </c>
      <c r="S257" s="327">
        <v>9.7416</v>
      </c>
      <c r="U257" s="81"/>
      <c r="V257" s="81"/>
      <c r="W257" s="81"/>
      <c r="X257" s="81"/>
    </row>
    <row r="258" spans="1:24" ht="12.95" customHeight="1" x14ac:dyDescent="0.2">
      <c r="A258" s="330">
        <f t="shared" si="112"/>
        <v>18</v>
      </c>
      <c r="B258" s="121" t="str">
        <f t="shared" si="112"/>
        <v>CÓRREGO PASSATEMPO 1</v>
      </c>
      <c r="C258" s="122" t="str">
        <f t="shared" si="112"/>
        <v>21°29'34.92''S</v>
      </c>
      <c r="D258" s="121" t="str">
        <f t="shared" si="112"/>
        <v>54°49'18.44''W</v>
      </c>
      <c r="E258" s="142" t="str">
        <f t="shared" si="112"/>
        <v>Simples</v>
      </c>
      <c r="F258" s="122">
        <f t="shared" si="112"/>
        <v>4.4000000000000004</v>
      </c>
      <c r="G258" s="122">
        <f t="shared" si="112"/>
        <v>16.399999999999999</v>
      </c>
      <c r="H258" s="141">
        <v>0.8</v>
      </c>
      <c r="I258" s="125">
        <v>12</v>
      </c>
      <c r="J258" s="141">
        <v>2</v>
      </c>
      <c r="K258" s="141">
        <v>2</v>
      </c>
      <c r="L258" s="141">
        <v>0.8</v>
      </c>
      <c r="M258" s="300">
        <v>4</v>
      </c>
      <c r="N258" s="141">
        <v>16</v>
      </c>
      <c r="O258" s="141">
        <v>0.15</v>
      </c>
      <c r="P258" s="134">
        <v>16.399999999999999</v>
      </c>
      <c r="Q258" s="134">
        <v>4.4000000000000004</v>
      </c>
      <c r="R258" s="134">
        <v>3</v>
      </c>
      <c r="S258" s="327">
        <v>6.4943999999999997</v>
      </c>
      <c r="U258" s="81"/>
      <c r="V258" s="81"/>
      <c r="W258" s="81"/>
      <c r="X258" s="81"/>
    </row>
    <row r="259" spans="1:24" ht="12.95" customHeight="1" x14ac:dyDescent="0.2">
      <c r="A259" s="330">
        <f t="shared" si="112"/>
        <v>19</v>
      </c>
      <c r="B259" s="121" t="str">
        <f t="shared" si="112"/>
        <v>CÓRREGO PASSATEMPO 2</v>
      </c>
      <c r="C259" s="122" t="str">
        <f t="shared" si="112"/>
        <v>21°29'33.39''S</v>
      </c>
      <c r="D259" s="121" t="str">
        <f t="shared" si="112"/>
        <v>54°49'17.44''W</v>
      </c>
      <c r="E259" s="142" t="str">
        <f t="shared" si="112"/>
        <v>Simples</v>
      </c>
      <c r="F259" s="122">
        <f t="shared" si="112"/>
        <v>4.4000000000000004</v>
      </c>
      <c r="G259" s="122">
        <f t="shared" si="112"/>
        <v>19.600000000000001</v>
      </c>
      <c r="H259" s="141">
        <v>0.8</v>
      </c>
      <c r="I259" s="125">
        <v>12</v>
      </c>
      <c r="J259" s="141">
        <v>2</v>
      </c>
      <c r="K259" s="141">
        <v>2</v>
      </c>
      <c r="L259" s="141">
        <v>0.8</v>
      </c>
      <c r="M259" s="300">
        <v>4</v>
      </c>
      <c r="N259" s="141">
        <v>20</v>
      </c>
      <c r="O259" s="141">
        <v>0.15</v>
      </c>
      <c r="P259" s="134">
        <v>19.600000000000001</v>
      </c>
      <c r="Q259" s="134">
        <v>4.4000000000000004</v>
      </c>
      <c r="R259" s="134">
        <v>3</v>
      </c>
      <c r="S259" s="327">
        <v>7.7616000000000005</v>
      </c>
      <c r="U259" s="81"/>
      <c r="V259" s="81"/>
      <c r="W259" s="81"/>
      <c r="X259" s="81"/>
    </row>
    <row r="260" spans="1:24" ht="12.95" customHeight="1" x14ac:dyDescent="0.2">
      <c r="A260" s="330">
        <f t="shared" si="112"/>
        <v>20</v>
      </c>
      <c r="B260" s="121" t="str">
        <f t="shared" si="112"/>
        <v>CÓRREGO PASSATEMPO 3</v>
      </c>
      <c r="C260" s="122" t="str">
        <f t="shared" si="112"/>
        <v>21°28'09.42''S</v>
      </c>
      <c r="D260" s="121" t="str">
        <f t="shared" si="112"/>
        <v>54°48'01.11''W</v>
      </c>
      <c r="E260" s="142" t="str">
        <f t="shared" si="112"/>
        <v>Simples</v>
      </c>
      <c r="F260" s="122">
        <f t="shared" si="112"/>
        <v>5</v>
      </c>
      <c r="G260" s="122">
        <f t="shared" si="112"/>
        <v>6</v>
      </c>
      <c r="H260" s="141">
        <v>0.8</v>
      </c>
      <c r="I260" s="125">
        <v>12</v>
      </c>
      <c r="J260" s="141">
        <v>2</v>
      </c>
      <c r="K260" s="141">
        <v>2</v>
      </c>
      <c r="L260" s="141">
        <v>0.8</v>
      </c>
      <c r="M260" s="300">
        <v>4</v>
      </c>
      <c r="N260" s="141">
        <v>6</v>
      </c>
      <c r="O260" s="141">
        <v>0.15</v>
      </c>
      <c r="P260" s="134">
        <v>6</v>
      </c>
      <c r="Q260" s="134">
        <v>5</v>
      </c>
      <c r="R260" s="134">
        <v>3</v>
      </c>
      <c r="S260" s="327">
        <v>2.6999999999999997</v>
      </c>
      <c r="U260" s="81"/>
      <c r="V260" s="81"/>
      <c r="W260" s="81"/>
      <c r="X260" s="81"/>
    </row>
    <row r="261" spans="1:24" ht="12.95" customHeight="1" x14ac:dyDescent="0.2">
      <c r="A261" s="330">
        <f t="shared" ref="A261:G266" si="113">A96</f>
        <v>21</v>
      </c>
      <c r="B261" s="121" t="str">
        <f t="shared" si="113"/>
        <v>CÓRREGO TAQUARA</v>
      </c>
      <c r="C261" s="122" t="str">
        <f t="shared" si="113"/>
        <v>21°21'07.90''S</v>
      </c>
      <c r="D261" s="121" t="str">
        <f t="shared" si="113"/>
        <v>54°50'07.01''W</v>
      </c>
      <c r="E261" s="142" t="str">
        <f t="shared" si="113"/>
        <v>Simples</v>
      </c>
      <c r="F261" s="122">
        <f t="shared" si="113"/>
        <v>4.8</v>
      </c>
      <c r="G261" s="122">
        <f t="shared" si="113"/>
        <v>24</v>
      </c>
      <c r="H261" s="141">
        <v>0.8</v>
      </c>
      <c r="I261" s="125">
        <v>12</v>
      </c>
      <c r="J261" s="141">
        <v>2</v>
      </c>
      <c r="K261" s="141">
        <v>2</v>
      </c>
      <c r="L261" s="141">
        <v>0.8</v>
      </c>
      <c r="M261" s="300">
        <v>4</v>
      </c>
      <c r="N261" s="141">
        <v>24</v>
      </c>
      <c r="O261" s="141">
        <v>0.15</v>
      </c>
      <c r="P261" s="134">
        <v>24</v>
      </c>
      <c r="Q261" s="134">
        <v>4.8</v>
      </c>
      <c r="R261" s="134">
        <v>3</v>
      </c>
      <c r="S261" s="327">
        <v>10.367999999999999</v>
      </c>
      <c r="U261" s="81"/>
      <c r="V261" s="81"/>
      <c r="W261" s="81"/>
      <c r="X261" s="81"/>
    </row>
    <row r="262" spans="1:24" ht="12.95" customHeight="1" x14ac:dyDescent="0.2">
      <c r="A262" s="330">
        <f t="shared" si="113"/>
        <v>22</v>
      </c>
      <c r="B262" s="121" t="str">
        <f t="shared" si="113"/>
        <v>CÓRREGO PASSATEMPO 4</v>
      </c>
      <c r="C262" s="122" t="str">
        <f t="shared" si="113"/>
        <v>21°29'23.36''S</v>
      </c>
      <c r="D262" s="121" t="str">
        <f t="shared" si="113"/>
        <v>54°52'56.83''W</v>
      </c>
      <c r="E262" s="142" t="str">
        <f t="shared" si="113"/>
        <v>Simples</v>
      </c>
      <c r="F262" s="122">
        <f t="shared" si="113"/>
        <v>4.4000000000000004</v>
      </c>
      <c r="G262" s="122">
        <f t="shared" si="113"/>
        <v>14.3</v>
      </c>
      <c r="H262" s="141">
        <v>0.8</v>
      </c>
      <c r="I262" s="125">
        <v>12</v>
      </c>
      <c r="J262" s="141">
        <v>2</v>
      </c>
      <c r="K262" s="141">
        <v>2</v>
      </c>
      <c r="L262" s="141">
        <v>0.8</v>
      </c>
      <c r="M262" s="300">
        <v>4</v>
      </c>
      <c r="N262" s="141">
        <v>14</v>
      </c>
      <c r="O262" s="141">
        <v>0.15</v>
      </c>
      <c r="P262" s="134">
        <v>14.3</v>
      </c>
      <c r="Q262" s="134">
        <v>4.4000000000000004</v>
      </c>
      <c r="R262" s="134">
        <v>3</v>
      </c>
      <c r="S262" s="327">
        <v>5.6627999999999998</v>
      </c>
      <c r="U262" s="81"/>
      <c r="V262" s="81"/>
      <c r="W262" s="81"/>
      <c r="X262" s="81"/>
    </row>
    <row r="263" spans="1:24" ht="12.95" customHeight="1" x14ac:dyDescent="0.2">
      <c r="A263" s="330">
        <f t="shared" si="113"/>
        <v>23</v>
      </c>
      <c r="B263" s="121" t="str">
        <f t="shared" si="113"/>
        <v>CÓRREGO DO COQUEIRO</v>
      </c>
      <c r="C263" s="122" t="str">
        <f t="shared" si="113"/>
        <v>21°30'51.74''S</v>
      </c>
      <c r="D263" s="121" t="str">
        <f t="shared" si="113"/>
        <v>54°52'00.30''W</v>
      </c>
      <c r="E263" s="142" t="str">
        <f t="shared" si="113"/>
        <v>Simples</v>
      </c>
      <c r="F263" s="122">
        <f t="shared" si="113"/>
        <v>4.4000000000000004</v>
      </c>
      <c r="G263" s="122">
        <f t="shared" si="113"/>
        <v>22.3</v>
      </c>
      <c r="H263" s="141">
        <v>0.8</v>
      </c>
      <c r="I263" s="125">
        <v>12</v>
      </c>
      <c r="J263" s="141">
        <v>2</v>
      </c>
      <c r="K263" s="141">
        <v>2</v>
      </c>
      <c r="L263" s="141">
        <v>0.8</v>
      </c>
      <c r="M263" s="300">
        <v>4</v>
      </c>
      <c r="N263" s="141">
        <v>22</v>
      </c>
      <c r="O263" s="141">
        <v>0.15</v>
      </c>
      <c r="P263" s="134">
        <v>22.3</v>
      </c>
      <c r="Q263" s="134">
        <v>4.4000000000000004</v>
      </c>
      <c r="R263" s="134">
        <v>3</v>
      </c>
      <c r="S263" s="327">
        <v>8.8308</v>
      </c>
      <c r="U263" s="81"/>
      <c r="V263" s="81"/>
      <c r="W263" s="81"/>
      <c r="X263" s="81"/>
    </row>
    <row r="264" spans="1:24" ht="12.95" customHeight="1" x14ac:dyDescent="0.2">
      <c r="A264" s="330">
        <f t="shared" si="113"/>
        <v>24</v>
      </c>
      <c r="B264" s="121" t="str">
        <f t="shared" si="113"/>
        <v>CÓRREGO CARRAPATO</v>
      </c>
      <c r="C264" s="122" t="str">
        <f t="shared" si="113"/>
        <v>21°32'42.64''S</v>
      </c>
      <c r="D264" s="121" t="str">
        <f t="shared" si="113"/>
        <v>55°00'59.87''W</v>
      </c>
      <c r="E264" s="142" t="str">
        <f t="shared" si="113"/>
        <v>Simples</v>
      </c>
      <c r="F264" s="122">
        <f t="shared" si="113"/>
        <v>4.4000000000000004</v>
      </c>
      <c r="G264" s="122">
        <f t="shared" si="113"/>
        <v>18</v>
      </c>
      <c r="H264" s="141">
        <v>0.8</v>
      </c>
      <c r="I264" s="125">
        <v>12</v>
      </c>
      <c r="J264" s="141">
        <v>2</v>
      </c>
      <c r="K264" s="141">
        <v>2</v>
      </c>
      <c r="L264" s="141">
        <v>0.8</v>
      </c>
      <c r="M264" s="300">
        <v>4</v>
      </c>
      <c r="N264" s="141">
        <v>18</v>
      </c>
      <c r="O264" s="141">
        <v>0.15</v>
      </c>
      <c r="P264" s="134">
        <v>18</v>
      </c>
      <c r="Q264" s="134">
        <v>4.4000000000000004</v>
      </c>
      <c r="R264" s="134">
        <v>3</v>
      </c>
      <c r="S264" s="327">
        <v>7.1280000000000001</v>
      </c>
      <c r="U264" s="81"/>
      <c r="V264" s="81"/>
      <c r="W264" s="81"/>
      <c r="X264" s="81"/>
    </row>
    <row r="265" spans="1:24" ht="12.95" customHeight="1" x14ac:dyDescent="0.2">
      <c r="A265" s="330">
        <f t="shared" si="113"/>
        <v>25</v>
      </c>
      <c r="B265" s="121" t="str">
        <f t="shared" si="113"/>
        <v>CÓRREGO BARRA MANSA</v>
      </c>
      <c r="C265" s="122" t="str">
        <f t="shared" si="113"/>
        <v>21°45'26.00"S</v>
      </c>
      <c r="D265" s="121" t="str">
        <f t="shared" si="113"/>
        <v>54°10'16.90"W</v>
      </c>
      <c r="E265" s="142" t="str">
        <f t="shared" si="113"/>
        <v>Simples</v>
      </c>
      <c r="F265" s="122">
        <f t="shared" si="113"/>
        <v>5</v>
      </c>
      <c r="G265" s="122">
        <f t="shared" si="113"/>
        <v>5.6</v>
      </c>
      <c r="H265" s="141">
        <v>0.8</v>
      </c>
      <c r="I265" s="125">
        <v>12</v>
      </c>
      <c r="J265" s="141">
        <v>2</v>
      </c>
      <c r="K265" s="141">
        <v>2</v>
      </c>
      <c r="L265" s="141">
        <v>0.8</v>
      </c>
      <c r="M265" s="300">
        <v>4</v>
      </c>
      <c r="N265" s="141">
        <v>6</v>
      </c>
      <c r="O265" s="141">
        <v>0.15</v>
      </c>
      <c r="P265" s="134">
        <v>5.6</v>
      </c>
      <c r="Q265" s="134">
        <v>5</v>
      </c>
      <c r="R265" s="134">
        <v>3</v>
      </c>
      <c r="S265" s="327">
        <v>2.52</v>
      </c>
      <c r="U265" s="81"/>
      <c r="V265" s="81"/>
      <c r="W265" s="81"/>
      <c r="X265" s="81"/>
    </row>
    <row r="266" spans="1:24" ht="12.95" customHeight="1" x14ac:dyDescent="0.2">
      <c r="A266" s="330">
        <f t="shared" si="113"/>
        <v>26</v>
      </c>
      <c r="B266" s="121" t="str">
        <f t="shared" si="113"/>
        <v>CÓRREGO PASSATEMPO 5</v>
      </c>
      <c r="C266" s="122" t="str">
        <f t="shared" si="113"/>
        <v>21°29'57.99''S</v>
      </c>
      <c r="D266" s="121" t="str">
        <f t="shared" si="113"/>
        <v>54°43'07.39''W</v>
      </c>
      <c r="E266" s="142" t="str">
        <f t="shared" si="113"/>
        <v>Simples</v>
      </c>
      <c r="F266" s="122">
        <f t="shared" si="113"/>
        <v>4.4000000000000004</v>
      </c>
      <c r="G266" s="122">
        <f t="shared" si="113"/>
        <v>22.3</v>
      </c>
      <c r="H266" s="141">
        <v>0.8</v>
      </c>
      <c r="I266" s="125">
        <v>12</v>
      </c>
      <c r="J266" s="141">
        <v>2</v>
      </c>
      <c r="K266" s="141">
        <v>2</v>
      </c>
      <c r="L266" s="141">
        <v>0.8</v>
      </c>
      <c r="M266" s="300">
        <v>4</v>
      </c>
      <c r="N266" s="141">
        <v>22</v>
      </c>
      <c r="O266" s="141">
        <v>0.15</v>
      </c>
      <c r="P266" s="134">
        <v>22.3</v>
      </c>
      <c r="Q266" s="134">
        <v>4.4000000000000004</v>
      </c>
      <c r="R266" s="134">
        <v>3</v>
      </c>
      <c r="S266" s="327">
        <v>8.8308</v>
      </c>
      <c r="U266" s="81">
        <v>0</v>
      </c>
      <c r="V266" s="81">
        <v>0</v>
      </c>
      <c r="W266" s="475">
        <f>TRUNC((U266*Q233*2)+(V266*Q233*2)+(U266*V266*2),3)</f>
        <v>0</v>
      </c>
      <c r="X266" s="475"/>
    </row>
    <row r="267" spans="1:24" ht="12.95" customHeight="1" x14ac:dyDescent="0.2">
      <c r="A267" s="330"/>
      <c r="B267" s="124"/>
      <c r="C267" s="124"/>
      <c r="D267" s="124"/>
      <c r="E267" s="124"/>
      <c r="F267" s="124"/>
      <c r="G267" s="124"/>
      <c r="H267" s="141"/>
      <c r="I267" s="125"/>
      <c r="J267" s="141"/>
      <c r="K267" s="141"/>
      <c r="L267" s="141"/>
      <c r="M267" s="300"/>
      <c r="N267" s="141"/>
      <c r="O267" s="141"/>
      <c r="P267" s="134"/>
      <c r="Q267" s="134"/>
      <c r="R267" s="134"/>
      <c r="S267" s="327"/>
      <c r="U267" s="81">
        <v>0</v>
      </c>
      <c r="V267" s="81">
        <v>0</v>
      </c>
      <c r="W267" s="475">
        <f>TRUNC((U267*Q234*2)+(V267*Q234*2)+(U267*V267*2),3)</f>
        <v>0</v>
      </c>
      <c r="X267" s="475"/>
    </row>
    <row r="268" spans="1:24" ht="12.95" customHeight="1" x14ac:dyDescent="0.2">
      <c r="A268" s="486" t="s">
        <v>185</v>
      </c>
      <c r="B268" s="462"/>
      <c r="C268" s="462"/>
      <c r="D268" s="462"/>
      <c r="E268" s="462"/>
      <c r="F268" s="462"/>
      <c r="G268" s="79">
        <f>TRUNC(SUM(G241:G267),3)</f>
        <v>335.7</v>
      </c>
      <c r="H268" s="79"/>
      <c r="I268" s="79">
        <v>312</v>
      </c>
      <c r="J268" s="79">
        <v>52</v>
      </c>
      <c r="K268" s="79">
        <v>52</v>
      </c>
      <c r="L268" s="79"/>
      <c r="M268" s="79">
        <v>104</v>
      </c>
      <c r="N268" s="79">
        <v>336</v>
      </c>
      <c r="O268" s="79"/>
      <c r="P268" s="79"/>
      <c r="Q268" s="79"/>
      <c r="R268" s="79"/>
      <c r="S268" s="334">
        <v>136.209</v>
      </c>
    </row>
    <row r="269" spans="1:24" s="68" customFormat="1" ht="12.95" customHeight="1" thickBot="1" x14ac:dyDescent="0.3">
      <c r="A269" s="481"/>
      <c r="B269" s="482"/>
      <c r="C269" s="482"/>
      <c r="D269" s="482"/>
      <c r="E269" s="482"/>
      <c r="F269" s="482"/>
      <c r="G269" s="482"/>
      <c r="H269" s="482"/>
      <c r="I269" s="482"/>
      <c r="J269" s="482"/>
      <c r="K269" s="482"/>
      <c r="L269" s="482"/>
      <c r="M269" s="482"/>
      <c r="N269" s="482"/>
      <c r="O269" s="482"/>
      <c r="P269" s="482"/>
      <c r="Q269" s="482"/>
      <c r="R269" s="482"/>
      <c r="S269" s="483"/>
    </row>
    <row r="271" spans="1:24" x14ac:dyDescent="0.2">
      <c r="J271" s="283"/>
    </row>
  </sheetData>
  <sheetProtection formatCells="0" formatColumns="0" formatRows="0" insertColumns="0" insertRows="0" insertHyperlinks="0" deleteColumns="0" deleteRows="0" selectLockedCells="1" sort="0" autoFilter="0" pivotTables="0"/>
  <mergeCells count="79">
    <mergeCell ref="A73:S73"/>
    <mergeCell ref="A74:A75"/>
    <mergeCell ref="A103:F103"/>
    <mergeCell ref="A106:S106"/>
    <mergeCell ref="A6:S6"/>
    <mergeCell ref="A8:A9"/>
    <mergeCell ref="A37:F37"/>
    <mergeCell ref="B8:G8"/>
    <mergeCell ref="A40:S40"/>
    <mergeCell ref="A7:S7"/>
    <mergeCell ref="A38:S38"/>
    <mergeCell ref="A70:F70"/>
    <mergeCell ref="H8:K8"/>
    <mergeCell ref="L8:O8"/>
    <mergeCell ref="P8:S8"/>
    <mergeCell ref="H41:K41"/>
    <mergeCell ref="A5:S5"/>
    <mergeCell ref="A1:S1"/>
    <mergeCell ref="A2:S2"/>
    <mergeCell ref="A3:S3"/>
    <mergeCell ref="A4:S4"/>
    <mergeCell ref="A237:S237"/>
    <mergeCell ref="B74:G74"/>
    <mergeCell ref="A71:S71"/>
    <mergeCell ref="A137:S137"/>
    <mergeCell ref="A138:S138"/>
    <mergeCell ref="A139:S139"/>
    <mergeCell ref="A203:S203"/>
    <mergeCell ref="A204:S204"/>
    <mergeCell ref="A205:S205"/>
    <mergeCell ref="A104:S104"/>
    <mergeCell ref="P74:S74"/>
    <mergeCell ref="L74:O74"/>
    <mergeCell ref="H74:K74"/>
    <mergeCell ref="A72:S72"/>
    <mergeCell ref="A170:S170"/>
    <mergeCell ref="A105:S105"/>
    <mergeCell ref="L41:O41"/>
    <mergeCell ref="P41:S41"/>
    <mergeCell ref="A41:A42"/>
    <mergeCell ref="B41:G41"/>
    <mergeCell ref="A39:S39"/>
    <mergeCell ref="A269:S269"/>
    <mergeCell ref="A238:S238"/>
    <mergeCell ref="B239:G239"/>
    <mergeCell ref="A268:F268"/>
    <mergeCell ref="O239:S239"/>
    <mergeCell ref="L239:N239"/>
    <mergeCell ref="A239:A240"/>
    <mergeCell ref="W266:X266"/>
    <mergeCell ref="W267:X267"/>
    <mergeCell ref="H239:K239"/>
    <mergeCell ref="B107:E107"/>
    <mergeCell ref="A169:D169"/>
    <mergeCell ref="A171:S171"/>
    <mergeCell ref="A172:S172"/>
    <mergeCell ref="P107:S107"/>
    <mergeCell ref="F107:J107"/>
    <mergeCell ref="B140:E140"/>
    <mergeCell ref="A236:S236"/>
    <mergeCell ref="A206:A207"/>
    <mergeCell ref="W207:X207"/>
    <mergeCell ref="W208:X208"/>
    <mergeCell ref="W209:X209"/>
    <mergeCell ref="W210:X210"/>
    <mergeCell ref="A235:F235"/>
    <mergeCell ref="B173:G173"/>
    <mergeCell ref="H173:S173"/>
    <mergeCell ref="B206:F206"/>
    <mergeCell ref="K107:O107"/>
    <mergeCell ref="N206:O206"/>
    <mergeCell ref="P206:Q206"/>
    <mergeCell ref="F140:I140"/>
    <mergeCell ref="J140:N140"/>
    <mergeCell ref="A136:D136"/>
    <mergeCell ref="A202:F202"/>
    <mergeCell ref="A173:A174"/>
    <mergeCell ref="G206:M206"/>
    <mergeCell ref="O140:T140"/>
  </mergeCells>
  <phoneticPr fontId="11" type="noConversion"/>
  <printOptions horizontalCentered="1"/>
  <pageMargins left="0.23622047244094491" right="0.23622047244094491" top="0.78740157480314965" bottom="1.3385826771653544" header="0.31496062992125984" footer="0.31496062992125984"/>
  <pageSetup paperSize="9" scale="58" orientation="landscape" r:id="rId1"/>
  <rowBreaks count="7" manualBreakCount="7">
    <brk id="38" max="19" man="1"/>
    <brk id="71" max="19" man="1"/>
    <brk id="104" max="16383" man="1"/>
    <brk id="137" max="16383" man="1"/>
    <brk id="170" max="19" man="1"/>
    <brk id="203" max="16383" man="1"/>
    <brk id="236" max="19" man="1"/>
  </rowBreaks>
  <ignoredErrors>
    <ignoredError sqref="A174 A173:B173" unlockedFormula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00B0F0"/>
    <pageSetUpPr fitToPage="1"/>
  </sheetPr>
  <dimension ref="A1:AH165"/>
  <sheetViews>
    <sheetView view="pageBreakPreview" zoomScaleNormal="100" zoomScaleSheetLayoutView="100" workbookViewId="0">
      <selection activeCell="U163" sqref="U163"/>
    </sheetView>
  </sheetViews>
  <sheetFormatPr defaultColWidth="9.140625" defaultRowHeight="12" x14ac:dyDescent="0.2"/>
  <cols>
    <col min="1" max="1" width="4.7109375" style="70" customWidth="1"/>
    <col min="2" max="2" width="33" style="71" customWidth="1"/>
    <col min="3" max="3" width="12.140625" style="71" customWidth="1"/>
    <col min="4" max="4" width="13" style="71" customWidth="1"/>
    <col min="5" max="5" width="12.85546875" style="86" customWidth="1"/>
    <col min="6" max="6" width="13" style="71" customWidth="1"/>
    <col min="7" max="7" width="12" style="86" customWidth="1"/>
    <col min="8" max="8" width="10.85546875" style="86" customWidth="1"/>
    <col min="9" max="9" width="9.42578125" style="86" customWidth="1"/>
    <col min="10" max="10" width="11.28515625" style="86" customWidth="1"/>
    <col min="11" max="11" width="10.28515625" style="86" customWidth="1"/>
    <col min="12" max="12" width="11.140625" style="86" customWidth="1"/>
    <col min="13" max="13" width="8.85546875" style="86" customWidth="1"/>
    <col min="14" max="14" width="9.7109375" style="86" customWidth="1"/>
    <col min="15" max="15" width="8.5703125" style="86" customWidth="1"/>
    <col min="16" max="16" width="10.28515625" style="86" customWidth="1"/>
    <col min="17" max="17" width="11.85546875" style="86" customWidth="1"/>
    <col min="18" max="18" width="10.5703125" style="86" customWidth="1"/>
    <col min="19" max="19" width="10.7109375" style="86" customWidth="1"/>
    <col min="20" max="20" width="10.42578125" style="86" customWidth="1"/>
    <col min="21" max="21" width="9.140625" style="71"/>
    <col min="22" max="22" width="11" style="71" bestFit="1" customWidth="1"/>
    <col min="23" max="29" width="9.140625" style="71"/>
    <col min="30" max="30" width="10.28515625" style="71" customWidth="1"/>
    <col min="31" max="16384" width="9.140625" style="71"/>
  </cols>
  <sheetData>
    <row r="1" spans="1:34" ht="15" customHeight="1" thickBot="1" x14ac:dyDescent="0.25">
      <c r="A1" s="379" t="s">
        <v>522</v>
      </c>
      <c r="B1" s="380"/>
      <c r="C1" s="381"/>
      <c r="D1" s="381"/>
      <c r="E1" s="381"/>
      <c r="F1" s="381"/>
      <c r="G1" s="381"/>
      <c r="H1" s="381"/>
      <c r="I1" s="381"/>
      <c r="J1" s="381"/>
      <c r="K1" s="381"/>
      <c r="L1" s="381"/>
      <c r="M1" s="381"/>
      <c r="N1" s="381"/>
      <c r="O1" s="381"/>
      <c r="P1" s="381"/>
      <c r="Q1" s="381"/>
      <c r="R1" s="381"/>
      <c r="S1" s="381"/>
      <c r="T1" s="382"/>
    </row>
    <row r="2" spans="1:34" ht="15" customHeight="1" thickBot="1" x14ac:dyDescent="0.25">
      <c r="A2" s="383" t="s">
        <v>523</v>
      </c>
      <c r="B2" s="384"/>
      <c r="C2" s="385"/>
      <c r="D2" s="385"/>
      <c r="E2" s="385"/>
      <c r="F2" s="385"/>
      <c r="G2" s="385"/>
      <c r="H2" s="385"/>
      <c r="I2" s="385"/>
      <c r="J2" s="385"/>
      <c r="K2" s="385"/>
      <c r="L2" s="385"/>
      <c r="M2" s="385"/>
      <c r="N2" s="385"/>
      <c r="O2" s="385"/>
      <c r="P2" s="385"/>
      <c r="Q2" s="385"/>
      <c r="R2" s="385"/>
      <c r="S2" s="385"/>
      <c r="T2" s="386"/>
      <c r="V2" s="537" t="s">
        <v>36</v>
      </c>
      <c r="W2" s="538"/>
      <c r="X2" s="538"/>
      <c r="Y2" s="538"/>
      <c r="Z2" s="538"/>
      <c r="AA2" s="538"/>
      <c r="AB2" s="538"/>
      <c r="AC2" s="538"/>
      <c r="AD2" s="538"/>
      <c r="AE2" s="538"/>
      <c r="AF2" s="538"/>
      <c r="AG2" s="538"/>
      <c r="AH2" s="539"/>
    </row>
    <row r="3" spans="1:34" ht="15" customHeight="1" x14ac:dyDescent="0.2">
      <c r="A3" s="383" t="s">
        <v>521</v>
      </c>
      <c r="B3" s="384"/>
      <c r="C3" s="385"/>
      <c r="D3" s="385"/>
      <c r="E3" s="385"/>
      <c r="F3" s="385"/>
      <c r="G3" s="385"/>
      <c r="H3" s="385"/>
      <c r="I3" s="385"/>
      <c r="J3" s="385"/>
      <c r="K3" s="385"/>
      <c r="L3" s="385"/>
      <c r="M3" s="385"/>
      <c r="N3" s="385"/>
      <c r="O3" s="385"/>
      <c r="P3" s="385"/>
      <c r="Q3" s="385"/>
      <c r="R3" s="385"/>
      <c r="S3" s="385"/>
      <c r="T3" s="386"/>
      <c r="V3" s="72" t="s">
        <v>8</v>
      </c>
      <c r="W3" s="73" t="s">
        <v>9</v>
      </c>
      <c r="X3" s="74" t="s">
        <v>10</v>
      </c>
      <c r="Y3" s="75" t="s">
        <v>11</v>
      </c>
      <c r="Z3" s="74" t="s">
        <v>12</v>
      </c>
      <c r="AA3" s="73" t="s">
        <v>13</v>
      </c>
      <c r="AB3" s="76" t="s">
        <v>37</v>
      </c>
      <c r="AC3" s="74" t="s">
        <v>38</v>
      </c>
      <c r="AD3" s="74" t="s">
        <v>41</v>
      </c>
      <c r="AE3" s="74" t="s">
        <v>40</v>
      </c>
      <c r="AF3" s="74" t="s">
        <v>15</v>
      </c>
      <c r="AG3" s="369" t="s">
        <v>16</v>
      </c>
      <c r="AH3" s="370" t="s">
        <v>215</v>
      </c>
    </row>
    <row r="4" spans="1:34" ht="15" customHeight="1" thickBot="1" x14ac:dyDescent="0.25">
      <c r="A4" s="383" t="s">
        <v>520</v>
      </c>
      <c r="B4" s="384"/>
      <c r="C4" s="385"/>
      <c r="D4" s="385"/>
      <c r="E4" s="385"/>
      <c r="F4" s="385"/>
      <c r="G4" s="385"/>
      <c r="H4" s="385"/>
      <c r="I4" s="385"/>
      <c r="J4" s="385"/>
      <c r="K4" s="385"/>
      <c r="L4" s="385"/>
      <c r="M4" s="385"/>
      <c r="N4" s="385"/>
      <c r="O4" s="385"/>
      <c r="P4" s="385"/>
      <c r="Q4" s="385"/>
      <c r="R4" s="385"/>
      <c r="S4" s="385"/>
      <c r="T4" s="386"/>
      <c r="V4" s="314">
        <f>0.16*0.07</f>
        <v>1.1200000000000002E-2</v>
      </c>
      <c r="W4" s="315">
        <f>0.06*0.3</f>
        <v>1.7999999999999999E-2</v>
      </c>
      <c r="X4" s="315">
        <f>0.15*0.15</f>
        <v>2.2499999999999999E-2</v>
      </c>
      <c r="Y4" s="315">
        <f>0.25*0.3</f>
        <v>7.4999999999999997E-2</v>
      </c>
      <c r="Z4" s="315">
        <f>0.25*0.3</f>
        <v>7.4999999999999997E-2</v>
      </c>
      <c r="AA4" s="316"/>
      <c r="AB4" s="315">
        <f>0.25*0.3</f>
        <v>7.4999999999999997E-2</v>
      </c>
      <c r="AC4" s="315">
        <f>0.25*0.25</f>
        <v>6.25E-2</v>
      </c>
      <c r="AD4" s="315">
        <f>AC4</f>
        <v>6.25E-2</v>
      </c>
      <c r="AE4" s="315">
        <f>0.25*0.2</f>
        <v>0.05</v>
      </c>
      <c r="AF4" s="315">
        <f>0.15*0.2</f>
        <v>0.03</v>
      </c>
      <c r="AG4" s="371">
        <f>0.25*0.3</f>
        <v>7.4999999999999997E-2</v>
      </c>
      <c r="AH4" s="317">
        <f>2*((0.1*0.1*1)+(0.2*0.2*1)+(0.1*0.1*0.6*0.67))</f>
        <v>0.10804000000000002</v>
      </c>
    </row>
    <row r="5" spans="1:34" ht="15" customHeight="1" x14ac:dyDescent="0.2">
      <c r="A5" s="387"/>
      <c r="B5" s="385"/>
      <c r="C5" s="385"/>
      <c r="D5" s="385"/>
      <c r="E5" s="385"/>
      <c r="F5" s="385"/>
      <c r="G5" s="385"/>
      <c r="H5" s="385"/>
      <c r="I5" s="385"/>
      <c r="J5" s="385"/>
      <c r="K5" s="385"/>
      <c r="L5" s="385"/>
      <c r="M5" s="385"/>
      <c r="N5" s="385"/>
      <c r="O5" s="385"/>
      <c r="P5" s="385"/>
      <c r="Q5" s="385"/>
      <c r="R5" s="385"/>
      <c r="S5" s="385"/>
      <c r="T5" s="386"/>
      <c r="AA5" s="250"/>
    </row>
    <row r="6" spans="1:34" ht="12.95" customHeight="1" x14ac:dyDescent="0.2">
      <c r="A6" s="543" t="str">
        <f>'2 - Serviços'!A7:S7</f>
        <v>MANUTENÇÃO E CONSERVAÇÃO DAS PONTES DE MADEIRA</v>
      </c>
      <c r="B6" s="544"/>
      <c r="C6" s="544"/>
      <c r="D6" s="544"/>
      <c r="E6" s="544"/>
      <c r="F6" s="544"/>
      <c r="G6" s="544"/>
      <c r="H6" s="544"/>
      <c r="I6" s="544"/>
      <c r="J6" s="544"/>
      <c r="K6" s="544"/>
      <c r="L6" s="544"/>
      <c r="M6" s="544"/>
      <c r="N6" s="544"/>
      <c r="O6" s="544"/>
      <c r="P6" s="544"/>
      <c r="Q6" s="544"/>
      <c r="R6" s="544"/>
      <c r="S6" s="544"/>
      <c r="T6" s="545"/>
    </row>
    <row r="7" spans="1:34" ht="12.95" customHeight="1" x14ac:dyDescent="0.2">
      <c r="A7" s="540" t="s">
        <v>413</v>
      </c>
      <c r="B7" s="541"/>
      <c r="C7" s="541"/>
      <c r="D7" s="541"/>
      <c r="E7" s="541"/>
      <c r="F7" s="541"/>
      <c r="G7" s="541"/>
      <c r="H7" s="541"/>
      <c r="I7" s="541"/>
      <c r="J7" s="541"/>
      <c r="K7" s="541"/>
      <c r="L7" s="541"/>
      <c r="M7" s="541"/>
      <c r="N7" s="541"/>
      <c r="O7" s="541"/>
      <c r="P7" s="541"/>
      <c r="Q7" s="541"/>
      <c r="R7" s="541"/>
      <c r="S7" s="541"/>
      <c r="T7" s="542"/>
    </row>
    <row r="8" spans="1:34" ht="12.95" customHeight="1" x14ac:dyDescent="0.2">
      <c r="A8" s="524" t="s">
        <v>0</v>
      </c>
      <c r="B8" s="541" t="s">
        <v>1</v>
      </c>
      <c r="C8" s="541"/>
      <c r="D8" s="541"/>
      <c r="E8" s="541"/>
      <c r="F8" s="541"/>
      <c r="G8" s="541"/>
      <c r="H8" s="546" t="s">
        <v>237</v>
      </c>
      <c r="I8" s="546"/>
      <c r="J8" s="546"/>
      <c r="K8" s="546"/>
      <c r="L8" s="546"/>
      <c r="M8" s="546"/>
      <c r="N8" s="546"/>
      <c r="O8" s="546"/>
      <c r="P8" s="546"/>
      <c r="Q8" s="546"/>
      <c r="R8" s="546"/>
      <c r="S8" s="546"/>
      <c r="T8" s="547"/>
    </row>
    <row r="9" spans="1:34" ht="24.95" customHeight="1" x14ac:dyDescent="0.2">
      <c r="A9" s="524"/>
      <c r="B9" s="318" t="s">
        <v>504</v>
      </c>
      <c r="C9" s="318" t="str">
        <f>'2 - Serviços'!$C$9</f>
        <v>Latitude</v>
      </c>
      <c r="D9" s="319" t="str">
        <f>'2 - Serviços'!$D$9</f>
        <v>Longitude</v>
      </c>
      <c r="E9" s="320" t="str">
        <f>'2 - Serviços'!$E$9</f>
        <v>Vigamento</v>
      </c>
      <c r="F9" s="319" t="str">
        <f>'2 - Serviços'!$F$9</f>
        <v>Largura (m)</v>
      </c>
      <c r="G9" s="320" t="str">
        <f>'2 - Serviços'!$G$9</f>
        <v>Extensão (m)</v>
      </c>
      <c r="H9" s="296" t="s">
        <v>8</v>
      </c>
      <c r="I9" s="312" t="s">
        <v>9</v>
      </c>
      <c r="J9" s="296" t="s">
        <v>18</v>
      </c>
      <c r="K9" s="296" t="s">
        <v>72</v>
      </c>
      <c r="L9" s="296" t="s">
        <v>58</v>
      </c>
      <c r="M9" s="296" t="s">
        <v>417</v>
      </c>
      <c r="N9" s="312" t="s">
        <v>407</v>
      </c>
      <c r="O9" s="312" t="s">
        <v>37</v>
      </c>
      <c r="P9" s="296" t="s">
        <v>38</v>
      </c>
      <c r="Q9" s="296" t="s">
        <v>39</v>
      </c>
      <c r="R9" s="296" t="s">
        <v>243</v>
      </c>
      <c r="S9" s="296" t="s">
        <v>15</v>
      </c>
      <c r="T9" s="326" t="s">
        <v>401</v>
      </c>
    </row>
    <row r="10" spans="1:34" ht="12.95" customHeight="1" x14ac:dyDescent="0.2">
      <c r="A10" s="324">
        <f>'2 - Serviços'!A10</f>
        <v>1</v>
      </c>
      <c r="B10" s="133" t="str">
        <f>'2 - Serviços'!B10</f>
        <v>CÓRREGO DO CHINELO</v>
      </c>
      <c r="C10" s="133" t="str">
        <f>'2 - Serviços'!C10</f>
        <v>21°53'30.35''S</v>
      </c>
      <c r="D10" s="133" t="str">
        <f>'2 - Serviços'!D10</f>
        <v>54°35'16.91''W</v>
      </c>
      <c r="E10" s="123" t="str">
        <f>'2 - Serviços'!E10</f>
        <v>Simples</v>
      </c>
      <c r="F10" s="133">
        <f>'2 - Serviços'!F10</f>
        <v>5</v>
      </c>
      <c r="G10" s="133">
        <f>'2 - Serviços'!G10</f>
        <v>13</v>
      </c>
      <c r="H10" s="134">
        <v>0</v>
      </c>
      <c r="I10" s="134">
        <v>0</v>
      </c>
      <c r="J10" s="134">
        <v>0</v>
      </c>
      <c r="K10" s="134">
        <v>0</v>
      </c>
      <c r="L10" s="134">
        <v>0</v>
      </c>
      <c r="M10" s="134">
        <v>0</v>
      </c>
      <c r="N10" s="134">
        <v>0</v>
      </c>
      <c r="O10" s="134">
        <v>0</v>
      </c>
      <c r="P10" s="134">
        <v>0</v>
      </c>
      <c r="Q10" s="134">
        <v>0</v>
      </c>
      <c r="R10" s="134">
        <v>0</v>
      </c>
      <c r="S10" s="134">
        <v>0</v>
      </c>
      <c r="T10" s="327">
        <v>0</v>
      </c>
    </row>
    <row r="11" spans="1:34" ht="12.95" customHeight="1" x14ac:dyDescent="0.2">
      <c r="A11" s="324">
        <f>'2 - Serviços'!A11</f>
        <v>2</v>
      </c>
      <c r="B11" s="133" t="str">
        <f>'2 - Serviços'!B11</f>
        <v>CÓRREGO AREIAS</v>
      </c>
      <c r="C11" s="133" t="str">
        <f>'2 - Serviços'!C11</f>
        <v>21°48'55.89''S</v>
      </c>
      <c r="D11" s="133" t="str">
        <f>'2 - Serviços'!D11</f>
        <v>54°32'36.89''W</v>
      </c>
      <c r="E11" s="123" t="str">
        <f>'2 - Serviços'!E11</f>
        <v>Simples</v>
      </c>
      <c r="F11" s="133">
        <f>'2 - Serviços'!F11</f>
        <v>4.4000000000000004</v>
      </c>
      <c r="G11" s="133">
        <f>'2 - Serviços'!G11</f>
        <v>6</v>
      </c>
      <c r="H11" s="134">
        <v>0</v>
      </c>
      <c r="I11" s="134">
        <v>0</v>
      </c>
      <c r="J11" s="134">
        <v>0</v>
      </c>
      <c r="K11" s="134">
        <v>0</v>
      </c>
      <c r="L11" s="134">
        <v>0</v>
      </c>
      <c r="M11" s="134">
        <v>0</v>
      </c>
      <c r="N11" s="134">
        <v>0</v>
      </c>
      <c r="O11" s="134">
        <v>0</v>
      </c>
      <c r="P11" s="134">
        <v>0</v>
      </c>
      <c r="Q11" s="134">
        <v>0</v>
      </c>
      <c r="R11" s="134">
        <v>0</v>
      </c>
      <c r="S11" s="134">
        <v>0</v>
      </c>
      <c r="T11" s="327">
        <v>0</v>
      </c>
    </row>
    <row r="12" spans="1:34" ht="12.95" customHeight="1" x14ac:dyDescent="0.2">
      <c r="A12" s="324">
        <f>'2 - Serviços'!A12</f>
        <v>3</v>
      </c>
      <c r="B12" s="133" t="str">
        <f>'2 - Serviços'!B12</f>
        <v>CÓRREGO ARARAS</v>
      </c>
      <c r="C12" s="133" t="str">
        <f>'2 - Serviços'!C12</f>
        <v>21°47'42.63''S</v>
      </c>
      <c r="D12" s="133" t="str">
        <f>'2 - Serviços'!D12</f>
        <v>54°31'56.42''W</v>
      </c>
      <c r="E12" s="123" t="str">
        <f>'2 - Serviços'!E12</f>
        <v>Simples</v>
      </c>
      <c r="F12" s="133">
        <f>'2 - Serviços'!F12</f>
        <v>4.8</v>
      </c>
      <c r="G12" s="133">
        <f>'2 - Serviços'!G12</f>
        <v>12</v>
      </c>
      <c r="H12" s="134">
        <v>0</v>
      </c>
      <c r="I12" s="134">
        <v>0</v>
      </c>
      <c r="J12" s="134">
        <v>0</v>
      </c>
      <c r="K12" s="134">
        <v>0</v>
      </c>
      <c r="L12" s="134">
        <v>0</v>
      </c>
      <c r="M12" s="134">
        <v>0</v>
      </c>
      <c r="N12" s="134">
        <v>0</v>
      </c>
      <c r="O12" s="134">
        <v>0</v>
      </c>
      <c r="P12" s="134">
        <v>0</v>
      </c>
      <c r="Q12" s="134">
        <v>0</v>
      </c>
      <c r="R12" s="134">
        <v>0</v>
      </c>
      <c r="S12" s="134">
        <v>0</v>
      </c>
      <c r="T12" s="327">
        <v>0</v>
      </c>
    </row>
    <row r="13" spans="1:34" ht="12.95" customHeight="1" x14ac:dyDescent="0.2">
      <c r="A13" s="324">
        <f>'2 - Serviços'!A13</f>
        <v>4</v>
      </c>
      <c r="B13" s="133" t="str">
        <f>'2 - Serviços'!B13</f>
        <v>CÓRREGO FORMIGA</v>
      </c>
      <c r="C13" s="133" t="str">
        <f>'2 - Serviços'!C13</f>
        <v>21°39'27.48''S</v>
      </c>
      <c r="D13" s="133" t="str">
        <f>'2 - Serviços'!D13</f>
        <v>54°25'31.76''W</v>
      </c>
      <c r="E13" s="123" t="str">
        <f>'2 - Serviços'!E13</f>
        <v>Simples</v>
      </c>
      <c r="F13" s="133">
        <f>'2 - Serviços'!F13</f>
        <v>4.4000000000000004</v>
      </c>
      <c r="G13" s="133">
        <f>'2 - Serviços'!G13</f>
        <v>13.2</v>
      </c>
      <c r="H13" s="134">
        <v>0</v>
      </c>
      <c r="I13" s="134">
        <v>0</v>
      </c>
      <c r="J13" s="134">
        <v>0</v>
      </c>
      <c r="K13" s="134">
        <v>0</v>
      </c>
      <c r="L13" s="134">
        <v>0</v>
      </c>
      <c r="M13" s="134">
        <v>0</v>
      </c>
      <c r="N13" s="134">
        <v>0</v>
      </c>
      <c r="O13" s="134">
        <v>0</v>
      </c>
      <c r="P13" s="134">
        <v>0</v>
      </c>
      <c r="Q13" s="134">
        <v>0</v>
      </c>
      <c r="R13" s="134">
        <v>0</v>
      </c>
      <c r="S13" s="134">
        <v>0</v>
      </c>
      <c r="T13" s="327">
        <v>0</v>
      </c>
    </row>
    <row r="14" spans="1:34" ht="12.95" customHeight="1" x14ac:dyDescent="0.2">
      <c r="A14" s="324">
        <f>'2 - Serviços'!A14</f>
        <v>5</v>
      </c>
      <c r="B14" s="133" t="str">
        <f>'2 - Serviços'!B14</f>
        <v>CÓRREGO ANTINHA</v>
      </c>
      <c r="C14" s="133" t="str">
        <f>'2 - Serviços'!C14</f>
        <v>21°38'42.22''S</v>
      </c>
      <c r="D14" s="133" t="str">
        <f>'2 - Serviços'!D14</f>
        <v>54°27'12.82''W</v>
      </c>
      <c r="E14" s="123" t="str">
        <f>'2 - Serviços'!E14</f>
        <v>Simples</v>
      </c>
      <c r="F14" s="133">
        <f>'2 - Serviços'!F14</f>
        <v>4.4000000000000004</v>
      </c>
      <c r="G14" s="133">
        <f>'2 - Serviços'!G14</f>
        <v>7.2</v>
      </c>
      <c r="H14" s="134">
        <v>0</v>
      </c>
      <c r="I14" s="134">
        <v>0</v>
      </c>
      <c r="J14" s="134">
        <v>0</v>
      </c>
      <c r="K14" s="134">
        <v>0</v>
      </c>
      <c r="L14" s="134">
        <v>0</v>
      </c>
      <c r="M14" s="134">
        <v>0</v>
      </c>
      <c r="N14" s="134">
        <v>0</v>
      </c>
      <c r="O14" s="134">
        <v>0</v>
      </c>
      <c r="P14" s="134">
        <v>0</v>
      </c>
      <c r="Q14" s="134">
        <v>0</v>
      </c>
      <c r="R14" s="134">
        <v>0</v>
      </c>
      <c r="S14" s="134">
        <v>0</v>
      </c>
      <c r="T14" s="327">
        <v>0</v>
      </c>
    </row>
    <row r="15" spans="1:34" ht="12.95" customHeight="1" x14ac:dyDescent="0.2">
      <c r="A15" s="324">
        <f>'2 - Serviços'!A15</f>
        <v>6</v>
      </c>
      <c r="B15" s="133" t="str">
        <f>'2 - Serviços'!B15</f>
        <v>CÓRREGO FORMIGA</v>
      </c>
      <c r="C15" s="133" t="str">
        <f>'2 - Serviços'!C15</f>
        <v>21°38'56.23''S</v>
      </c>
      <c r="D15" s="133" t="str">
        <f>'2 - Serviços'!D15</f>
        <v>54°25'01.82''W</v>
      </c>
      <c r="E15" s="123" t="str">
        <f>'2 - Serviços'!E15</f>
        <v>Simples</v>
      </c>
      <c r="F15" s="133">
        <f>'2 - Serviços'!F15</f>
        <v>4.4000000000000004</v>
      </c>
      <c r="G15" s="133">
        <f>'2 - Serviços'!G15</f>
        <v>12</v>
      </c>
      <c r="H15" s="134">
        <v>0</v>
      </c>
      <c r="I15" s="134">
        <v>0</v>
      </c>
      <c r="J15" s="134">
        <v>0</v>
      </c>
      <c r="K15" s="134">
        <v>0</v>
      </c>
      <c r="L15" s="134">
        <v>0</v>
      </c>
      <c r="M15" s="134">
        <v>0</v>
      </c>
      <c r="N15" s="134">
        <v>0</v>
      </c>
      <c r="O15" s="134">
        <v>0</v>
      </c>
      <c r="P15" s="134">
        <v>0</v>
      </c>
      <c r="Q15" s="134">
        <v>0</v>
      </c>
      <c r="R15" s="134">
        <v>0</v>
      </c>
      <c r="S15" s="134">
        <v>0</v>
      </c>
      <c r="T15" s="327">
        <v>0</v>
      </c>
    </row>
    <row r="16" spans="1:34" ht="12.95" customHeight="1" x14ac:dyDescent="0.2">
      <c r="A16" s="324">
        <f>'2 - Serviços'!A16</f>
        <v>7</v>
      </c>
      <c r="B16" s="133" t="str">
        <f>'2 - Serviços'!B16</f>
        <v>CÓRREGO QUILOMBO</v>
      </c>
      <c r="C16" s="133" t="str">
        <f>'2 - Serviços'!C16</f>
        <v>21°42'14.33''S</v>
      </c>
      <c r="D16" s="133" t="str">
        <f>'2 - Serviços'!D16</f>
        <v>54°20'39.58''W</v>
      </c>
      <c r="E16" s="123" t="str">
        <f>'2 - Serviços'!E16</f>
        <v>Simples</v>
      </c>
      <c r="F16" s="133">
        <f>'2 - Serviços'!F16</f>
        <v>4.4000000000000004</v>
      </c>
      <c r="G16" s="133">
        <f>'2 - Serviços'!G16</f>
        <v>6.8</v>
      </c>
      <c r="H16" s="134">
        <v>0</v>
      </c>
      <c r="I16" s="134">
        <v>0</v>
      </c>
      <c r="J16" s="134">
        <v>0</v>
      </c>
      <c r="K16" s="134">
        <v>0</v>
      </c>
      <c r="L16" s="134">
        <v>0</v>
      </c>
      <c r="M16" s="134">
        <v>0</v>
      </c>
      <c r="N16" s="134">
        <v>0</v>
      </c>
      <c r="O16" s="134">
        <v>0</v>
      </c>
      <c r="P16" s="134">
        <v>0</v>
      </c>
      <c r="Q16" s="134">
        <v>0</v>
      </c>
      <c r="R16" s="134">
        <v>0</v>
      </c>
      <c r="S16" s="134">
        <v>0</v>
      </c>
      <c r="T16" s="327">
        <v>0</v>
      </c>
    </row>
    <row r="17" spans="1:20" ht="12.95" customHeight="1" x14ac:dyDescent="0.2">
      <c r="A17" s="324">
        <f>'2 - Serviços'!A17</f>
        <v>8</v>
      </c>
      <c r="B17" s="133" t="str">
        <f>'2 - Serviços'!B17</f>
        <v>ARROIO CORREGUINHO</v>
      </c>
      <c r="C17" s="133" t="str">
        <f>'2 - Serviços'!C17</f>
        <v>21°42'39.87''S</v>
      </c>
      <c r="D17" s="133" t="str">
        <f>'2 - Serviços'!D17</f>
        <v>54°18'52.81''W</v>
      </c>
      <c r="E17" s="123" t="str">
        <f>'2 - Serviços'!E17</f>
        <v>Simples</v>
      </c>
      <c r="F17" s="133">
        <f>'2 - Serviços'!F17</f>
        <v>4.4000000000000004</v>
      </c>
      <c r="G17" s="133">
        <f>'2 - Serviços'!G17</f>
        <v>5.8</v>
      </c>
      <c r="H17" s="134">
        <v>0</v>
      </c>
      <c r="I17" s="134">
        <v>0</v>
      </c>
      <c r="J17" s="134">
        <v>0</v>
      </c>
      <c r="K17" s="134">
        <v>0</v>
      </c>
      <c r="L17" s="134">
        <v>0</v>
      </c>
      <c r="M17" s="134">
        <v>0</v>
      </c>
      <c r="N17" s="134">
        <v>0</v>
      </c>
      <c r="O17" s="134">
        <v>0</v>
      </c>
      <c r="P17" s="134">
        <v>0</v>
      </c>
      <c r="Q17" s="134">
        <v>0</v>
      </c>
      <c r="R17" s="134">
        <v>0</v>
      </c>
      <c r="S17" s="134">
        <v>0</v>
      </c>
      <c r="T17" s="327">
        <v>0</v>
      </c>
    </row>
    <row r="18" spans="1:20" ht="12.95" customHeight="1" x14ac:dyDescent="0.2">
      <c r="A18" s="324">
        <f>'2 - Serviços'!A18</f>
        <v>9</v>
      </c>
      <c r="B18" s="133" t="str">
        <f>'2 - Serviços'!B18</f>
        <v>CÓRREGO GUATAMBU</v>
      </c>
      <c r="C18" s="133" t="str">
        <f>'2 - Serviços'!C18</f>
        <v>21°43'17.70"S</v>
      </c>
      <c r="D18" s="133" t="str">
        <f>'2 - Serviços'!D18</f>
        <v>54°16'36.10"W</v>
      </c>
      <c r="E18" s="123" t="str">
        <f>'2 - Serviços'!E18</f>
        <v>Simples</v>
      </c>
      <c r="F18" s="133">
        <f>'2 - Serviços'!F18</f>
        <v>4.4000000000000004</v>
      </c>
      <c r="G18" s="133">
        <f>'2 - Serviços'!G18</f>
        <v>10.6</v>
      </c>
      <c r="H18" s="134">
        <v>0</v>
      </c>
      <c r="I18" s="134">
        <v>0</v>
      </c>
      <c r="J18" s="134">
        <v>0</v>
      </c>
      <c r="K18" s="134">
        <v>0</v>
      </c>
      <c r="L18" s="134">
        <v>0</v>
      </c>
      <c r="M18" s="134">
        <v>0</v>
      </c>
      <c r="N18" s="134">
        <v>0</v>
      </c>
      <c r="O18" s="134">
        <v>0</v>
      </c>
      <c r="P18" s="134">
        <v>0</v>
      </c>
      <c r="Q18" s="134">
        <v>0</v>
      </c>
      <c r="R18" s="134">
        <v>0</v>
      </c>
      <c r="S18" s="134">
        <v>0</v>
      </c>
      <c r="T18" s="327">
        <v>0</v>
      </c>
    </row>
    <row r="19" spans="1:20" ht="12.95" customHeight="1" x14ac:dyDescent="0.2">
      <c r="A19" s="324">
        <f>'2 - Serviços'!A19</f>
        <v>10</v>
      </c>
      <c r="B19" s="133" t="str">
        <f>'2 - Serviços'!B19</f>
        <v>CÓRREGO QUILOMBO</v>
      </c>
      <c r="C19" s="133" t="str">
        <f>'2 - Serviços'!C19</f>
        <v>21°42'51.11''S</v>
      </c>
      <c r="D19" s="133" t="str">
        <f>'2 - Serviços'!D19</f>
        <v>54°16'52.81''W</v>
      </c>
      <c r="E19" s="123" t="str">
        <f>'2 - Serviços'!E19</f>
        <v>Simples</v>
      </c>
      <c r="F19" s="133">
        <f>'2 - Serviços'!F19</f>
        <v>4.4000000000000004</v>
      </c>
      <c r="G19" s="133">
        <f>'2 - Serviços'!G19</f>
        <v>5.8</v>
      </c>
      <c r="H19" s="134">
        <v>0</v>
      </c>
      <c r="I19" s="134">
        <v>0</v>
      </c>
      <c r="J19" s="134">
        <v>0</v>
      </c>
      <c r="K19" s="134">
        <v>0</v>
      </c>
      <c r="L19" s="134">
        <v>0</v>
      </c>
      <c r="M19" s="134">
        <v>0</v>
      </c>
      <c r="N19" s="134">
        <v>0</v>
      </c>
      <c r="O19" s="134">
        <v>0</v>
      </c>
      <c r="P19" s="134">
        <v>0</v>
      </c>
      <c r="Q19" s="134">
        <v>0</v>
      </c>
      <c r="R19" s="134">
        <v>0</v>
      </c>
      <c r="S19" s="134">
        <v>0</v>
      </c>
      <c r="T19" s="327">
        <v>0</v>
      </c>
    </row>
    <row r="20" spans="1:20" ht="12.95" customHeight="1" x14ac:dyDescent="0.2">
      <c r="A20" s="324">
        <f>'2 - Serviços'!A20</f>
        <v>11</v>
      </c>
      <c r="B20" s="133" t="str">
        <f>'2 - Serviços'!B20</f>
        <v>CÓRREGO SAPÉ</v>
      </c>
      <c r="C20" s="133" t="str">
        <f>'2 - Serviços'!C20</f>
        <v>21°44'57.50"S</v>
      </c>
      <c r="D20" s="133" t="str">
        <f>'2 - Serviços'!D20</f>
        <v>54°18'00.40"W</v>
      </c>
      <c r="E20" s="123" t="str">
        <f>'2 - Serviços'!E20</f>
        <v>Simples</v>
      </c>
      <c r="F20" s="133">
        <f>'2 - Serviços'!F20</f>
        <v>4.4000000000000004</v>
      </c>
      <c r="G20" s="133">
        <f>'2 - Serviços'!G20</f>
        <v>10.8</v>
      </c>
      <c r="H20" s="134">
        <v>0</v>
      </c>
      <c r="I20" s="134">
        <v>0</v>
      </c>
      <c r="J20" s="134">
        <v>0</v>
      </c>
      <c r="K20" s="134">
        <v>0</v>
      </c>
      <c r="L20" s="134">
        <v>0</v>
      </c>
      <c r="M20" s="134">
        <v>0</v>
      </c>
      <c r="N20" s="134">
        <v>0</v>
      </c>
      <c r="O20" s="134">
        <v>0</v>
      </c>
      <c r="P20" s="134">
        <v>0</v>
      </c>
      <c r="Q20" s="134">
        <v>0</v>
      </c>
      <c r="R20" s="134">
        <v>0</v>
      </c>
      <c r="S20" s="134">
        <v>0</v>
      </c>
      <c r="T20" s="327">
        <v>0</v>
      </c>
    </row>
    <row r="21" spans="1:20" ht="12.95" customHeight="1" x14ac:dyDescent="0.2">
      <c r="A21" s="324">
        <f>'2 - Serviços'!A21</f>
        <v>12</v>
      </c>
      <c r="B21" s="133" t="str">
        <f>'2 - Serviços'!B21</f>
        <v>CÓRREGO JUREMA</v>
      </c>
      <c r="C21" s="133" t="str">
        <f>'2 - Serviços'!C21</f>
        <v>21°47'02.84''S</v>
      </c>
      <c r="D21" s="133" t="str">
        <f>'2 - Serviços'!D21</f>
        <v>54°14'35.61''W</v>
      </c>
      <c r="E21" s="123" t="str">
        <f>'2 - Serviços'!E21</f>
        <v>Simples</v>
      </c>
      <c r="F21" s="133">
        <f>'2 - Serviços'!F21</f>
        <v>4.4000000000000004</v>
      </c>
      <c r="G21" s="133">
        <f>'2 - Serviços'!G21</f>
        <v>7.1</v>
      </c>
      <c r="H21" s="134">
        <v>0</v>
      </c>
      <c r="I21" s="134">
        <v>0</v>
      </c>
      <c r="J21" s="134">
        <v>0</v>
      </c>
      <c r="K21" s="134">
        <v>0</v>
      </c>
      <c r="L21" s="134">
        <v>0</v>
      </c>
      <c r="M21" s="134">
        <v>0</v>
      </c>
      <c r="N21" s="134">
        <v>0</v>
      </c>
      <c r="O21" s="134">
        <v>0</v>
      </c>
      <c r="P21" s="134">
        <v>0</v>
      </c>
      <c r="Q21" s="134">
        <v>0</v>
      </c>
      <c r="R21" s="134">
        <v>0</v>
      </c>
      <c r="S21" s="134">
        <v>0</v>
      </c>
      <c r="T21" s="327">
        <v>0</v>
      </c>
    </row>
    <row r="22" spans="1:20" ht="12.95" customHeight="1" x14ac:dyDescent="0.2">
      <c r="A22" s="324">
        <f>'2 - Serviços'!A22</f>
        <v>13</v>
      </c>
      <c r="B22" s="133" t="str">
        <f>'2 - Serviços'!B22</f>
        <v>CÓRREGO ARACI</v>
      </c>
      <c r="C22" s="133" t="str">
        <f>'2 - Serviços'!C22</f>
        <v>21°45'04.33''S</v>
      </c>
      <c r="D22" s="133" t="str">
        <f>'2 - Serviços'!D22</f>
        <v>54°12'41.25''W</v>
      </c>
      <c r="E22" s="123" t="str">
        <f>'2 - Serviços'!E22</f>
        <v>Simples</v>
      </c>
      <c r="F22" s="133">
        <f>'2 - Serviços'!F22</f>
        <v>4.4000000000000004</v>
      </c>
      <c r="G22" s="133">
        <f>'2 - Serviços'!G22</f>
        <v>6.4</v>
      </c>
      <c r="H22" s="134">
        <v>0</v>
      </c>
      <c r="I22" s="134">
        <v>0</v>
      </c>
      <c r="J22" s="134">
        <v>0</v>
      </c>
      <c r="K22" s="134">
        <v>0</v>
      </c>
      <c r="L22" s="134">
        <v>0</v>
      </c>
      <c r="M22" s="134">
        <v>0</v>
      </c>
      <c r="N22" s="134">
        <v>0</v>
      </c>
      <c r="O22" s="134">
        <v>0</v>
      </c>
      <c r="P22" s="134">
        <v>0</v>
      </c>
      <c r="Q22" s="134">
        <v>0</v>
      </c>
      <c r="R22" s="134">
        <v>0</v>
      </c>
      <c r="S22" s="134">
        <v>0</v>
      </c>
      <c r="T22" s="327">
        <v>0</v>
      </c>
    </row>
    <row r="23" spans="1:20" ht="12.95" customHeight="1" x14ac:dyDescent="0.2">
      <c r="A23" s="324">
        <f>'2 - Serviços'!A23</f>
        <v>14</v>
      </c>
      <c r="B23" s="133" t="str">
        <f>'2 - Serviços'!B23</f>
        <v>CÓRREGO ANHUMAS</v>
      </c>
      <c r="C23" s="133" t="str">
        <f>'2 - Serviços'!C23</f>
        <v>21°51'40.49''S</v>
      </c>
      <c r="D23" s="133" t="str">
        <f>'2 - Serviços'!D23</f>
        <v>54°08'14.26''W</v>
      </c>
      <c r="E23" s="123" t="str">
        <f>'2 - Serviços'!E23</f>
        <v>Simples</v>
      </c>
      <c r="F23" s="133">
        <f>'2 - Serviços'!F23</f>
        <v>4.4000000000000004</v>
      </c>
      <c r="G23" s="133">
        <f>'2 - Serviços'!G23</f>
        <v>11.8</v>
      </c>
      <c r="H23" s="134">
        <v>0</v>
      </c>
      <c r="I23" s="134">
        <v>0</v>
      </c>
      <c r="J23" s="134">
        <v>0</v>
      </c>
      <c r="K23" s="134">
        <v>0</v>
      </c>
      <c r="L23" s="134">
        <v>0</v>
      </c>
      <c r="M23" s="134">
        <v>0</v>
      </c>
      <c r="N23" s="134">
        <v>0</v>
      </c>
      <c r="O23" s="134">
        <v>0</v>
      </c>
      <c r="P23" s="134">
        <v>0</v>
      </c>
      <c r="Q23" s="134">
        <v>0</v>
      </c>
      <c r="R23" s="134">
        <v>0</v>
      </c>
      <c r="S23" s="134">
        <v>0</v>
      </c>
      <c r="T23" s="327">
        <v>0</v>
      </c>
    </row>
    <row r="24" spans="1:20" ht="12.95" customHeight="1" x14ac:dyDescent="0.2">
      <c r="A24" s="324">
        <f>'2 - Serviços'!A24</f>
        <v>15</v>
      </c>
      <c r="B24" s="133" t="str">
        <f>'2 - Serviços'!B24</f>
        <v>CÓRREGO CHIFRE DO VIADO</v>
      </c>
      <c r="C24" s="133" t="str">
        <f>'2 - Serviços'!C24</f>
        <v>21°40'35.65''S</v>
      </c>
      <c r="D24" s="133" t="str">
        <f>'2 - Serviços'!D24</f>
        <v>54°56'15.44''W</v>
      </c>
      <c r="E24" s="123" t="str">
        <f>'2 - Serviços'!E24</f>
        <v>Simples</v>
      </c>
      <c r="F24" s="133">
        <f>'2 - Serviços'!F24</f>
        <v>5</v>
      </c>
      <c r="G24" s="133">
        <f>'2 - Serviços'!G24</f>
        <v>12</v>
      </c>
      <c r="H24" s="134">
        <v>0</v>
      </c>
      <c r="I24" s="134">
        <v>0</v>
      </c>
      <c r="J24" s="134">
        <v>0</v>
      </c>
      <c r="K24" s="134">
        <v>0</v>
      </c>
      <c r="L24" s="134">
        <v>0</v>
      </c>
      <c r="M24" s="134">
        <v>0</v>
      </c>
      <c r="N24" s="134">
        <v>0</v>
      </c>
      <c r="O24" s="134">
        <v>0</v>
      </c>
      <c r="P24" s="134">
        <v>0</v>
      </c>
      <c r="Q24" s="134">
        <v>0</v>
      </c>
      <c r="R24" s="134">
        <v>0</v>
      </c>
      <c r="S24" s="134">
        <v>0</v>
      </c>
      <c r="T24" s="327">
        <v>0</v>
      </c>
    </row>
    <row r="25" spans="1:20" ht="12.95" customHeight="1" x14ac:dyDescent="0.2">
      <c r="A25" s="324">
        <f>'2 - Serviços'!A25</f>
        <v>16</v>
      </c>
      <c r="B25" s="133" t="str">
        <f>'2 - Serviços'!B25</f>
        <v>CÓRREGO SANTA RITA</v>
      </c>
      <c r="C25" s="133" t="str">
        <f>'2 - Serviços'!C25</f>
        <v>21°33'23.75''S</v>
      </c>
      <c r="D25" s="133" t="str">
        <f>'2 - Serviços'!D25</f>
        <v>54°35'26.66''W</v>
      </c>
      <c r="E25" s="123" t="str">
        <f>'2 - Serviços'!E25</f>
        <v>Simples</v>
      </c>
      <c r="F25" s="133">
        <f>'2 - Serviços'!F25</f>
        <v>4.4000000000000004</v>
      </c>
      <c r="G25" s="133">
        <f>'2 - Serviços'!G25</f>
        <v>22.1</v>
      </c>
      <c r="H25" s="134">
        <v>0</v>
      </c>
      <c r="I25" s="134">
        <v>0</v>
      </c>
      <c r="J25" s="134">
        <v>0</v>
      </c>
      <c r="K25" s="134">
        <v>0</v>
      </c>
      <c r="L25" s="134">
        <v>0</v>
      </c>
      <c r="M25" s="134">
        <v>0</v>
      </c>
      <c r="N25" s="134">
        <v>0</v>
      </c>
      <c r="O25" s="134">
        <v>0</v>
      </c>
      <c r="P25" s="134">
        <v>0</v>
      </c>
      <c r="Q25" s="134">
        <v>0</v>
      </c>
      <c r="R25" s="134">
        <v>0</v>
      </c>
      <c r="S25" s="134">
        <v>0</v>
      </c>
      <c r="T25" s="327">
        <v>0</v>
      </c>
    </row>
    <row r="26" spans="1:20" ht="12.95" customHeight="1" x14ac:dyDescent="0.2">
      <c r="A26" s="324">
        <f>'2 - Serviços'!A26</f>
        <v>17</v>
      </c>
      <c r="B26" s="133" t="str">
        <f>'2 - Serviços'!B26</f>
        <v>RIO SERROTE</v>
      </c>
      <c r="C26" s="133" t="str">
        <f>'2 - Serviços'!C26</f>
        <v>21°25'01.14''S</v>
      </c>
      <c r="D26" s="133" t="str">
        <f>'2 - Serviços'!D26</f>
        <v>54°43'16.96''W</v>
      </c>
      <c r="E26" s="123" t="str">
        <f>'2 - Serviços'!E26</f>
        <v>Simples</v>
      </c>
      <c r="F26" s="133">
        <f>'2 - Serviços'!F26</f>
        <v>4.4000000000000004</v>
      </c>
      <c r="G26" s="133">
        <f>'2 - Serviços'!G26</f>
        <v>24.6</v>
      </c>
      <c r="H26" s="134">
        <v>0</v>
      </c>
      <c r="I26" s="134">
        <v>0</v>
      </c>
      <c r="J26" s="134">
        <v>0</v>
      </c>
      <c r="K26" s="134">
        <v>0</v>
      </c>
      <c r="L26" s="134">
        <v>0</v>
      </c>
      <c r="M26" s="134">
        <v>0</v>
      </c>
      <c r="N26" s="134">
        <v>0</v>
      </c>
      <c r="O26" s="134">
        <v>0</v>
      </c>
      <c r="P26" s="134">
        <v>0</v>
      </c>
      <c r="Q26" s="134">
        <v>0</v>
      </c>
      <c r="R26" s="134">
        <v>0</v>
      </c>
      <c r="S26" s="134">
        <v>0</v>
      </c>
      <c r="T26" s="327">
        <v>0</v>
      </c>
    </row>
    <row r="27" spans="1:20" ht="12.95" customHeight="1" x14ac:dyDescent="0.2">
      <c r="A27" s="324">
        <f>'2 - Serviços'!A27</f>
        <v>18</v>
      </c>
      <c r="B27" s="133" t="str">
        <f>'2 - Serviços'!B27</f>
        <v>CÓRREGO PASSATEMPO 1</v>
      </c>
      <c r="C27" s="133" t="str">
        <f>'2 - Serviços'!C27</f>
        <v>21°29'34.92''S</v>
      </c>
      <c r="D27" s="133" t="str">
        <f>'2 - Serviços'!D27</f>
        <v>54°49'18.44''W</v>
      </c>
      <c r="E27" s="123" t="str">
        <f>'2 - Serviços'!E27</f>
        <v>Simples</v>
      </c>
      <c r="F27" s="133">
        <f>'2 - Serviços'!F27</f>
        <v>4.4000000000000004</v>
      </c>
      <c r="G27" s="133">
        <f>'2 - Serviços'!G27</f>
        <v>16.399999999999999</v>
      </c>
      <c r="H27" s="134">
        <v>0</v>
      </c>
      <c r="I27" s="134">
        <v>0</v>
      </c>
      <c r="J27" s="134">
        <v>0</v>
      </c>
      <c r="K27" s="134">
        <v>0</v>
      </c>
      <c r="L27" s="134">
        <v>0</v>
      </c>
      <c r="M27" s="134">
        <v>0</v>
      </c>
      <c r="N27" s="134">
        <v>0</v>
      </c>
      <c r="O27" s="134">
        <v>0</v>
      </c>
      <c r="P27" s="134">
        <v>0</v>
      </c>
      <c r="Q27" s="134">
        <v>0</v>
      </c>
      <c r="R27" s="134">
        <v>0</v>
      </c>
      <c r="S27" s="134">
        <v>0</v>
      </c>
      <c r="T27" s="327">
        <v>0</v>
      </c>
    </row>
    <row r="28" spans="1:20" ht="12.95" customHeight="1" x14ac:dyDescent="0.2">
      <c r="A28" s="324">
        <f>'2 - Serviços'!A28</f>
        <v>19</v>
      </c>
      <c r="B28" s="133" t="str">
        <f>'2 - Serviços'!B28</f>
        <v>CÓRREGO PASSATEMPO 2</v>
      </c>
      <c r="C28" s="133" t="str">
        <f>'2 - Serviços'!C28</f>
        <v>21°29'33.39''S</v>
      </c>
      <c r="D28" s="133" t="str">
        <f>'2 - Serviços'!D28</f>
        <v>54°49'17.44''W</v>
      </c>
      <c r="E28" s="123" t="str">
        <f>'2 - Serviços'!E28</f>
        <v>Simples</v>
      </c>
      <c r="F28" s="133">
        <f>'2 - Serviços'!F28</f>
        <v>4.4000000000000004</v>
      </c>
      <c r="G28" s="133">
        <f>'2 - Serviços'!G28</f>
        <v>19.600000000000001</v>
      </c>
      <c r="H28" s="134">
        <v>0</v>
      </c>
      <c r="I28" s="134">
        <v>0</v>
      </c>
      <c r="J28" s="134">
        <v>0</v>
      </c>
      <c r="K28" s="134">
        <v>0</v>
      </c>
      <c r="L28" s="134">
        <v>0</v>
      </c>
      <c r="M28" s="134">
        <v>0</v>
      </c>
      <c r="N28" s="134">
        <v>0</v>
      </c>
      <c r="O28" s="134">
        <v>0</v>
      </c>
      <c r="P28" s="134">
        <v>0</v>
      </c>
      <c r="Q28" s="134">
        <v>0</v>
      </c>
      <c r="R28" s="134">
        <v>0</v>
      </c>
      <c r="S28" s="134">
        <v>0</v>
      </c>
      <c r="T28" s="327">
        <v>0</v>
      </c>
    </row>
    <row r="29" spans="1:20" ht="12.95" customHeight="1" x14ac:dyDescent="0.2">
      <c r="A29" s="324">
        <f>'2 - Serviços'!A29</f>
        <v>20</v>
      </c>
      <c r="B29" s="133" t="str">
        <f>'2 - Serviços'!B29</f>
        <v>CÓRREGO PASSATEMPO 3</v>
      </c>
      <c r="C29" s="133" t="str">
        <f>'2 - Serviços'!C29</f>
        <v>21°28'09.42''S</v>
      </c>
      <c r="D29" s="133" t="str">
        <f>'2 - Serviços'!D29</f>
        <v>54°48'01.11''W</v>
      </c>
      <c r="E29" s="123" t="str">
        <f>'2 - Serviços'!E29</f>
        <v>Simples</v>
      </c>
      <c r="F29" s="133">
        <f>'2 - Serviços'!F29</f>
        <v>5</v>
      </c>
      <c r="G29" s="133">
        <f>'2 - Serviços'!G29</f>
        <v>6</v>
      </c>
      <c r="H29" s="134">
        <v>0</v>
      </c>
      <c r="I29" s="134">
        <v>0</v>
      </c>
      <c r="J29" s="134">
        <v>0</v>
      </c>
      <c r="K29" s="134">
        <v>0</v>
      </c>
      <c r="L29" s="134">
        <v>0</v>
      </c>
      <c r="M29" s="134">
        <v>0</v>
      </c>
      <c r="N29" s="134">
        <v>0</v>
      </c>
      <c r="O29" s="134">
        <v>0</v>
      </c>
      <c r="P29" s="134">
        <v>0</v>
      </c>
      <c r="Q29" s="134">
        <v>0</v>
      </c>
      <c r="R29" s="134">
        <v>0</v>
      </c>
      <c r="S29" s="134">
        <v>0</v>
      </c>
      <c r="T29" s="327">
        <v>0</v>
      </c>
    </row>
    <row r="30" spans="1:20" ht="12.95" customHeight="1" x14ac:dyDescent="0.2">
      <c r="A30" s="324">
        <f>'2 - Serviços'!A30</f>
        <v>21</v>
      </c>
      <c r="B30" s="133" t="str">
        <f>'2 - Serviços'!B30</f>
        <v>CÓRREGO TAQUARA</v>
      </c>
      <c r="C30" s="133" t="str">
        <f>'2 - Serviços'!C30</f>
        <v>21°21'07.90''S</v>
      </c>
      <c r="D30" s="133" t="str">
        <f>'2 - Serviços'!D30</f>
        <v>54°50'07.01''W</v>
      </c>
      <c r="E30" s="123" t="str">
        <f>'2 - Serviços'!E30</f>
        <v>Simples</v>
      </c>
      <c r="F30" s="133">
        <f>'2 - Serviços'!F30</f>
        <v>4.8</v>
      </c>
      <c r="G30" s="133">
        <f>'2 - Serviços'!G30</f>
        <v>24</v>
      </c>
      <c r="H30" s="134">
        <v>0</v>
      </c>
      <c r="I30" s="134">
        <v>0</v>
      </c>
      <c r="J30" s="134">
        <v>0</v>
      </c>
      <c r="K30" s="134">
        <v>0</v>
      </c>
      <c r="L30" s="134">
        <v>0</v>
      </c>
      <c r="M30" s="134">
        <v>0</v>
      </c>
      <c r="N30" s="134">
        <v>0</v>
      </c>
      <c r="O30" s="134">
        <v>0</v>
      </c>
      <c r="P30" s="134">
        <v>0</v>
      </c>
      <c r="Q30" s="134">
        <v>0</v>
      </c>
      <c r="R30" s="134">
        <v>0</v>
      </c>
      <c r="S30" s="134">
        <v>0</v>
      </c>
      <c r="T30" s="327">
        <v>0</v>
      </c>
    </row>
    <row r="31" spans="1:20" ht="12.95" customHeight="1" x14ac:dyDescent="0.2">
      <c r="A31" s="324">
        <f>'2 - Serviços'!A31</f>
        <v>22</v>
      </c>
      <c r="B31" s="133" t="str">
        <f>'2 - Serviços'!B31</f>
        <v>CÓRREGO PASSATEMPO 4</v>
      </c>
      <c r="C31" s="133" t="str">
        <f>'2 - Serviços'!C31</f>
        <v>21°29'23.36''S</v>
      </c>
      <c r="D31" s="133" t="str">
        <f>'2 - Serviços'!D31</f>
        <v>54°52'56.83''W</v>
      </c>
      <c r="E31" s="123" t="str">
        <f>'2 - Serviços'!E31</f>
        <v>Simples</v>
      </c>
      <c r="F31" s="133">
        <f>'2 - Serviços'!F31</f>
        <v>4.4000000000000004</v>
      </c>
      <c r="G31" s="133">
        <f>'2 - Serviços'!G31</f>
        <v>14.3</v>
      </c>
      <c r="H31" s="134">
        <v>0</v>
      </c>
      <c r="I31" s="134">
        <v>0</v>
      </c>
      <c r="J31" s="134">
        <v>0</v>
      </c>
      <c r="K31" s="134">
        <v>0</v>
      </c>
      <c r="L31" s="134">
        <v>0</v>
      </c>
      <c r="M31" s="134">
        <v>0</v>
      </c>
      <c r="N31" s="134">
        <v>0</v>
      </c>
      <c r="O31" s="134">
        <v>0</v>
      </c>
      <c r="P31" s="134">
        <v>0</v>
      </c>
      <c r="Q31" s="134">
        <v>0</v>
      </c>
      <c r="R31" s="134">
        <v>0</v>
      </c>
      <c r="S31" s="134">
        <v>0</v>
      </c>
      <c r="T31" s="327">
        <v>0</v>
      </c>
    </row>
    <row r="32" spans="1:20" ht="12.95" customHeight="1" x14ac:dyDescent="0.2">
      <c r="A32" s="324">
        <f>'2 - Serviços'!A32</f>
        <v>23</v>
      </c>
      <c r="B32" s="133" t="str">
        <f>'2 - Serviços'!B32</f>
        <v>CÓRREGO DO COQUEIRO</v>
      </c>
      <c r="C32" s="133" t="str">
        <f>'2 - Serviços'!C32</f>
        <v>21°30'51.74''S</v>
      </c>
      <c r="D32" s="133" t="str">
        <f>'2 - Serviços'!D32</f>
        <v>54°52'00.30''W</v>
      </c>
      <c r="E32" s="123" t="str">
        <f>'2 - Serviços'!E32</f>
        <v>Simples</v>
      </c>
      <c r="F32" s="133">
        <f>'2 - Serviços'!F32</f>
        <v>4.4000000000000004</v>
      </c>
      <c r="G32" s="133">
        <f>'2 - Serviços'!G32</f>
        <v>22.3</v>
      </c>
      <c r="H32" s="134">
        <v>0</v>
      </c>
      <c r="I32" s="134">
        <v>0</v>
      </c>
      <c r="J32" s="134">
        <v>0</v>
      </c>
      <c r="K32" s="134">
        <v>0</v>
      </c>
      <c r="L32" s="134">
        <v>0</v>
      </c>
      <c r="M32" s="134">
        <v>0</v>
      </c>
      <c r="N32" s="134">
        <v>0</v>
      </c>
      <c r="O32" s="134">
        <v>0</v>
      </c>
      <c r="P32" s="134">
        <v>0</v>
      </c>
      <c r="Q32" s="134">
        <v>0</v>
      </c>
      <c r="R32" s="134">
        <v>0</v>
      </c>
      <c r="S32" s="134">
        <v>0</v>
      </c>
      <c r="T32" s="327">
        <v>0</v>
      </c>
    </row>
    <row r="33" spans="1:25" ht="12.95" customHeight="1" x14ac:dyDescent="0.2">
      <c r="A33" s="324">
        <f>'2 - Serviços'!A33</f>
        <v>24</v>
      </c>
      <c r="B33" s="133" t="str">
        <f>'2 - Serviços'!B33</f>
        <v>CÓRREGO CARRAPATO</v>
      </c>
      <c r="C33" s="133" t="str">
        <f>'2 - Serviços'!C33</f>
        <v>21°32'42.64''S</v>
      </c>
      <c r="D33" s="133" t="str">
        <f>'2 - Serviços'!D33</f>
        <v>55°00'59.87''W</v>
      </c>
      <c r="E33" s="123" t="str">
        <f>'2 - Serviços'!E33</f>
        <v>Simples</v>
      </c>
      <c r="F33" s="133">
        <f>'2 - Serviços'!F33</f>
        <v>4.4000000000000004</v>
      </c>
      <c r="G33" s="133">
        <f>'2 - Serviços'!G33</f>
        <v>18</v>
      </c>
      <c r="H33" s="134">
        <v>0</v>
      </c>
      <c r="I33" s="134">
        <v>0</v>
      </c>
      <c r="J33" s="134">
        <v>0</v>
      </c>
      <c r="K33" s="134">
        <v>0</v>
      </c>
      <c r="L33" s="134">
        <v>0</v>
      </c>
      <c r="M33" s="134">
        <v>0</v>
      </c>
      <c r="N33" s="134">
        <v>0</v>
      </c>
      <c r="O33" s="134">
        <v>0</v>
      </c>
      <c r="P33" s="134">
        <v>0</v>
      </c>
      <c r="Q33" s="134">
        <v>0</v>
      </c>
      <c r="R33" s="134">
        <v>0</v>
      </c>
      <c r="S33" s="134">
        <v>0</v>
      </c>
      <c r="T33" s="327">
        <v>0</v>
      </c>
    </row>
    <row r="34" spans="1:25" ht="12.95" customHeight="1" x14ac:dyDescent="0.2">
      <c r="A34" s="324">
        <f>'2 - Serviços'!A34</f>
        <v>25</v>
      </c>
      <c r="B34" s="133" t="str">
        <f>'2 - Serviços'!B34</f>
        <v>CÓRREGO BARRA MANSA</v>
      </c>
      <c r="C34" s="133" t="str">
        <f>'2 - Serviços'!C34</f>
        <v>21°45'26.00"S</v>
      </c>
      <c r="D34" s="133" t="str">
        <f>'2 - Serviços'!D34</f>
        <v>54°10'16.90"W</v>
      </c>
      <c r="E34" s="123" t="str">
        <f>'2 - Serviços'!E34</f>
        <v>Simples</v>
      </c>
      <c r="F34" s="133">
        <f>'2 - Serviços'!F34</f>
        <v>5</v>
      </c>
      <c r="G34" s="133">
        <f>'2 - Serviços'!G34</f>
        <v>5.6</v>
      </c>
      <c r="H34" s="134">
        <v>0</v>
      </c>
      <c r="I34" s="134">
        <v>0</v>
      </c>
      <c r="J34" s="134">
        <v>0</v>
      </c>
      <c r="K34" s="134">
        <v>0</v>
      </c>
      <c r="L34" s="134">
        <v>0</v>
      </c>
      <c r="M34" s="134">
        <v>0</v>
      </c>
      <c r="N34" s="134">
        <v>0</v>
      </c>
      <c r="O34" s="134">
        <v>0</v>
      </c>
      <c r="P34" s="134">
        <v>0</v>
      </c>
      <c r="Q34" s="134">
        <v>0</v>
      </c>
      <c r="R34" s="134">
        <v>0</v>
      </c>
      <c r="S34" s="134">
        <v>0</v>
      </c>
      <c r="T34" s="327">
        <v>0</v>
      </c>
    </row>
    <row r="35" spans="1:25" ht="12.95" customHeight="1" x14ac:dyDescent="0.2">
      <c r="A35" s="324">
        <f>'2 - Serviços'!A35</f>
        <v>26</v>
      </c>
      <c r="B35" s="133" t="str">
        <f>'2 - Serviços'!B35</f>
        <v>CÓRREGO PASSATEMPO 5</v>
      </c>
      <c r="C35" s="133" t="str">
        <f>'2 - Serviços'!C35</f>
        <v>21°29'57.99''S</v>
      </c>
      <c r="D35" s="133" t="str">
        <f>'2 - Serviços'!D35</f>
        <v>54°43'07.39''W</v>
      </c>
      <c r="E35" s="123" t="str">
        <f>'2 - Serviços'!E35</f>
        <v>Simples</v>
      </c>
      <c r="F35" s="133">
        <f>'2 - Serviços'!F35</f>
        <v>4.4000000000000004</v>
      </c>
      <c r="G35" s="133">
        <f>'2 - Serviços'!G35</f>
        <v>22.3</v>
      </c>
      <c r="H35" s="134">
        <v>0</v>
      </c>
      <c r="I35" s="134">
        <v>0</v>
      </c>
      <c r="J35" s="134">
        <v>0</v>
      </c>
      <c r="K35" s="134">
        <v>0</v>
      </c>
      <c r="L35" s="134">
        <v>0</v>
      </c>
      <c r="M35" s="134">
        <v>0</v>
      </c>
      <c r="N35" s="134">
        <v>0</v>
      </c>
      <c r="O35" s="134">
        <v>0</v>
      </c>
      <c r="P35" s="134">
        <v>0</v>
      </c>
      <c r="Q35" s="134">
        <v>0</v>
      </c>
      <c r="R35" s="134">
        <v>0</v>
      </c>
      <c r="S35" s="134">
        <v>0</v>
      </c>
      <c r="T35" s="327">
        <v>0</v>
      </c>
    </row>
    <row r="36" spans="1:25" ht="12.95" customHeight="1" x14ac:dyDescent="0.2">
      <c r="A36" s="324"/>
      <c r="B36" s="133"/>
      <c r="C36" s="133"/>
      <c r="D36" s="133"/>
      <c r="E36" s="123"/>
      <c r="F36" s="133"/>
      <c r="G36" s="123"/>
      <c r="H36" s="134"/>
      <c r="I36" s="134"/>
      <c r="J36" s="134"/>
      <c r="K36" s="134"/>
      <c r="L36" s="134"/>
      <c r="M36" s="134"/>
      <c r="N36" s="134"/>
      <c r="O36" s="134"/>
      <c r="P36" s="134"/>
      <c r="Q36" s="134"/>
      <c r="R36" s="134"/>
      <c r="S36" s="134"/>
      <c r="T36" s="327"/>
    </row>
    <row r="37" spans="1:25" ht="12.95" customHeight="1" x14ac:dyDescent="0.2">
      <c r="A37" s="521" t="s">
        <v>81</v>
      </c>
      <c r="B37" s="522"/>
      <c r="C37" s="522"/>
      <c r="D37" s="522"/>
      <c r="E37" s="522"/>
      <c r="F37" s="522"/>
      <c r="G37" s="78">
        <f>TRUNC(SUM(G10:G36),3)</f>
        <v>335.7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</row>
    <row r="38" spans="1:25" ht="12.95" customHeight="1" thickBot="1" x14ac:dyDescent="0.25">
      <c r="A38" s="534"/>
      <c r="B38" s="535"/>
      <c r="C38" s="535"/>
      <c r="D38" s="535"/>
      <c r="E38" s="535"/>
      <c r="F38" s="535"/>
      <c r="G38" s="535"/>
      <c r="H38" s="535"/>
      <c r="I38" s="535"/>
      <c r="J38" s="535"/>
      <c r="K38" s="535"/>
      <c r="L38" s="535"/>
      <c r="M38" s="535"/>
      <c r="N38" s="535"/>
      <c r="O38" s="535"/>
      <c r="P38" s="535"/>
      <c r="Q38" s="535"/>
      <c r="R38" s="535"/>
      <c r="S38" s="535"/>
      <c r="T38" s="536"/>
    </row>
    <row r="39" spans="1:25" ht="12.95" customHeight="1" x14ac:dyDescent="0.2">
      <c r="A39" s="523" t="s">
        <v>0</v>
      </c>
      <c r="B39" s="527" t="s">
        <v>1</v>
      </c>
      <c r="C39" s="527"/>
      <c r="D39" s="527"/>
      <c r="E39" s="527"/>
      <c r="F39" s="527"/>
      <c r="G39" s="527"/>
      <c r="H39" s="525" t="s">
        <v>203</v>
      </c>
      <c r="I39" s="525"/>
      <c r="J39" s="525"/>
      <c r="K39" s="525"/>
      <c r="L39" s="525"/>
      <c r="M39" s="525"/>
      <c r="N39" s="525"/>
      <c r="O39" s="525"/>
      <c r="P39" s="525"/>
      <c r="Q39" s="525"/>
      <c r="R39" s="525"/>
      <c r="S39" s="525"/>
      <c r="T39" s="526"/>
      <c r="Y39" s="77"/>
    </row>
    <row r="40" spans="1:25" ht="24.95" customHeight="1" x14ac:dyDescent="0.2">
      <c r="A40" s="524"/>
      <c r="B40" s="318" t="s">
        <v>504</v>
      </c>
      <c r="C40" s="318" t="str">
        <f>'2 - Serviços'!$C$9</f>
        <v>Latitude</v>
      </c>
      <c r="D40" s="319" t="str">
        <f>'2 - Serviços'!$D$9</f>
        <v>Longitude</v>
      </c>
      <c r="E40" s="320" t="str">
        <f>'2 - Serviços'!$E$9</f>
        <v>Vigamento</v>
      </c>
      <c r="F40" s="319" t="str">
        <f>'2 - Serviços'!$F$9</f>
        <v>Largura (m)</v>
      </c>
      <c r="G40" s="320" t="str">
        <f>'2 - Serviços'!$G$9</f>
        <v>Extensão (m)</v>
      </c>
      <c r="H40" s="296" t="s">
        <v>8</v>
      </c>
      <c r="I40" s="312" t="s">
        <v>9</v>
      </c>
      <c r="J40" s="296" t="s">
        <v>18</v>
      </c>
      <c r="K40" s="296" t="s">
        <v>72</v>
      </c>
      <c r="L40" s="296" t="s">
        <v>58</v>
      </c>
      <c r="M40" s="296" t="s">
        <v>417</v>
      </c>
      <c r="N40" s="312" t="str">
        <f>N9</f>
        <v>C. Aterro</v>
      </c>
      <c r="O40" s="312" t="s">
        <v>37</v>
      </c>
      <c r="P40" s="296" t="s">
        <v>38</v>
      </c>
      <c r="Q40" s="296" t="s">
        <v>39</v>
      </c>
      <c r="R40" s="296" t="str">
        <f>R9</f>
        <v>Trav. Inf.</v>
      </c>
      <c r="S40" s="296" t="s">
        <v>15</v>
      </c>
      <c r="T40" s="326" t="str">
        <f>T9</f>
        <v>Cravação</v>
      </c>
    </row>
    <row r="41" spans="1:25" ht="12.95" customHeight="1" x14ac:dyDescent="0.2">
      <c r="A41" s="324">
        <f t="shared" ref="A41:G50" si="0">A10</f>
        <v>1</v>
      </c>
      <c r="B41" s="133" t="str">
        <f t="shared" si="0"/>
        <v>CÓRREGO DO CHINELO</v>
      </c>
      <c r="C41" s="133" t="str">
        <f t="shared" si="0"/>
        <v>21°53'30.35''S</v>
      </c>
      <c r="D41" s="133" t="str">
        <f t="shared" si="0"/>
        <v>54°35'16.91''W</v>
      </c>
      <c r="E41" s="123" t="str">
        <f t="shared" si="0"/>
        <v>Simples</v>
      </c>
      <c r="F41" s="133">
        <f t="shared" si="0"/>
        <v>5</v>
      </c>
      <c r="G41" s="133">
        <f t="shared" si="0"/>
        <v>13</v>
      </c>
      <c r="H41" s="134">
        <v>239.2</v>
      </c>
      <c r="I41" s="134">
        <v>62.400000000000006</v>
      </c>
      <c r="J41" s="134">
        <v>20.8</v>
      </c>
      <c r="K41" s="134">
        <v>0</v>
      </c>
      <c r="L41" s="134">
        <v>36</v>
      </c>
      <c r="M41" s="134">
        <v>18</v>
      </c>
      <c r="N41" s="134">
        <v>15</v>
      </c>
      <c r="O41" s="134">
        <v>14.400000000000002</v>
      </c>
      <c r="P41" s="134">
        <v>13.200000000000003</v>
      </c>
      <c r="Q41" s="134">
        <v>0</v>
      </c>
      <c r="R41" s="134">
        <v>13.200000000000001</v>
      </c>
      <c r="S41" s="134">
        <v>14.880000000000003</v>
      </c>
      <c r="T41" s="327">
        <v>0</v>
      </c>
    </row>
    <row r="42" spans="1:25" ht="12.95" customHeight="1" x14ac:dyDescent="0.2">
      <c r="A42" s="324">
        <f t="shared" si="0"/>
        <v>2</v>
      </c>
      <c r="B42" s="133" t="str">
        <f t="shared" si="0"/>
        <v>CÓRREGO AREIAS</v>
      </c>
      <c r="C42" s="133" t="str">
        <f t="shared" si="0"/>
        <v>21°48'55.89''S</v>
      </c>
      <c r="D42" s="133" t="str">
        <f t="shared" si="0"/>
        <v>54°32'36.89''W</v>
      </c>
      <c r="E42" s="123" t="str">
        <f t="shared" si="0"/>
        <v>Simples</v>
      </c>
      <c r="F42" s="133">
        <f t="shared" si="0"/>
        <v>4.4000000000000004</v>
      </c>
      <c r="G42" s="133">
        <f t="shared" si="0"/>
        <v>6</v>
      </c>
      <c r="H42" s="134">
        <v>110.4</v>
      </c>
      <c r="I42" s="134">
        <v>28.800000000000004</v>
      </c>
      <c r="J42" s="134">
        <v>9.6000000000000014</v>
      </c>
      <c r="K42" s="134">
        <v>0</v>
      </c>
      <c r="L42" s="134">
        <v>18</v>
      </c>
      <c r="M42" s="134">
        <v>9</v>
      </c>
      <c r="N42" s="134">
        <v>13.200000000000001</v>
      </c>
      <c r="O42" s="134">
        <v>9.6000000000000014</v>
      </c>
      <c r="P42" s="134">
        <v>7.8400000000000007</v>
      </c>
      <c r="Q42" s="134">
        <v>0</v>
      </c>
      <c r="R42" s="134">
        <v>7.8400000000000007</v>
      </c>
      <c r="S42" s="134">
        <v>8.8000000000000007</v>
      </c>
      <c r="T42" s="327">
        <v>0</v>
      </c>
    </row>
    <row r="43" spans="1:25" ht="12.95" customHeight="1" x14ac:dyDescent="0.2">
      <c r="A43" s="324">
        <f t="shared" si="0"/>
        <v>3</v>
      </c>
      <c r="B43" s="133" t="str">
        <f t="shared" si="0"/>
        <v>CÓRREGO ARARAS</v>
      </c>
      <c r="C43" s="133" t="str">
        <f t="shared" si="0"/>
        <v>21°47'42.63''S</v>
      </c>
      <c r="D43" s="133" t="str">
        <f t="shared" si="0"/>
        <v>54°31'56.42''W</v>
      </c>
      <c r="E43" s="123" t="str">
        <f t="shared" si="0"/>
        <v>Simples</v>
      </c>
      <c r="F43" s="133">
        <f t="shared" si="0"/>
        <v>4.8</v>
      </c>
      <c r="G43" s="133">
        <f t="shared" si="0"/>
        <v>12</v>
      </c>
      <c r="H43" s="134">
        <v>220.8</v>
      </c>
      <c r="I43" s="134">
        <v>57.600000000000009</v>
      </c>
      <c r="J43" s="134">
        <v>19.200000000000003</v>
      </c>
      <c r="K43" s="134">
        <v>0</v>
      </c>
      <c r="L43" s="134">
        <v>36</v>
      </c>
      <c r="M43" s="134">
        <v>18</v>
      </c>
      <c r="N43" s="134">
        <v>14.4</v>
      </c>
      <c r="O43" s="134">
        <v>14.400000000000002</v>
      </c>
      <c r="P43" s="134">
        <v>12.72</v>
      </c>
      <c r="Q43" s="134">
        <v>0</v>
      </c>
      <c r="R43" s="134">
        <v>12.72</v>
      </c>
      <c r="S43" s="134">
        <v>14.160000000000004</v>
      </c>
      <c r="T43" s="327">
        <v>0</v>
      </c>
    </row>
    <row r="44" spans="1:25" ht="12.95" customHeight="1" x14ac:dyDescent="0.2">
      <c r="A44" s="324">
        <f t="shared" si="0"/>
        <v>4</v>
      </c>
      <c r="B44" s="133" t="str">
        <f t="shared" si="0"/>
        <v>CÓRREGO FORMIGA</v>
      </c>
      <c r="C44" s="133" t="str">
        <f t="shared" si="0"/>
        <v>21°39'27.48''S</v>
      </c>
      <c r="D44" s="133" t="str">
        <f t="shared" si="0"/>
        <v>54°25'31.76''W</v>
      </c>
      <c r="E44" s="123" t="str">
        <f t="shared" si="0"/>
        <v>Simples</v>
      </c>
      <c r="F44" s="133">
        <f t="shared" si="0"/>
        <v>4.4000000000000004</v>
      </c>
      <c r="G44" s="133">
        <f t="shared" si="0"/>
        <v>13.2</v>
      </c>
      <c r="H44" s="134">
        <v>242.88</v>
      </c>
      <c r="I44" s="134">
        <v>63.36</v>
      </c>
      <c r="J44" s="134">
        <v>21.12</v>
      </c>
      <c r="K44" s="134">
        <v>0</v>
      </c>
      <c r="L44" s="134">
        <v>36</v>
      </c>
      <c r="M44" s="134">
        <v>18</v>
      </c>
      <c r="N44" s="134">
        <v>13.200000000000001</v>
      </c>
      <c r="O44" s="134">
        <v>14.400000000000002</v>
      </c>
      <c r="P44" s="134">
        <v>11.760000000000003</v>
      </c>
      <c r="Q44" s="134">
        <v>0</v>
      </c>
      <c r="R44" s="134">
        <v>11.760000000000002</v>
      </c>
      <c r="S44" s="134">
        <v>13.200000000000003</v>
      </c>
      <c r="T44" s="327">
        <v>0</v>
      </c>
    </row>
    <row r="45" spans="1:25" ht="12.95" customHeight="1" x14ac:dyDescent="0.2">
      <c r="A45" s="324">
        <f t="shared" si="0"/>
        <v>5</v>
      </c>
      <c r="B45" s="133" t="str">
        <f t="shared" si="0"/>
        <v>CÓRREGO ANTINHA</v>
      </c>
      <c r="C45" s="133" t="str">
        <f t="shared" si="0"/>
        <v>21°38'42.22''S</v>
      </c>
      <c r="D45" s="133" t="str">
        <f t="shared" si="0"/>
        <v>54°27'12.82''W</v>
      </c>
      <c r="E45" s="123" t="str">
        <f t="shared" si="0"/>
        <v>Simples</v>
      </c>
      <c r="F45" s="133">
        <f t="shared" si="0"/>
        <v>4.4000000000000004</v>
      </c>
      <c r="G45" s="133">
        <f t="shared" si="0"/>
        <v>7.2</v>
      </c>
      <c r="H45" s="134">
        <v>132.48000000000002</v>
      </c>
      <c r="I45" s="134">
        <v>34.56</v>
      </c>
      <c r="J45" s="134">
        <v>11.520000000000001</v>
      </c>
      <c r="K45" s="134">
        <v>0</v>
      </c>
      <c r="L45" s="134">
        <v>18</v>
      </c>
      <c r="M45" s="134">
        <v>9</v>
      </c>
      <c r="N45" s="134">
        <v>13.200000000000001</v>
      </c>
      <c r="O45" s="134">
        <v>9.6000000000000014</v>
      </c>
      <c r="P45" s="134">
        <v>7.8400000000000007</v>
      </c>
      <c r="Q45" s="134">
        <v>0</v>
      </c>
      <c r="R45" s="134">
        <v>7.8400000000000007</v>
      </c>
      <c r="S45" s="134">
        <v>8.8000000000000007</v>
      </c>
      <c r="T45" s="327">
        <v>0</v>
      </c>
    </row>
    <row r="46" spans="1:25" ht="12.95" customHeight="1" x14ac:dyDescent="0.2">
      <c r="A46" s="324">
        <f t="shared" si="0"/>
        <v>6</v>
      </c>
      <c r="B46" s="133" t="str">
        <f t="shared" si="0"/>
        <v>CÓRREGO FORMIGA</v>
      </c>
      <c r="C46" s="133" t="str">
        <f t="shared" si="0"/>
        <v>21°38'56.23''S</v>
      </c>
      <c r="D46" s="133" t="str">
        <f t="shared" si="0"/>
        <v>54°25'01.82''W</v>
      </c>
      <c r="E46" s="123" t="str">
        <f t="shared" si="0"/>
        <v>Simples</v>
      </c>
      <c r="F46" s="133">
        <f t="shared" si="0"/>
        <v>4.4000000000000004</v>
      </c>
      <c r="G46" s="133">
        <f t="shared" si="0"/>
        <v>12</v>
      </c>
      <c r="H46" s="134">
        <v>220.8</v>
      </c>
      <c r="I46" s="134">
        <v>57.600000000000009</v>
      </c>
      <c r="J46" s="134">
        <v>19.200000000000003</v>
      </c>
      <c r="K46" s="134">
        <v>0</v>
      </c>
      <c r="L46" s="134">
        <v>36</v>
      </c>
      <c r="M46" s="134">
        <v>18</v>
      </c>
      <c r="N46" s="134">
        <v>13.200000000000001</v>
      </c>
      <c r="O46" s="134">
        <v>14.400000000000002</v>
      </c>
      <c r="P46" s="134">
        <v>11.760000000000003</v>
      </c>
      <c r="Q46" s="134">
        <v>0</v>
      </c>
      <c r="R46" s="134">
        <v>11.760000000000002</v>
      </c>
      <c r="S46" s="134">
        <v>13.200000000000003</v>
      </c>
      <c r="T46" s="327">
        <v>0</v>
      </c>
    </row>
    <row r="47" spans="1:25" ht="12.95" customHeight="1" x14ac:dyDescent="0.2">
      <c r="A47" s="324">
        <f t="shared" si="0"/>
        <v>7</v>
      </c>
      <c r="B47" s="133" t="str">
        <f t="shared" si="0"/>
        <v>CÓRREGO QUILOMBO</v>
      </c>
      <c r="C47" s="133" t="str">
        <f t="shared" si="0"/>
        <v>21°42'14.33''S</v>
      </c>
      <c r="D47" s="133" t="str">
        <f t="shared" si="0"/>
        <v>54°20'39.58''W</v>
      </c>
      <c r="E47" s="123" t="str">
        <f t="shared" si="0"/>
        <v>Simples</v>
      </c>
      <c r="F47" s="133">
        <f t="shared" si="0"/>
        <v>4.4000000000000004</v>
      </c>
      <c r="G47" s="133">
        <f t="shared" si="0"/>
        <v>6.8</v>
      </c>
      <c r="H47" s="134">
        <v>125.12</v>
      </c>
      <c r="I47" s="134">
        <v>32.64</v>
      </c>
      <c r="J47" s="134">
        <v>10.88</v>
      </c>
      <c r="K47" s="134">
        <v>0</v>
      </c>
      <c r="L47" s="134">
        <v>18</v>
      </c>
      <c r="M47" s="134">
        <v>9</v>
      </c>
      <c r="N47" s="134">
        <v>13.200000000000001</v>
      </c>
      <c r="O47" s="134">
        <v>9.6000000000000014</v>
      </c>
      <c r="P47" s="134">
        <v>7.8400000000000007</v>
      </c>
      <c r="Q47" s="134">
        <v>0</v>
      </c>
      <c r="R47" s="134">
        <v>7.8400000000000007</v>
      </c>
      <c r="S47" s="134">
        <v>8.8000000000000007</v>
      </c>
      <c r="T47" s="327">
        <v>0</v>
      </c>
    </row>
    <row r="48" spans="1:25" ht="12.95" customHeight="1" x14ac:dyDescent="0.2">
      <c r="A48" s="324">
        <f t="shared" si="0"/>
        <v>8</v>
      </c>
      <c r="B48" s="133" t="str">
        <f t="shared" si="0"/>
        <v>ARROIO CORREGUINHO</v>
      </c>
      <c r="C48" s="133" t="str">
        <f t="shared" si="0"/>
        <v>21°42'39.87''S</v>
      </c>
      <c r="D48" s="133" t="str">
        <f t="shared" si="0"/>
        <v>54°18'52.81''W</v>
      </c>
      <c r="E48" s="123" t="str">
        <f t="shared" si="0"/>
        <v>Simples</v>
      </c>
      <c r="F48" s="133">
        <f t="shared" si="0"/>
        <v>4.4000000000000004</v>
      </c>
      <c r="G48" s="133">
        <f t="shared" si="0"/>
        <v>5.8</v>
      </c>
      <c r="H48" s="134">
        <v>106.71999999999998</v>
      </c>
      <c r="I48" s="134">
        <v>27.839999999999996</v>
      </c>
      <c r="J48" s="134">
        <v>9.2799999999999994</v>
      </c>
      <c r="K48" s="134">
        <v>0</v>
      </c>
      <c r="L48" s="134">
        <v>18</v>
      </c>
      <c r="M48" s="134">
        <v>9</v>
      </c>
      <c r="N48" s="134">
        <v>13.200000000000001</v>
      </c>
      <c r="O48" s="134">
        <v>9.6000000000000014</v>
      </c>
      <c r="P48" s="134">
        <v>7.8400000000000007</v>
      </c>
      <c r="Q48" s="134">
        <v>0</v>
      </c>
      <c r="R48" s="134">
        <v>7.8400000000000007</v>
      </c>
      <c r="S48" s="134">
        <v>8.8000000000000007</v>
      </c>
      <c r="T48" s="327">
        <v>0</v>
      </c>
    </row>
    <row r="49" spans="1:20" ht="12.95" customHeight="1" x14ac:dyDescent="0.2">
      <c r="A49" s="324">
        <f t="shared" si="0"/>
        <v>9</v>
      </c>
      <c r="B49" s="133" t="str">
        <f t="shared" si="0"/>
        <v>CÓRREGO GUATAMBU</v>
      </c>
      <c r="C49" s="133" t="str">
        <f t="shared" si="0"/>
        <v>21°43'17.70"S</v>
      </c>
      <c r="D49" s="133" t="str">
        <f t="shared" si="0"/>
        <v>54°16'36.10"W</v>
      </c>
      <c r="E49" s="123" t="str">
        <f t="shared" si="0"/>
        <v>Simples</v>
      </c>
      <c r="F49" s="133">
        <f t="shared" si="0"/>
        <v>4.4000000000000004</v>
      </c>
      <c r="G49" s="133">
        <f t="shared" si="0"/>
        <v>10.6</v>
      </c>
      <c r="H49" s="134">
        <v>195.04000000000002</v>
      </c>
      <c r="I49" s="134">
        <v>50.88</v>
      </c>
      <c r="J49" s="134">
        <v>16.96</v>
      </c>
      <c r="K49" s="134">
        <v>0</v>
      </c>
      <c r="L49" s="134">
        <v>36</v>
      </c>
      <c r="M49" s="134">
        <v>18</v>
      </c>
      <c r="N49" s="134">
        <v>13.200000000000001</v>
      </c>
      <c r="O49" s="134">
        <v>14.400000000000002</v>
      </c>
      <c r="P49" s="134">
        <v>11.760000000000003</v>
      </c>
      <c r="Q49" s="134">
        <v>0</v>
      </c>
      <c r="R49" s="134">
        <v>11.760000000000002</v>
      </c>
      <c r="S49" s="134">
        <v>13.200000000000003</v>
      </c>
      <c r="T49" s="327">
        <v>0</v>
      </c>
    </row>
    <row r="50" spans="1:20" ht="12.95" customHeight="1" x14ac:dyDescent="0.2">
      <c r="A50" s="324">
        <f t="shared" si="0"/>
        <v>10</v>
      </c>
      <c r="B50" s="133" t="str">
        <f t="shared" si="0"/>
        <v>CÓRREGO QUILOMBO</v>
      </c>
      <c r="C50" s="133" t="str">
        <f t="shared" si="0"/>
        <v>21°42'51.11''S</v>
      </c>
      <c r="D50" s="133" t="str">
        <f t="shared" si="0"/>
        <v>54°16'52.81''W</v>
      </c>
      <c r="E50" s="123" t="str">
        <f t="shared" si="0"/>
        <v>Simples</v>
      </c>
      <c r="F50" s="133">
        <f t="shared" si="0"/>
        <v>4.4000000000000004</v>
      </c>
      <c r="G50" s="133">
        <f t="shared" si="0"/>
        <v>5.8</v>
      </c>
      <c r="H50" s="134">
        <v>106.71999999999998</v>
      </c>
      <c r="I50" s="134">
        <v>27.839999999999996</v>
      </c>
      <c r="J50" s="134">
        <v>9.2799999999999994</v>
      </c>
      <c r="K50" s="134">
        <v>0</v>
      </c>
      <c r="L50" s="134">
        <v>18</v>
      </c>
      <c r="M50" s="134">
        <v>9</v>
      </c>
      <c r="N50" s="134">
        <v>13.200000000000001</v>
      </c>
      <c r="O50" s="134">
        <v>9.6000000000000014</v>
      </c>
      <c r="P50" s="134">
        <v>7.8400000000000007</v>
      </c>
      <c r="Q50" s="134">
        <v>0</v>
      </c>
      <c r="R50" s="134">
        <v>7.8400000000000007</v>
      </c>
      <c r="S50" s="134">
        <v>8.8000000000000007</v>
      </c>
      <c r="T50" s="327">
        <v>0</v>
      </c>
    </row>
    <row r="51" spans="1:20" ht="12.95" customHeight="1" x14ac:dyDescent="0.2">
      <c r="A51" s="324">
        <f t="shared" ref="A51:G60" si="1">A20</f>
        <v>11</v>
      </c>
      <c r="B51" s="133" t="str">
        <f t="shared" si="1"/>
        <v>CÓRREGO SAPÉ</v>
      </c>
      <c r="C51" s="133" t="str">
        <f t="shared" si="1"/>
        <v>21°44'57.50"S</v>
      </c>
      <c r="D51" s="133" t="str">
        <f t="shared" si="1"/>
        <v>54°18'00.40"W</v>
      </c>
      <c r="E51" s="123" t="str">
        <f t="shared" si="1"/>
        <v>Simples</v>
      </c>
      <c r="F51" s="133">
        <f t="shared" si="1"/>
        <v>4.4000000000000004</v>
      </c>
      <c r="G51" s="133">
        <f t="shared" si="1"/>
        <v>10.8</v>
      </c>
      <c r="H51" s="134">
        <v>198.72</v>
      </c>
      <c r="I51" s="134">
        <v>51.84</v>
      </c>
      <c r="J51" s="134">
        <v>17.28</v>
      </c>
      <c r="K51" s="134">
        <v>0</v>
      </c>
      <c r="L51" s="134">
        <v>36</v>
      </c>
      <c r="M51" s="134">
        <v>18</v>
      </c>
      <c r="N51" s="134">
        <v>13.200000000000001</v>
      </c>
      <c r="O51" s="134">
        <v>14.400000000000002</v>
      </c>
      <c r="P51" s="134">
        <v>11.760000000000003</v>
      </c>
      <c r="Q51" s="134">
        <v>0</v>
      </c>
      <c r="R51" s="134">
        <v>11.760000000000002</v>
      </c>
      <c r="S51" s="134">
        <v>13.200000000000003</v>
      </c>
      <c r="T51" s="327">
        <v>0</v>
      </c>
    </row>
    <row r="52" spans="1:20" ht="12.95" customHeight="1" x14ac:dyDescent="0.2">
      <c r="A52" s="324">
        <f t="shared" si="1"/>
        <v>12</v>
      </c>
      <c r="B52" s="133" t="str">
        <f t="shared" si="1"/>
        <v>CÓRREGO JUREMA</v>
      </c>
      <c r="C52" s="133" t="str">
        <f t="shared" si="1"/>
        <v>21°47'02.84''S</v>
      </c>
      <c r="D52" s="133" t="str">
        <f t="shared" si="1"/>
        <v>54°14'35.61''W</v>
      </c>
      <c r="E52" s="123" t="str">
        <f t="shared" si="1"/>
        <v>Simples</v>
      </c>
      <c r="F52" s="133">
        <f t="shared" si="1"/>
        <v>4.4000000000000004</v>
      </c>
      <c r="G52" s="133">
        <f t="shared" si="1"/>
        <v>7.1</v>
      </c>
      <c r="H52" s="134">
        <v>130.63999999999999</v>
      </c>
      <c r="I52" s="134">
        <v>34.08</v>
      </c>
      <c r="J52" s="134">
        <v>11.36</v>
      </c>
      <c r="K52" s="134">
        <v>0</v>
      </c>
      <c r="L52" s="134">
        <v>18</v>
      </c>
      <c r="M52" s="134">
        <v>9</v>
      </c>
      <c r="N52" s="134">
        <v>13.200000000000001</v>
      </c>
      <c r="O52" s="134">
        <v>9.6000000000000014</v>
      </c>
      <c r="P52" s="134">
        <v>7.8400000000000007</v>
      </c>
      <c r="Q52" s="134">
        <v>0</v>
      </c>
      <c r="R52" s="134">
        <v>7.8400000000000007</v>
      </c>
      <c r="S52" s="134">
        <v>8.8000000000000007</v>
      </c>
      <c r="T52" s="327">
        <v>0</v>
      </c>
    </row>
    <row r="53" spans="1:20" ht="12.95" customHeight="1" x14ac:dyDescent="0.2">
      <c r="A53" s="324">
        <f t="shared" si="1"/>
        <v>13</v>
      </c>
      <c r="B53" s="133" t="str">
        <f t="shared" si="1"/>
        <v>CÓRREGO ARACI</v>
      </c>
      <c r="C53" s="133" t="str">
        <f t="shared" si="1"/>
        <v>21°45'04.33''S</v>
      </c>
      <c r="D53" s="133" t="str">
        <f t="shared" si="1"/>
        <v>54°12'41.25''W</v>
      </c>
      <c r="E53" s="123" t="str">
        <f t="shared" si="1"/>
        <v>Simples</v>
      </c>
      <c r="F53" s="133">
        <f t="shared" si="1"/>
        <v>4.4000000000000004</v>
      </c>
      <c r="G53" s="133">
        <f t="shared" si="1"/>
        <v>6.4</v>
      </c>
      <c r="H53" s="134">
        <v>117.76000000000002</v>
      </c>
      <c r="I53" s="134">
        <v>30.720000000000006</v>
      </c>
      <c r="J53" s="134">
        <v>10.240000000000002</v>
      </c>
      <c r="K53" s="134">
        <v>0</v>
      </c>
      <c r="L53" s="134">
        <v>18</v>
      </c>
      <c r="M53" s="134">
        <v>9</v>
      </c>
      <c r="N53" s="134">
        <v>13.200000000000001</v>
      </c>
      <c r="O53" s="134">
        <v>9.6000000000000014</v>
      </c>
      <c r="P53" s="134">
        <v>7.8400000000000007</v>
      </c>
      <c r="Q53" s="134">
        <v>0</v>
      </c>
      <c r="R53" s="134">
        <v>7.8400000000000007</v>
      </c>
      <c r="S53" s="134">
        <v>8.8000000000000007</v>
      </c>
      <c r="T53" s="327">
        <v>0</v>
      </c>
    </row>
    <row r="54" spans="1:20" ht="12.95" customHeight="1" x14ac:dyDescent="0.2">
      <c r="A54" s="324">
        <f t="shared" si="1"/>
        <v>14</v>
      </c>
      <c r="B54" s="133" t="str">
        <f t="shared" si="1"/>
        <v>CÓRREGO ANHUMAS</v>
      </c>
      <c r="C54" s="133" t="str">
        <f t="shared" si="1"/>
        <v>21°51'40.49''S</v>
      </c>
      <c r="D54" s="133" t="str">
        <f t="shared" si="1"/>
        <v>54°08'14.26''W</v>
      </c>
      <c r="E54" s="123" t="str">
        <f t="shared" si="1"/>
        <v>Simples</v>
      </c>
      <c r="F54" s="133">
        <f t="shared" si="1"/>
        <v>4.4000000000000004</v>
      </c>
      <c r="G54" s="133">
        <f t="shared" si="1"/>
        <v>11.8</v>
      </c>
      <c r="H54" s="134">
        <v>217.12</v>
      </c>
      <c r="I54" s="134">
        <v>56.640000000000008</v>
      </c>
      <c r="J54" s="134">
        <v>18.880000000000003</v>
      </c>
      <c r="K54" s="134">
        <v>0</v>
      </c>
      <c r="L54" s="134">
        <v>36</v>
      </c>
      <c r="M54" s="134">
        <v>18</v>
      </c>
      <c r="N54" s="134">
        <v>13.200000000000001</v>
      </c>
      <c r="O54" s="134">
        <v>14.400000000000002</v>
      </c>
      <c r="P54" s="134">
        <v>11.760000000000003</v>
      </c>
      <c r="Q54" s="134">
        <v>0</v>
      </c>
      <c r="R54" s="134">
        <v>11.760000000000002</v>
      </c>
      <c r="S54" s="134">
        <v>13.200000000000003</v>
      </c>
      <c r="T54" s="327">
        <v>0</v>
      </c>
    </row>
    <row r="55" spans="1:20" ht="12.95" customHeight="1" x14ac:dyDescent="0.2">
      <c r="A55" s="324">
        <f t="shared" si="1"/>
        <v>15</v>
      </c>
      <c r="B55" s="133" t="str">
        <f t="shared" si="1"/>
        <v>CÓRREGO CHIFRE DO VIADO</v>
      </c>
      <c r="C55" s="133" t="str">
        <f t="shared" si="1"/>
        <v>21°40'35.65''S</v>
      </c>
      <c r="D55" s="133" t="str">
        <f t="shared" si="1"/>
        <v>54°56'15.44''W</v>
      </c>
      <c r="E55" s="123" t="str">
        <f t="shared" si="1"/>
        <v>Simples</v>
      </c>
      <c r="F55" s="133">
        <f t="shared" si="1"/>
        <v>5</v>
      </c>
      <c r="G55" s="133">
        <f t="shared" si="1"/>
        <v>12</v>
      </c>
      <c r="H55" s="134">
        <v>220.8</v>
      </c>
      <c r="I55" s="134">
        <v>57.600000000000009</v>
      </c>
      <c r="J55" s="134">
        <v>19.200000000000003</v>
      </c>
      <c r="K55" s="134">
        <v>0</v>
      </c>
      <c r="L55" s="134">
        <v>36</v>
      </c>
      <c r="M55" s="134">
        <v>18</v>
      </c>
      <c r="N55" s="134">
        <v>15</v>
      </c>
      <c r="O55" s="134">
        <v>14.400000000000002</v>
      </c>
      <c r="P55" s="134">
        <v>13.200000000000003</v>
      </c>
      <c r="Q55" s="134">
        <v>0</v>
      </c>
      <c r="R55" s="134">
        <v>13.200000000000001</v>
      </c>
      <c r="S55" s="134">
        <v>14.880000000000003</v>
      </c>
      <c r="T55" s="327">
        <v>0</v>
      </c>
    </row>
    <row r="56" spans="1:20" ht="12.95" customHeight="1" x14ac:dyDescent="0.2">
      <c r="A56" s="324">
        <f t="shared" si="1"/>
        <v>16</v>
      </c>
      <c r="B56" s="133" t="str">
        <f t="shared" si="1"/>
        <v>CÓRREGO SANTA RITA</v>
      </c>
      <c r="C56" s="133" t="str">
        <f t="shared" si="1"/>
        <v>21°33'23.75''S</v>
      </c>
      <c r="D56" s="133" t="str">
        <f t="shared" si="1"/>
        <v>54°35'26.66''W</v>
      </c>
      <c r="E56" s="123" t="str">
        <f t="shared" si="1"/>
        <v>Simples</v>
      </c>
      <c r="F56" s="133">
        <f t="shared" si="1"/>
        <v>4.4000000000000004</v>
      </c>
      <c r="G56" s="133">
        <f t="shared" si="1"/>
        <v>22.1</v>
      </c>
      <c r="H56" s="134">
        <v>406.64000000000004</v>
      </c>
      <c r="I56" s="134">
        <v>106.08000000000001</v>
      </c>
      <c r="J56" s="134">
        <v>35.360000000000007</v>
      </c>
      <c r="K56" s="134">
        <v>0</v>
      </c>
      <c r="L56" s="134">
        <v>72</v>
      </c>
      <c r="M56" s="134">
        <v>36</v>
      </c>
      <c r="N56" s="134">
        <v>13.200000000000001</v>
      </c>
      <c r="O56" s="134">
        <v>24</v>
      </c>
      <c r="P56" s="134">
        <v>19.600000000000001</v>
      </c>
      <c r="Q56" s="134">
        <v>0</v>
      </c>
      <c r="R56" s="134">
        <v>19.600000000000001</v>
      </c>
      <c r="S56" s="134">
        <v>22</v>
      </c>
      <c r="T56" s="327">
        <v>0</v>
      </c>
    </row>
    <row r="57" spans="1:20" ht="12.95" customHeight="1" x14ac:dyDescent="0.2">
      <c r="A57" s="324">
        <f t="shared" si="1"/>
        <v>17</v>
      </c>
      <c r="B57" s="133" t="str">
        <f t="shared" si="1"/>
        <v>RIO SERROTE</v>
      </c>
      <c r="C57" s="133" t="str">
        <f t="shared" si="1"/>
        <v>21°25'01.14''S</v>
      </c>
      <c r="D57" s="133" t="str">
        <f t="shared" si="1"/>
        <v>54°43'16.96''W</v>
      </c>
      <c r="E57" s="123" t="str">
        <f t="shared" si="1"/>
        <v>Simples</v>
      </c>
      <c r="F57" s="133">
        <f t="shared" si="1"/>
        <v>4.4000000000000004</v>
      </c>
      <c r="G57" s="133">
        <f t="shared" si="1"/>
        <v>24.6</v>
      </c>
      <c r="H57" s="134">
        <v>452.64000000000004</v>
      </c>
      <c r="I57" s="134">
        <v>118.08000000000001</v>
      </c>
      <c r="J57" s="134">
        <v>39.360000000000007</v>
      </c>
      <c r="K57" s="134">
        <v>0</v>
      </c>
      <c r="L57" s="134">
        <v>72</v>
      </c>
      <c r="M57" s="134">
        <v>36</v>
      </c>
      <c r="N57" s="134">
        <v>13.200000000000001</v>
      </c>
      <c r="O57" s="134">
        <v>24</v>
      </c>
      <c r="P57" s="134">
        <v>19.600000000000001</v>
      </c>
      <c r="Q57" s="134">
        <v>0</v>
      </c>
      <c r="R57" s="134">
        <v>19.600000000000001</v>
      </c>
      <c r="S57" s="134">
        <v>22</v>
      </c>
      <c r="T57" s="327">
        <v>0</v>
      </c>
    </row>
    <row r="58" spans="1:20" ht="12.95" customHeight="1" x14ac:dyDescent="0.2">
      <c r="A58" s="324">
        <f t="shared" si="1"/>
        <v>18</v>
      </c>
      <c r="B58" s="133" t="str">
        <f t="shared" si="1"/>
        <v>CÓRREGO PASSATEMPO 1</v>
      </c>
      <c r="C58" s="133" t="str">
        <f t="shared" si="1"/>
        <v>21°29'34.92''S</v>
      </c>
      <c r="D58" s="133" t="str">
        <f t="shared" si="1"/>
        <v>54°49'18.44''W</v>
      </c>
      <c r="E58" s="123" t="str">
        <f t="shared" si="1"/>
        <v>Simples</v>
      </c>
      <c r="F58" s="133">
        <f t="shared" si="1"/>
        <v>4.4000000000000004</v>
      </c>
      <c r="G58" s="133">
        <f t="shared" si="1"/>
        <v>16.399999999999999</v>
      </c>
      <c r="H58" s="134">
        <v>301.75999999999993</v>
      </c>
      <c r="I58" s="134">
        <v>78.72</v>
      </c>
      <c r="J58" s="134">
        <v>26.24</v>
      </c>
      <c r="K58" s="134">
        <v>0</v>
      </c>
      <c r="L58" s="134">
        <v>54</v>
      </c>
      <c r="M58" s="134">
        <v>27</v>
      </c>
      <c r="N58" s="134">
        <v>13.200000000000001</v>
      </c>
      <c r="O58" s="134">
        <v>19.200000000000003</v>
      </c>
      <c r="P58" s="134">
        <v>15.680000000000001</v>
      </c>
      <c r="Q58" s="134">
        <v>0</v>
      </c>
      <c r="R58" s="134">
        <v>15.680000000000001</v>
      </c>
      <c r="S58" s="134">
        <v>17.600000000000001</v>
      </c>
      <c r="T58" s="327">
        <v>0</v>
      </c>
    </row>
    <row r="59" spans="1:20" ht="12.95" customHeight="1" x14ac:dyDescent="0.2">
      <c r="A59" s="324">
        <f t="shared" si="1"/>
        <v>19</v>
      </c>
      <c r="B59" s="133" t="str">
        <f t="shared" si="1"/>
        <v>CÓRREGO PASSATEMPO 2</v>
      </c>
      <c r="C59" s="133" t="str">
        <f t="shared" si="1"/>
        <v>21°29'33.39''S</v>
      </c>
      <c r="D59" s="133" t="str">
        <f t="shared" si="1"/>
        <v>54°49'17.44''W</v>
      </c>
      <c r="E59" s="123" t="str">
        <f t="shared" si="1"/>
        <v>Simples</v>
      </c>
      <c r="F59" s="133">
        <f t="shared" si="1"/>
        <v>4.4000000000000004</v>
      </c>
      <c r="G59" s="133">
        <f t="shared" si="1"/>
        <v>19.600000000000001</v>
      </c>
      <c r="H59" s="134">
        <v>360.64</v>
      </c>
      <c r="I59" s="134">
        <v>94.080000000000013</v>
      </c>
      <c r="J59" s="134">
        <v>31.360000000000003</v>
      </c>
      <c r="K59" s="134">
        <v>0</v>
      </c>
      <c r="L59" s="134">
        <v>54</v>
      </c>
      <c r="M59" s="134">
        <v>27</v>
      </c>
      <c r="N59" s="134">
        <v>13.200000000000001</v>
      </c>
      <c r="O59" s="134">
        <v>19.200000000000003</v>
      </c>
      <c r="P59" s="134">
        <v>15.680000000000001</v>
      </c>
      <c r="Q59" s="134">
        <v>0</v>
      </c>
      <c r="R59" s="134">
        <v>15.680000000000001</v>
      </c>
      <c r="S59" s="134">
        <v>17.600000000000001</v>
      </c>
      <c r="T59" s="327">
        <v>0</v>
      </c>
    </row>
    <row r="60" spans="1:20" ht="12.95" customHeight="1" x14ac:dyDescent="0.2">
      <c r="A60" s="324">
        <f t="shared" si="1"/>
        <v>20</v>
      </c>
      <c r="B60" s="133" t="str">
        <f t="shared" si="1"/>
        <v>CÓRREGO PASSATEMPO 3</v>
      </c>
      <c r="C60" s="133" t="str">
        <f t="shared" si="1"/>
        <v>21°28'09.42''S</v>
      </c>
      <c r="D60" s="133" t="str">
        <f t="shared" si="1"/>
        <v>54°48'01.11''W</v>
      </c>
      <c r="E60" s="123" t="str">
        <f t="shared" si="1"/>
        <v>Simples</v>
      </c>
      <c r="F60" s="133">
        <f t="shared" si="1"/>
        <v>5</v>
      </c>
      <c r="G60" s="133">
        <f t="shared" si="1"/>
        <v>6</v>
      </c>
      <c r="H60" s="134">
        <v>110.4</v>
      </c>
      <c r="I60" s="134">
        <v>28.800000000000004</v>
      </c>
      <c r="J60" s="134">
        <v>9.6000000000000014</v>
      </c>
      <c r="K60" s="134">
        <v>0</v>
      </c>
      <c r="L60" s="134">
        <v>18</v>
      </c>
      <c r="M60" s="134">
        <v>9</v>
      </c>
      <c r="N60" s="134">
        <v>15</v>
      </c>
      <c r="O60" s="134">
        <v>9.6000000000000014</v>
      </c>
      <c r="P60" s="134">
        <v>8.8000000000000007</v>
      </c>
      <c r="Q60" s="134">
        <v>0</v>
      </c>
      <c r="R60" s="134">
        <v>8.8000000000000007</v>
      </c>
      <c r="S60" s="134">
        <v>9.9200000000000017</v>
      </c>
      <c r="T60" s="327">
        <v>0</v>
      </c>
    </row>
    <row r="61" spans="1:20" ht="12.95" customHeight="1" x14ac:dyDescent="0.2">
      <c r="A61" s="324">
        <f t="shared" ref="A61:G66" si="2">A30</f>
        <v>21</v>
      </c>
      <c r="B61" s="133" t="str">
        <f t="shared" si="2"/>
        <v>CÓRREGO TAQUARA</v>
      </c>
      <c r="C61" s="133" t="str">
        <f t="shared" si="2"/>
        <v>21°21'07.90''S</v>
      </c>
      <c r="D61" s="133" t="str">
        <f t="shared" si="2"/>
        <v>54°50'07.01''W</v>
      </c>
      <c r="E61" s="123" t="str">
        <f t="shared" si="2"/>
        <v>Simples</v>
      </c>
      <c r="F61" s="133">
        <f t="shared" si="2"/>
        <v>4.8</v>
      </c>
      <c r="G61" s="133">
        <f t="shared" si="2"/>
        <v>24</v>
      </c>
      <c r="H61" s="134">
        <v>441.6</v>
      </c>
      <c r="I61" s="134">
        <v>115.20000000000002</v>
      </c>
      <c r="J61" s="134">
        <v>38.400000000000006</v>
      </c>
      <c r="K61" s="134">
        <v>0</v>
      </c>
      <c r="L61" s="134">
        <v>72</v>
      </c>
      <c r="M61" s="134">
        <v>36</v>
      </c>
      <c r="N61" s="134">
        <v>14.4</v>
      </c>
      <c r="O61" s="134">
        <v>24</v>
      </c>
      <c r="P61" s="134">
        <v>21.2</v>
      </c>
      <c r="Q61" s="134">
        <v>0</v>
      </c>
      <c r="R61" s="134">
        <v>21.200000000000003</v>
      </c>
      <c r="S61" s="134">
        <v>23.6</v>
      </c>
      <c r="T61" s="327">
        <v>0</v>
      </c>
    </row>
    <row r="62" spans="1:20" ht="12.95" customHeight="1" x14ac:dyDescent="0.2">
      <c r="A62" s="324">
        <f t="shared" si="2"/>
        <v>22</v>
      </c>
      <c r="B62" s="133" t="str">
        <f t="shared" si="2"/>
        <v>CÓRREGO PASSATEMPO 4</v>
      </c>
      <c r="C62" s="133" t="str">
        <f t="shared" si="2"/>
        <v>21°29'23.36''S</v>
      </c>
      <c r="D62" s="133" t="str">
        <f t="shared" si="2"/>
        <v>54°52'56.83''W</v>
      </c>
      <c r="E62" s="123" t="str">
        <f t="shared" si="2"/>
        <v>Simples</v>
      </c>
      <c r="F62" s="133">
        <f t="shared" si="2"/>
        <v>4.4000000000000004</v>
      </c>
      <c r="G62" s="133">
        <f t="shared" si="2"/>
        <v>14.3</v>
      </c>
      <c r="H62" s="134">
        <v>263.12</v>
      </c>
      <c r="I62" s="134">
        <v>68.640000000000015</v>
      </c>
      <c r="J62" s="134">
        <v>22.880000000000003</v>
      </c>
      <c r="K62" s="134">
        <v>0</v>
      </c>
      <c r="L62" s="134">
        <v>36</v>
      </c>
      <c r="M62" s="134">
        <v>18</v>
      </c>
      <c r="N62" s="134">
        <v>13.200000000000001</v>
      </c>
      <c r="O62" s="134">
        <v>14.400000000000002</v>
      </c>
      <c r="P62" s="134">
        <v>11.760000000000003</v>
      </c>
      <c r="Q62" s="134">
        <v>0</v>
      </c>
      <c r="R62" s="134">
        <v>11.760000000000002</v>
      </c>
      <c r="S62" s="134">
        <v>13.200000000000003</v>
      </c>
      <c r="T62" s="327">
        <v>0</v>
      </c>
    </row>
    <row r="63" spans="1:20" ht="12.95" customHeight="1" x14ac:dyDescent="0.2">
      <c r="A63" s="324">
        <f t="shared" si="2"/>
        <v>23</v>
      </c>
      <c r="B63" s="133" t="str">
        <f t="shared" si="2"/>
        <v>CÓRREGO DO COQUEIRO</v>
      </c>
      <c r="C63" s="133" t="str">
        <f t="shared" si="2"/>
        <v>21°30'51.74''S</v>
      </c>
      <c r="D63" s="133" t="str">
        <f t="shared" si="2"/>
        <v>54°52'00.30''W</v>
      </c>
      <c r="E63" s="123" t="str">
        <f t="shared" si="2"/>
        <v>Simples</v>
      </c>
      <c r="F63" s="133">
        <f t="shared" si="2"/>
        <v>4.4000000000000004</v>
      </c>
      <c r="G63" s="133">
        <f t="shared" si="2"/>
        <v>22.3</v>
      </c>
      <c r="H63" s="134">
        <v>410.32</v>
      </c>
      <c r="I63" s="134">
        <v>107.03999999999999</v>
      </c>
      <c r="J63" s="134">
        <v>35.68</v>
      </c>
      <c r="K63" s="134">
        <v>0</v>
      </c>
      <c r="L63" s="134">
        <v>72</v>
      </c>
      <c r="M63" s="134">
        <v>36</v>
      </c>
      <c r="N63" s="134">
        <v>13.200000000000001</v>
      </c>
      <c r="O63" s="134">
        <v>24</v>
      </c>
      <c r="P63" s="134">
        <v>19.600000000000001</v>
      </c>
      <c r="Q63" s="134">
        <v>0</v>
      </c>
      <c r="R63" s="134">
        <v>19.600000000000001</v>
      </c>
      <c r="S63" s="134">
        <v>22</v>
      </c>
      <c r="T63" s="327">
        <v>0</v>
      </c>
    </row>
    <row r="64" spans="1:20" ht="12.95" customHeight="1" x14ac:dyDescent="0.2">
      <c r="A64" s="324">
        <f t="shared" si="2"/>
        <v>24</v>
      </c>
      <c r="B64" s="133" t="str">
        <f t="shared" si="2"/>
        <v>CÓRREGO CARRAPATO</v>
      </c>
      <c r="C64" s="133" t="str">
        <f t="shared" si="2"/>
        <v>21°32'42.64''S</v>
      </c>
      <c r="D64" s="133" t="str">
        <f t="shared" si="2"/>
        <v>55°00'59.87''W</v>
      </c>
      <c r="E64" s="123" t="str">
        <f t="shared" si="2"/>
        <v>Simples</v>
      </c>
      <c r="F64" s="133">
        <f t="shared" si="2"/>
        <v>4.4000000000000004</v>
      </c>
      <c r="G64" s="133">
        <f t="shared" si="2"/>
        <v>18</v>
      </c>
      <c r="H64" s="134">
        <v>331.2</v>
      </c>
      <c r="I64" s="134">
        <v>86.4</v>
      </c>
      <c r="J64" s="134">
        <v>28.8</v>
      </c>
      <c r="K64" s="134">
        <v>0</v>
      </c>
      <c r="L64" s="134">
        <v>54</v>
      </c>
      <c r="M64" s="134">
        <v>27</v>
      </c>
      <c r="N64" s="134">
        <v>13.200000000000001</v>
      </c>
      <c r="O64" s="134">
        <v>19.200000000000003</v>
      </c>
      <c r="P64" s="134">
        <v>15.680000000000001</v>
      </c>
      <c r="Q64" s="134">
        <v>0</v>
      </c>
      <c r="R64" s="134">
        <v>15.680000000000001</v>
      </c>
      <c r="S64" s="134">
        <v>17.600000000000001</v>
      </c>
      <c r="T64" s="327">
        <v>0</v>
      </c>
    </row>
    <row r="65" spans="1:20" ht="12.95" customHeight="1" x14ac:dyDescent="0.2">
      <c r="A65" s="324">
        <f t="shared" si="2"/>
        <v>25</v>
      </c>
      <c r="B65" s="133" t="str">
        <f t="shared" si="2"/>
        <v>CÓRREGO BARRA MANSA</v>
      </c>
      <c r="C65" s="133" t="str">
        <f t="shared" si="2"/>
        <v>21°45'26.00"S</v>
      </c>
      <c r="D65" s="133" t="str">
        <f t="shared" si="2"/>
        <v>54°10'16.90"W</v>
      </c>
      <c r="E65" s="123" t="str">
        <f t="shared" si="2"/>
        <v>Simples</v>
      </c>
      <c r="F65" s="133">
        <f t="shared" si="2"/>
        <v>5</v>
      </c>
      <c r="G65" s="133">
        <f t="shared" si="2"/>
        <v>5.6</v>
      </c>
      <c r="H65" s="134">
        <v>103.03999999999999</v>
      </c>
      <c r="I65" s="134">
        <v>26.879999999999995</v>
      </c>
      <c r="J65" s="134">
        <v>8.9599999999999991</v>
      </c>
      <c r="K65" s="134">
        <v>0</v>
      </c>
      <c r="L65" s="134">
        <v>18</v>
      </c>
      <c r="M65" s="134">
        <v>9</v>
      </c>
      <c r="N65" s="134">
        <v>15</v>
      </c>
      <c r="O65" s="134">
        <v>9.6000000000000014</v>
      </c>
      <c r="P65" s="134">
        <v>8.8000000000000007</v>
      </c>
      <c r="Q65" s="134">
        <v>0</v>
      </c>
      <c r="R65" s="134">
        <v>8.8000000000000007</v>
      </c>
      <c r="S65" s="134">
        <v>9.9200000000000017</v>
      </c>
      <c r="T65" s="327">
        <v>0</v>
      </c>
    </row>
    <row r="66" spans="1:20" ht="12.95" customHeight="1" x14ac:dyDescent="0.2">
      <c r="A66" s="324">
        <f t="shared" si="2"/>
        <v>26</v>
      </c>
      <c r="B66" s="133" t="str">
        <f t="shared" si="2"/>
        <v>CÓRREGO PASSATEMPO 5</v>
      </c>
      <c r="C66" s="133" t="str">
        <f t="shared" si="2"/>
        <v>21°29'57.99''S</v>
      </c>
      <c r="D66" s="133" t="str">
        <f t="shared" si="2"/>
        <v>54°43'07.39''W</v>
      </c>
      <c r="E66" s="123" t="str">
        <f t="shared" si="2"/>
        <v>Simples</v>
      </c>
      <c r="F66" s="133">
        <f t="shared" si="2"/>
        <v>4.4000000000000004</v>
      </c>
      <c r="G66" s="133">
        <f t="shared" si="2"/>
        <v>22.3</v>
      </c>
      <c r="H66" s="134">
        <v>410.32</v>
      </c>
      <c r="I66" s="134">
        <v>107.03999999999999</v>
      </c>
      <c r="J66" s="134">
        <v>35.68</v>
      </c>
      <c r="K66" s="134">
        <v>0</v>
      </c>
      <c r="L66" s="134">
        <v>72</v>
      </c>
      <c r="M66" s="134">
        <v>36</v>
      </c>
      <c r="N66" s="134">
        <v>13.200000000000001</v>
      </c>
      <c r="O66" s="134">
        <v>24</v>
      </c>
      <c r="P66" s="134">
        <v>19.600000000000001</v>
      </c>
      <c r="Q66" s="134">
        <v>0</v>
      </c>
      <c r="R66" s="134">
        <v>19.600000000000001</v>
      </c>
      <c r="S66" s="134">
        <v>22</v>
      </c>
      <c r="T66" s="327">
        <v>0</v>
      </c>
    </row>
    <row r="67" spans="1:20" ht="12.95" customHeight="1" x14ac:dyDescent="0.2">
      <c r="A67" s="324"/>
      <c r="B67" s="132"/>
      <c r="C67" s="132"/>
      <c r="D67" s="132"/>
      <c r="E67" s="123"/>
      <c r="F67" s="132"/>
      <c r="G67" s="123"/>
      <c r="H67" s="134"/>
      <c r="I67" s="134"/>
      <c r="J67" s="134"/>
      <c r="K67" s="134"/>
      <c r="L67" s="134"/>
      <c r="M67" s="134"/>
      <c r="N67" s="134"/>
      <c r="O67" s="134"/>
      <c r="P67" s="134"/>
      <c r="Q67" s="134"/>
      <c r="R67" s="134"/>
      <c r="S67" s="134"/>
      <c r="T67" s="327"/>
    </row>
    <row r="68" spans="1:20" ht="12.95" customHeight="1" x14ac:dyDescent="0.2">
      <c r="A68" s="521" t="s">
        <v>81</v>
      </c>
      <c r="B68" s="522"/>
      <c r="C68" s="522"/>
      <c r="D68" s="522"/>
      <c r="E68" s="522"/>
      <c r="F68" s="522"/>
      <c r="G68" s="78">
        <f>SUM(G41:G66)</f>
        <v>335.70000000000005</v>
      </c>
      <c r="H68" s="78">
        <f t="shared" ref="H68:S68" si="3">SUM(H41:H66)</f>
        <v>6176.8799999999992</v>
      </c>
      <c r="I68" s="78">
        <f t="shared" si="3"/>
        <v>1611.3600000000001</v>
      </c>
      <c r="J68" s="78">
        <f t="shared" si="3"/>
        <v>537.12000000000012</v>
      </c>
      <c r="K68" s="78">
        <f t="shared" si="3"/>
        <v>0</v>
      </c>
      <c r="L68" s="78">
        <f t="shared" si="3"/>
        <v>1008</v>
      </c>
      <c r="M68" s="78">
        <f t="shared" si="3"/>
        <v>504</v>
      </c>
      <c r="N68" s="78">
        <f t="shared" si="3"/>
        <v>352.79999999999984</v>
      </c>
      <c r="O68" s="78">
        <f t="shared" si="3"/>
        <v>393.6</v>
      </c>
      <c r="P68" s="78">
        <f t="shared" si="3"/>
        <v>328.80000000000013</v>
      </c>
      <c r="Q68" s="78">
        <f t="shared" si="3"/>
        <v>0</v>
      </c>
      <c r="R68" s="78">
        <f t="shared" si="3"/>
        <v>328.80000000000013</v>
      </c>
      <c r="S68" s="78">
        <f t="shared" si="3"/>
        <v>368.96000000000009</v>
      </c>
      <c r="T68" s="328">
        <v>0</v>
      </c>
    </row>
    <row r="69" spans="1:20" ht="12.95" customHeight="1" thickBot="1" x14ac:dyDescent="0.25">
      <c r="A69" s="534"/>
      <c r="B69" s="535"/>
      <c r="C69" s="535"/>
      <c r="D69" s="535"/>
      <c r="E69" s="535"/>
      <c r="F69" s="535"/>
      <c r="G69" s="535"/>
      <c r="H69" s="535"/>
      <c r="I69" s="535"/>
      <c r="J69" s="535"/>
      <c r="K69" s="535"/>
      <c r="L69" s="535"/>
      <c r="M69" s="535"/>
      <c r="N69" s="535"/>
      <c r="O69" s="535"/>
      <c r="P69" s="535"/>
      <c r="Q69" s="535"/>
      <c r="R69" s="535"/>
      <c r="S69" s="535"/>
      <c r="T69" s="536"/>
    </row>
    <row r="70" spans="1:20" ht="12.95" customHeight="1" x14ac:dyDescent="0.2">
      <c r="A70" s="523" t="s">
        <v>0</v>
      </c>
      <c r="B70" s="527" t="s">
        <v>1</v>
      </c>
      <c r="C70" s="527"/>
      <c r="D70" s="527"/>
      <c r="E70" s="527"/>
      <c r="F70" s="527"/>
      <c r="G70" s="527"/>
      <c r="H70" s="525" t="s">
        <v>204</v>
      </c>
      <c r="I70" s="525"/>
      <c r="J70" s="525"/>
      <c r="K70" s="525"/>
      <c r="L70" s="525"/>
      <c r="M70" s="525"/>
      <c r="N70" s="525"/>
      <c r="O70" s="525"/>
      <c r="P70" s="525"/>
      <c r="Q70" s="525"/>
      <c r="R70" s="525"/>
      <c r="S70" s="525"/>
      <c r="T70" s="526"/>
    </row>
    <row r="71" spans="1:20" ht="24.95" customHeight="1" x14ac:dyDescent="0.2">
      <c r="A71" s="524"/>
      <c r="B71" s="318" t="s">
        <v>504</v>
      </c>
      <c r="C71" s="318" t="str">
        <f>'2 - Serviços'!$C$9</f>
        <v>Latitude</v>
      </c>
      <c r="D71" s="319" t="str">
        <f>'2 - Serviços'!$D$9</f>
        <v>Longitude</v>
      </c>
      <c r="E71" s="320" t="str">
        <f>'2 - Serviços'!$E$9</f>
        <v>Vigamento</v>
      </c>
      <c r="F71" s="319" t="str">
        <f>'2 - Serviços'!$F$9</f>
        <v>Largura (m)</v>
      </c>
      <c r="G71" s="320" t="str">
        <f>'2 - Serviços'!$G$9</f>
        <v>Extensão (m)</v>
      </c>
      <c r="H71" s="296" t="s">
        <v>8</v>
      </c>
      <c r="I71" s="312" t="s">
        <v>9</v>
      </c>
      <c r="J71" s="296" t="s">
        <v>18</v>
      </c>
      <c r="K71" s="296" t="s">
        <v>72</v>
      </c>
      <c r="L71" s="296" t="s">
        <v>58</v>
      </c>
      <c r="M71" s="296" t="s">
        <v>417</v>
      </c>
      <c r="N71" s="312" t="str">
        <f>N40</f>
        <v>C. Aterro</v>
      </c>
      <c r="O71" s="312" t="s">
        <v>37</v>
      </c>
      <c r="P71" s="296" t="s">
        <v>38</v>
      </c>
      <c r="Q71" s="296" t="s">
        <v>39</v>
      </c>
      <c r="R71" s="296" t="str">
        <f>R40</f>
        <v>Trav. Inf.</v>
      </c>
      <c r="S71" s="296" t="s">
        <v>15</v>
      </c>
      <c r="T71" s="326" t="str">
        <f>T40</f>
        <v>Cravação</v>
      </c>
    </row>
    <row r="72" spans="1:20" ht="12.95" customHeight="1" x14ac:dyDescent="0.2">
      <c r="A72" s="324">
        <f t="shared" ref="A72:P74" si="4">A41</f>
        <v>1</v>
      </c>
      <c r="B72" s="133" t="str">
        <f t="shared" si="4"/>
        <v>CÓRREGO DO CHINELO</v>
      </c>
      <c r="C72" s="133" t="str">
        <f t="shared" si="4"/>
        <v>21°53'30.35''S</v>
      </c>
      <c r="D72" s="133" t="str">
        <f t="shared" si="4"/>
        <v>54°35'16.91''W</v>
      </c>
      <c r="E72" s="123" t="str">
        <f t="shared" si="4"/>
        <v>Simples</v>
      </c>
      <c r="F72" s="133">
        <f t="shared" si="4"/>
        <v>5</v>
      </c>
      <c r="G72" s="133">
        <f t="shared" si="4"/>
        <v>13</v>
      </c>
      <c r="H72" s="134">
        <f>H41</f>
        <v>239.2</v>
      </c>
      <c r="I72" s="134">
        <f t="shared" ref="I72:T72" si="5">I41</f>
        <v>62.400000000000006</v>
      </c>
      <c r="J72" s="134">
        <f t="shared" si="5"/>
        <v>20.8</v>
      </c>
      <c r="K72" s="134">
        <f t="shared" si="5"/>
        <v>0</v>
      </c>
      <c r="L72" s="134">
        <f t="shared" si="5"/>
        <v>36</v>
      </c>
      <c r="M72" s="134">
        <f t="shared" si="5"/>
        <v>18</v>
      </c>
      <c r="N72" s="134">
        <f t="shared" si="5"/>
        <v>15</v>
      </c>
      <c r="O72" s="134">
        <f t="shared" si="5"/>
        <v>14.400000000000002</v>
      </c>
      <c r="P72" s="134">
        <f t="shared" si="5"/>
        <v>13.200000000000003</v>
      </c>
      <c r="Q72" s="134">
        <f t="shared" si="5"/>
        <v>0</v>
      </c>
      <c r="R72" s="134">
        <f t="shared" si="5"/>
        <v>13.200000000000001</v>
      </c>
      <c r="S72" s="134">
        <f t="shared" si="5"/>
        <v>14.880000000000003</v>
      </c>
      <c r="T72" s="134">
        <f t="shared" si="5"/>
        <v>0</v>
      </c>
    </row>
    <row r="73" spans="1:20" ht="12.95" customHeight="1" x14ac:dyDescent="0.2">
      <c r="A73" s="324">
        <f t="shared" si="4"/>
        <v>2</v>
      </c>
      <c r="B73" s="133" t="str">
        <f t="shared" si="4"/>
        <v>CÓRREGO AREIAS</v>
      </c>
      <c r="C73" s="133" t="str">
        <f t="shared" si="4"/>
        <v>21°48'55.89''S</v>
      </c>
      <c r="D73" s="133" t="str">
        <f t="shared" si="4"/>
        <v>54°32'36.89''W</v>
      </c>
      <c r="E73" s="123" t="str">
        <f t="shared" si="4"/>
        <v>Simples</v>
      </c>
      <c r="F73" s="133">
        <f t="shared" si="4"/>
        <v>4.4000000000000004</v>
      </c>
      <c r="G73" s="133">
        <f t="shared" si="4"/>
        <v>6</v>
      </c>
      <c r="H73" s="134">
        <f t="shared" si="4"/>
        <v>110.4</v>
      </c>
      <c r="I73" s="134">
        <f t="shared" si="4"/>
        <v>28.800000000000004</v>
      </c>
      <c r="J73" s="134">
        <f t="shared" si="4"/>
        <v>9.6000000000000014</v>
      </c>
      <c r="K73" s="134">
        <f t="shared" si="4"/>
        <v>0</v>
      </c>
      <c r="L73" s="134">
        <f t="shared" si="4"/>
        <v>18</v>
      </c>
      <c r="M73" s="134">
        <f t="shared" si="4"/>
        <v>9</v>
      </c>
      <c r="N73" s="134">
        <f t="shared" si="4"/>
        <v>13.200000000000001</v>
      </c>
      <c r="O73" s="134">
        <f t="shared" si="4"/>
        <v>9.6000000000000014</v>
      </c>
      <c r="P73" s="134">
        <f t="shared" si="4"/>
        <v>7.8400000000000007</v>
      </c>
      <c r="Q73" s="134">
        <f t="shared" ref="Q73:T73" si="6">Q42</f>
        <v>0</v>
      </c>
      <c r="R73" s="134">
        <f t="shared" si="6"/>
        <v>7.8400000000000007</v>
      </c>
      <c r="S73" s="134">
        <f t="shared" si="6"/>
        <v>8.8000000000000007</v>
      </c>
      <c r="T73" s="134">
        <f t="shared" si="6"/>
        <v>0</v>
      </c>
    </row>
    <row r="74" spans="1:20" ht="12.95" customHeight="1" x14ac:dyDescent="0.2">
      <c r="A74" s="324">
        <f t="shared" si="4"/>
        <v>3</v>
      </c>
      <c r="B74" s="133" t="str">
        <f t="shared" si="4"/>
        <v>CÓRREGO ARARAS</v>
      </c>
      <c r="C74" s="133" t="str">
        <f t="shared" si="4"/>
        <v>21°47'42.63''S</v>
      </c>
      <c r="D74" s="133" t="str">
        <f t="shared" si="4"/>
        <v>54°31'56.42''W</v>
      </c>
      <c r="E74" s="123" t="str">
        <f t="shared" si="4"/>
        <v>Simples</v>
      </c>
      <c r="F74" s="133">
        <f t="shared" si="4"/>
        <v>4.8</v>
      </c>
      <c r="G74" s="133">
        <f t="shared" si="4"/>
        <v>12</v>
      </c>
      <c r="H74" s="134">
        <f t="shared" si="4"/>
        <v>220.8</v>
      </c>
      <c r="I74" s="134">
        <f t="shared" si="4"/>
        <v>57.600000000000009</v>
      </c>
      <c r="J74" s="134">
        <f t="shared" si="4"/>
        <v>19.200000000000003</v>
      </c>
      <c r="K74" s="134">
        <f t="shared" si="4"/>
        <v>0</v>
      </c>
      <c r="L74" s="134">
        <f t="shared" si="4"/>
        <v>36</v>
      </c>
      <c r="M74" s="134">
        <f t="shared" si="4"/>
        <v>18</v>
      </c>
      <c r="N74" s="134">
        <f t="shared" si="4"/>
        <v>14.4</v>
      </c>
      <c r="O74" s="134">
        <f t="shared" si="4"/>
        <v>14.400000000000002</v>
      </c>
      <c r="P74" s="134">
        <f t="shared" si="4"/>
        <v>12.72</v>
      </c>
      <c r="Q74" s="134">
        <f t="shared" ref="Q74:T74" si="7">Q43</f>
        <v>0</v>
      </c>
      <c r="R74" s="134">
        <f t="shared" si="7"/>
        <v>12.72</v>
      </c>
      <c r="S74" s="134">
        <f t="shared" si="7"/>
        <v>14.160000000000004</v>
      </c>
      <c r="T74" s="134">
        <f t="shared" si="7"/>
        <v>0</v>
      </c>
    </row>
    <row r="75" spans="1:20" ht="12.95" customHeight="1" x14ac:dyDescent="0.2">
      <c r="A75" s="324">
        <f t="shared" ref="A75:P84" si="8">A44</f>
        <v>4</v>
      </c>
      <c r="B75" s="133" t="str">
        <f t="shared" si="8"/>
        <v>CÓRREGO FORMIGA</v>
      </c>
      <c r="C75" s="133" t="str">
        <f t="shared" si="8"/>
        <v>21°39'27.48''S</v>
      </c>
      <c r="D75" s="133" t="str">
        <f t="shared" si="8"/>
        <v>54°25'31.76''W</v>
      </c>
      <c r="E75" s="123" t="str">
        <f t="shared" si="8"/>
        <v>Simples</v>
      </c>
      <c r="F75" s="133">
        <f t="shared" si="8"/>
        <v>4.4000000000000004</v>
      </c>
      <c r="G75" s="133">
        <f t="shared" si="8"/>
        <v>13.2</v>
      </c>
      <c r="H75" s="134">
        <f t="shared" si="8"/>
        <v>242.88</v>
      </c>
      <c r="I75" s="134">
        <f t="shared" si="8"/>
        <v>63.36</v>
      </c>
      <c r="J75" s="134">
        <f t="shared" si="8"/>
        <v>21.12</v>
      </c>
      <c r="K75" s="134">
        <f t="shared" si="8"/>
        <v>0</v>
      </c>
      <c r="L75" s="134">
        <f t="shared" si="8"/>
        <v>36</v>
      </c>
      <c r="M75" s="134">
        <f t="shared" si="8"/>
        <v>18</v>
      </c>
      <c r="N75" s="134">
        <f t="shared" si="8"/>
        <v>13.200000000000001</v>
      </c>
      <c r="O75" s="134">
        <f t="shared" si="8"/>
        <v>14.400000000000002</v>
      </c>
      <c r="P75" s="134">
        <f t="shared" si="8"/>
        <v>11.760000000000003</v>
      </c>
      <c r="Q75" s="134">
        <f t="shared" ref="Q75:T75" si="9">Q44</f>
        <v>0</v>
      </c>
      <c r="R75" s="134">
        <f t="shared" si="9"/>
        <v>11.760000000000002</v>
      </c>
      <c r="S75" s="134">
        <f t="shared" si="9"/>
        <v>13.200000000000003</v>
      </c>
      <c r="T75" s="134">
        <f t="shared" si="9"/>
        <v>0</v>
      </c>
    </row>
    <row r="76" spans="1:20" ht="12.95" customHeight="1" x14ac:dyDescent="0.2">
      <c r="A76" s="324">
        <f t="shared" si="8"/>
        <v>5</v>
      </c>
      <c r="B76" s="133" t="str">
        <f t="shared" si="8"/>
        <v>CÓRREGO ANTINHA</v>
      </c>
      <c r="C76" s="133" t="str">
        <f t="shared" si="8"/>
        <v>21°38'42.22''S</v>
      </c>
      <c r="D76" s="133" t="str">
        <f t="shared" si="8"/>
        <v>54°27'12.82''W</v>
      </c>
      <c r="E76" s="123" t="str">
        <f t="shared" si="8"/>
        <v>Simples</v>
      </c>
      <c r="F76" s="133">
        <f t="shared" si="8"/>
        <v>4.4000000000000004</v>
      </c>
      <c r="G76" s="133">
        <f t="shared" si="8"/>
        <v>7.2</v>
      </c>
      <c r="H76" s="134">
        <f t="shared" si="8"/>
        <v>132.48000000000002</v>
      </c>
      <c r="I76" s="134">
        <f t="shared" si="8"/>
        <v>34.56</v>
      </c>
      <c r="J76" s="134">
        <f t="shared" si="8"/>
        <v>11.520000000000001</v>
      </c>
      <c r="K76" s="134">
        <f t="shared" si="8"/>
        <v>0</v>
      </c>
      <c r="L76" s="134">
        <f t="shared" si="8"/>
        <v>18</v>
      </c>
      <c r="M76" s="134">
        <f t="shared" si="8"/>
        <v>9</v>
      </c>
      <c r="N76" s="134">
        <f t="shared" si="8"/>
        <v>13.200000000000001</v>
      </c>
      <c r="O76" s="134">
        <f t="shared" si="8"/>
        <v>9.6000000000000014</v>
      </c>
      <c r="P76" s="134">
        <f t="shared" si="8"/>
        <v>7.8400000000000007</v>
      </c>
      <c r="Q76" s="134">
        <f t="shared" ref="Q76:T76" si="10">Q45</f>
        <v>0</v>
      </c>
      <c r="R76" s="134">
        <f t="shared" si="10"/>
        <v>7.8400000000000007</v>
      </c>
      <c r="S76" s="134">
        <f t="shared" si="10"/>
        <v>8.8000000000000007</v>
      </c>
      <c r="T76" s="134">
        <f t="shared" si="10"/>
        <v>0</v>
      </c>
    </row>
    <row r="77" spans="1:20" ht="12.95" customHeight="1" x14ac:dyDescent="0.2">
      <c r="A77" s="324">
        <f t="shared" si="8"/>
        <v>6</v>
      </c>
      <c r="B77" s="133" t="str">
        <f t="shared" si="8"/>
        <v>CÓRREGO FORMIGA</v>
      </c>
      <c r="C77" s="133" t="str">
        <f t="shared" si="8"/>
        <v>21°38'56.23''S</v>
      </c>
      <c r="D77" s="133" t="str">
        <f t="shared" si="8"/>
        <v>54°25'01.82''W</v>
      </c>
      <c r="E77" s="123" t="str">
        <f t="shared" si="8"/>
        <v>Simples</v>
      </c>
      <c r="F77" s="133">
        <f t="shared" si="8"/>
        <v>4.4000000000000004</v>
      </c>
      <c r="G77" s="133">
        <f t="shared" si="8"/>
        <v>12</v>
      </c>
      <c r="H77" s="134">
        <f t="shared" si="8"/>
        <v>220.8</v>
      </c>
      <c r="I77" s="134">
        <f t="shared" si="8"/>
        <v>57.600000000000009</v>
      </c>
      <c r="J77" s="134">
        <f t="shared" si="8"/>
        <v>19.200000000000003</v>
      </c>
      <c r="K77" s="134">
        <f t="shared" si="8"/>
        <v>0</v>
      </c>
      <c r="L77" s="134">
        <f t="shared" si="8"/>
        <v>36</v>
      </c>
      <c r="M77" s="134">
        <f t="shared" si="8"/>
        <v>18</v>
      </c>
      <c r="N77" s="134">
        <f t="shared" si="8"/>
        <v>13.200000000000001</v>
      </c>
      <c r="O77" s="134">
        <f t="shared" si="8"/>
        <v>14.400000000000002</v>
      </c>
      <c r="P77" s="134">
        <f t="shared" si="8"/>
        <v>11.760000000000003</v>
      </c>
      <c r="Q77" s="134">
        <f t="shared" ref="Q77:T77" si="11">Q46</f>
        <v>0</v>
      </c>
      <c r="R77" s="134">
        <f t="shared" si="11"/>
        <v>11.760000000000002</v>
      </c>
      <c r="S77" s="134">
        <f t="shared" si="11"/>
        <v>13.200000000000003</v>
      </c>
      <c r="T77" s="134">
        <f t="shared" si="11"/>
        <v>0</v>
      </c>
    </row>
    <row r="78" spans="1:20" ht="12.95" customHeight="1" x14ac:dyDescent="0.2">
      <c r="A78" s="324">
        <f t="shared" si="8"/>
        <v>7</v>
      </c>
      <c r="B78" s="133" t="str">
        <f t="shared" si="8"/>
        <v>CÓRREGO QUILOMBO</v>
      </c>
      <c r="C78" s="133" t="str">
        <f t="shared" si="8"/>
        <v>21°42'14.33''S</v>
      </c>
      <c r="D78" s="133" t="str">
        <f t="shared" si="8"/>
        <v>54°20'39.58''W</v>
      </c>
      <c r="E78" s="123" t="str">
        <f t="shared" si="8"/>
        <v>Simples</v>
      </c>
      <c r="F78" s="133">
        <f t="shared" si="8"/>
        <v>4.4000000000000004</v>
      </c>
      <c r="G78" s="133">
        <f t="shared" si="8"/>
        <v>6.8</v>
      </c>
      <c r="H78" s="134">
        <f t="shared" si="8"/>
        <v>125.12</v>
      </c>
      <c r="I78" s="134">
        <f t="shared" si="8"/>
        <v>32.64</v>
      </c>
      <c r="J78" s="134">
        <f t="shared" si="8"/>
        <v>10.88</v>
      </c>
      <c r="K78" s="134">
        <f t="shared" si="8"/>
        <v>0</v>
      </c>
      <c r="L78" s="134">
        <f t="shared" si="8"/>
        <v>18</v>
      </c>
      <c r="M78" s="134">
        <f t="shared" si="8"/>
        <v>9</v>
      </c>
      <c r="N78" s="134">
        <f t="shared" si="8"/>
        <v>13.200000000000001</v>
      </c>
      <c r="O78" s="134">
        <f t="shared" si="8"/>
        <v>9.6000000000000014</v>
      </c>
      <c r="P78" s="134">
        <f t="shared" si="8"/>
        <v>7.8400000000000007</v>
      </c>
      <c r="Q78" s="134">
        <f t="shared" ref="Q78:T78" si="12">Q47</f>
        <v>0</v>
      </c>
      <c r="R78" s="134">
        <f t="shared" si="12"/>
        <v>7.8400000000000007</v>
      </c>
      <c r="S78" s="134">
        <f t="shared" si="12"/>
        <v>8.8000000000000007</v>
      </c>
      <c r="T78" s="134">
        <f t="shared" si="12"/>
        <v>0</v>
      </c>
    </row>
    <row r="79" spans="1:20" ht="12.95" customHeight="1" x14ac:dyDescent="0.2">
      <c r="A79" s="324">
        <f t="shared" si="8"/>
        <v>8</v>
      </c>
      <c r="B79" s="133" t="str">
        <f t="shared" si="8"/>
        <v>ARROIO CORREGUINHO</v>
      </c>
      <c r="C79" s="133" t="str">
        <f t="shared" si="8"/>
        <v>21°42'39.87''S</v>
      </c>
      <c r="D79" s="133" t="str">
        <f t="shared" si="8"/>
        <v>54°18'52.81''W</v>
      </c>
      <c r="E79" s="123" t="str">
        <f t="shared" si="8"/>
        <v>Simples</v>
      </c>
      <c r="F79" s="133">
        <f t="shared" si="8"/>
        <v>4.4000000000000004</v>
      </c>
      <c r="G79" s="133">
        <f t="shared" si="8"/>
        <v>5.8</v>
      </c>
      <c r="H79" s="134">
        <f t="shared" si="8"/>
        <v>106.71999999999998</v>
      </c>
      <c r="I79" s="134">
        <f t="shared" si="8"/>
        <v>27.839999999999996</v>
      </c>
      <c r="J79" s="134">
        <f t="shared" si="8"/>
        <v>9.2799999999999994</v>
      </c>
      <c r="K79" s="134">
        <f t="shared" si="8"/>
        <v>0</v>
      </c>
      <c r="L79" s="134">
        <f t="shared" si="8"/>
        <v>18</v>
      </c>
      <c r="M79" s="134">
        <f t="shared" si="8"/>
        <v>9</v>
      </c>
      <c r="N79" s="134">
        <f t="shared" si="8"/>
        <v>13.200000000000001</v>
      </c>
      <c r="O79" s="134">
        <f t="shared" si="8"/>
        <v>9.6000000000000014</v>
      </c>
      <c r="P79" s="134">
        <f t="shared" si="8"/>
        <v>7.8400000000000007</v>
      </c>
      <c r="Q79" s="134">
        <f t="shared" ref="Q79:T79" si="13">Q48</f>
        <v>0</v>
      </c>
      <c r="R79" s="134">
        <f t="shared" si="13"/>
        <v>7.8400000000000007</v>
      </c>
      <c r="S79" s="134">
        <f t="shared" si="13"/>
        <v>8.8000000000000007</v>
      </c>
      <c r="T79" s="134">
        <f t="shared" si="13"/>
        <v>0</v>
      </c>
    </row>
    <row r="80" spans="1:20" ht="12.95" customHeight="1" x14ac:dyDescent="0.2">
      <c r="A80" s="324">
        <f t="shared" si="8"/>
        <v>9</v>
      </c>
      <c r="B80" s="133" t="str">
        <f t="shared" si="8"/>
        <v>CÓRREGO GUATAMBU</v>
      </c>
      <c r="C80" s="133" t="str">
        <f t="shared" si="8"/>
        <v>21°43'17.70"S</v>
      </c>
      <c r="D80" s="133" t="str">
        <f t="shared" si="8"/>
        <v>54°16'36.10"W</v>
      </c>
      <c r="E80" s="123" t="str">
        <f t="shared" si="8"/>
        <v>Simples</v>
      </c>
      <c r="F80" s="133">
        <f t="shared" si="8"/>
        <v>4.4000000000000004</v>
      </c>
      <c r="G80" s="133">
        <f t="shared" si="8"/>
        <v>10.6</v>
      </c>
      <c r="H80" s="134">
        <f t="shared" si="8"/>
        <v>195.04000000000002</v>
      </c>
      <c r="I80" s="134">
        <f t="shared" si="8"/>
        <v>50.88</v>
      </c>
      <c r="J80" s="134">
        <f t="shared" si="8"/>
        <v>16.96</v>
      </c>
      <c r="K80" s="134">
        <f t="shared" si="8"/>
        <v>0</v>
      </c>
      <c r="L80" s="134">
        <f t="shared" si="8"/>
        <v>36</v>
      </c>
      <c r="M80" s="134">
        <f t="shared" si="8"/>
        <v>18</v>
      </c>
      <c r="N80" s="134">
        <f t="shared" si="8"/>
        <v>13.200000000000001</v>
      </c>
      <c r="O80" s="134">
        <f t="shared" si="8"/>
        <v>14.400000000000002</v>
      </c>
      <c r="P80" s="134">
        <f t="shared" si="8"/>
        <v>11.760000000000003</v>
      </c>
      <c r="Q80" s="134">
        <f t="shared" ref="Q80:T80" si="14">Q49</f>
        <v>0</v>
      </c>
      <c r="R80" s="134">
        <f t="shared" si="14"/>
        <v>11.760000000000002</v>
      </c>
      <c r="S80" s="134">
        <f t="shared" si="14"/>
        <v>13.200000000000003</v>
      </c>
      <c r="T80" s="134">
        <f t="shared" si="14"/>
        <v>0</v>
      </c>
    </row>
    <row r="81" spans="1:20" ht="12.95" customHeight="1" x14ac:dyDescent="0.2">
      <c r="A81" s="324">
        <f t="shared" si="8"/>
        <v>10</v>
      </c>
      <c r="B81" s="133" t="str">
        <f t="shared" si="8"/>
        <v>CÓRREGO QUILOMBO</v>
      </c>
      <c r="C81" s="133" t="str">
        <f t="shared" si="8"/>
        <v>21°42'51.11''S</v>
      </c>
      <c r="D81" s="133" t="str">
        <f t="shared" si="8"/>
        <v>54°16'52.81''W</v>
      </c>
      <c r="E81" s="123" t="str">
        <f t="shared" si="8"/>
        <v>Simples</v>
      </c>
      <c r="F81" s="133">
        <f t="shared" si="8"/>
        <v>4.4000000000000004</v>
      </c>
      <c r="G81" s="133">
        <f t="shared" si="8"/>
        <v>5.8</v>
      </c>
      <c r="H81" s="134">
        <f t="shared" si="8"/>
        <v>106.71999999999998</v>
      </c>
      <c r="I81" s="134">
        <f t="shared" si="8"/>
        <v>27.839999999999996</v>
      </c>
      <c r="J81" s="134">
        <f t="shared" si="8"/>
        <v>9.2799999999999994</v>
      </c>
      <c r="K81" s="134">
        <f t="shared" si="8"/>
        <v>0</v>
      </c>
      <c r="L81" s="134">
        <f t="shared" si="8"/>
        <v>18</v>
      </c>
      <c r="M81" s="134">
        <f t="shared" si="8"/>
        <v>9</v>
      </c>
      <c r="N81" s="134">
        <f t="shared" si="8"/>
        <v>13.200000000000001</v>
      </c>
      <c r="O81" s="134">
        <f t="shared" si="8"/>
        <v>9.6000000000000014</v>
      </c>
      <c r="P81" s="134">
        <f t="shared" si="8"/>
        <v>7.8400000000000007</v>
      </c>
      <c r="Q81" s="134">
        <f t="shared" ref="Q81:T81" si="15">Q50</f>
        <v>0</v>
      </c>
      <c r="R81" s="134">
        <f t="shared" si="15"/>
        <v>7.8400000000000007</v>
      </c>
      <c r="S81" s="134">
        <f t="shared" si="15"/>
        <v>8.8000000000000007</v>
      </c>
      <c r="T81" s="134">
        <f t="shared" si="15"/>
        <v>0</v>
      </c>
    </row>
    <row r="82" spans="1:20" ht="12.95" customHeight="1" x14ac:dyDescent="0.2">
      <c r="A82" s="324">
        <f t="shared" si="8"/>
        <v>11</v>
      </c>
      <c r="B82" s="133" t="str">
        <f t="shared" si="8"/>
        <v>CÓRREGO SAPÉ</v>
      </c>
      <c r="C82" s="133" t="str">
        <f t="shared" si="8"/>
        <v>21°44'57.50"S</v>
      </c>
      <c r="D82" s="133" t="str">
        <f t="shared" si="8"/>
        <v>54°18'00.40"W</v>
      </c>
      <c r="E82" s="123" t="str">
        <f t="shared" si="8"/>
        <v>Simples</v>
      </c>
      <c r="F82" s="133">
        <f t="shared" si="8"/>
        <v>4.4000000000000004</v>
      </c>
      <c r="G82" s="133">
        <f t="shared" si="8"/>
        <v>10.8</v>
      </c>
      <c r="H82" s="134">
        <f t="shared" si="8"/>
        <v>198.72</v>
      </c>
      <c r="I82" s="134">
        <f t="shared" si="8"/>
        <v>51.84</v>
      </c>
      <c r="J82" s="134">
        <f t="shared" si="8"/>
        <v>17.28</v>
      </c>
      <c r="K82" s="134">
        <f t="shared" si="8"/>
        <v>0</v>
      </c>
      <c r="L82" s="134">
        <f t="shared" si="8"/>
        <v>36</v>
      </c>
      <c r="M82" s="134">
        <f t="shared" si="8"/>
        <v>18</v>
      </c>
      <c r="N82" s="134">
        <f t="shared" si="8"/>
        <v>13.200000000000001</v>
      </c>
      <c r="O82" s="134">
        <f t="shared" si="8"/>
        <v>14.400000000000002</v>
      </c>
      <c r="P82" s="134">
        <f t="shared" si="8"/>
        <v>11.760000000000003</v>
      </c>
      <c r="Q82" s="134">
        <f t="shared" ref="Q82:T82" si="16">Q51</f>
        <v>0</v>
      </c>
      <c r="R82" s="134">
        <f t="shared" si="16"/>
        <v>11.760000000000002</v>
      </c>
      <c r="S82" s="134">
        <f t="shared" si="16"/>
        <v>13.200000000000003</v>
      </c>
      <c r="T82" s="134">
        <f t="shared" si="16"/>
        <v>0</v>
      </c>
    </row>
    <row r="83" spans="1:20" ht="12.95" customHeight="1" x14ac:dyDescent="0.2">
      <c r="A83" s="324">
        <f t="shared" si="8"/>
        <v>12</v>
      </c>
      <c r="B83" s="133" t="str">
        <f t="shared" si="8"/>
        <v>CÓRREGO JUREMA</v>
      </c>
      <c r="C83" s="133" t="str">
        <f t="shared" si="8"/>
        <v>21°47'02.84''S</v>
      </c>
      <c r="D83" s="133" t="str">
        <f t="shared" si="8"/>
        <v>54°14'35.61''W</v>
      </c>
      <c r="E83" s="123" t="str">
        <f t="shared" si="8"/>
        <v>Simples</v>
      </c>
      <c r="F83" s="133">
        <f t="shared" si="8"/>
        <v>4.4000000000000004</v>
      </c>
      <c r="G83" s="133">
        <f t="shared" si="8"/>
        <v>7.1</v>
      </c>
      <c r="H83" s="134">
        <f t="shared" si="8"/>
        <v>130.63999999999999</v>
      </c>
      <c r="I83" s="134">
        <f t="shared" si="8"/>
        <v>34.08</v>
      </c>
      <c r="J83" s="134">
        <f t="shared" si="8"/>
        <v>11.36</v>
      </c>
      <c r="K83" s="134">
        <f t="shared" si="8"/>
        <v>0</v>
      </c>
      <c r="L83" s="134">
        <f t="shared" si="8"/>
        <v>18</v>
      </c>
      <c r="M83" s="134">
        <f t="shared" si="8"/>
        <v>9</v>
      </c>
      <c r="N83" s="134">
        <f t="shared" si="8"/>
        <v>13.200000000000001</v>
      </c>
      <c r="O83" s="134">
        <f t="shared" si="8"/>
        <v>9.6000000000000014</v>
      </c>
      <c r="P83" s="134">
        <f t="shared" si="8"/>
        <v>7.8400000000000007</v>
      </c>
      <c r="Q83" s="134">
        <f t="shared" ref="Q83:T83" si="17">Q52</f>
        <v>0</v>
      </c>
      <c r="R83" s="134">
        <f t="shared" si="17"/>
        <v>7.8400000000000007</v>
      </c>
      <c r="S83" s="134">
        <f t="shared" si="17"/>
        <v>8.8000000000000007</v>
      </c>
      <c r="T83" s="134">
        <f t="shared" si="17"/>
        <v>0</v>
      </c>
    </row>
    <row r="84" spans="1:20" ht="12.95" customHeight="1" x14ac:dyDescent="0.2">
      <c r="A84" s="324">
        <f t="shared" si="8"/>
        <v>13</v>
      </c>
      <c r="B84" s="133" t="str">
        <f t="shared" si="8"/>
        <v>CÓRREGO ARACI</v>
      </c>
      <c r="C84" s="133" t="str">
        <f t="shared" si="8"/>
        <v>21°45'04.33''S</v>
      </c>
      <c r="D84" s="133" t="str">
        <f t="shared" si="8"/>
        <v>54°12'41.25''W</v>
      </c>
      <c r="E84" s="123" t="str">
        <f t="shared" si="8"/>
        <v>Simples</v>
      </c>
      <c r="F84" s="133">
        <f t="shared" si="8"/>
        <v>4.4000000000000004</v>
      </c>
      <c r="G84" s="133">
        <f t="shared" si="8"/>
        <v>6.4</v>
      </c>
      <c r="H84" s="134">
        <f t="shared" si="8"/>
        <v>117.76000000000002</v>
      </c>
      <c r="I84" s="134">
        <f t="shared" si="8"/>
        <v>30.720000000000006</v>
      </c>
      <c r="J84" s="134">
        <f t="shared" si="8"/>
        <v>10.240000000000002</v>
      </c>
      <c r="K84" s="134">
        <f t="shared" si="8"/>
        <v>0</v>
      </c>
      <c r="L84" s="134">
        <f t="shared" si="8"/>
        <v>18</v>
      </c>
      <c r="M84" s="134">
        <f t="shared" si="8"/>
        <v>9</v>
      </c>
      <c r="N84" s="134">
        <f t="shared" si="8"/>
        <v>13.200000000000001</v>
      </c>
      <c r="O84" s="134">
        <f t="shared" si="8"/>
        <v>9.6000000000000014</v>
      </c>
      <c r="P84" s="134">
        <f t="shared" si="8"/>
        <v>7.8400000000000007</v>
      </c>
      <c r="Q84" s="134">
        <f t="shared" ref="Q84:T84" si="18">Q53</f>
        <v>0</v>
      </c>
      <c r="R84" s="134">
        <f t="shared" si="18"/>
        <v>7.8400000000000007</v>
      </c>
      <c r="S84" s="134">
        <f t="shared" si="18"/>
        <v>8.8000000000000007</v>
      </c>
      <c r="T84" s="134">
        <f t="shared" si="18"/>
        <v>0</v>
      </c>
    </row>
    <row r="85" spans="1:20" ht="12.95" customHeight="1" x14ac:dyDescent="0.2">
      <c r="A85" s="324">
        <f t="shared" ref="A85:P94" si="19">A54</f>
        <v>14</v>
      </c>
      <c r="B85" s="133" t="str">
        <f t="shared" si="19"/>
        <v>CÓRREGO ANHUMAS</v>
      </c>
      <c r="C85" s="133" t="str">
        <f t="shared" si="19"/>
        <v>21°51'40.49''S</v>
      </c>
      <c r="D85" s="133" t="str">
        <f t="shared" si="19"/>
        <v>54°08'14.26''W</v>
      </c>
      <c r="E85" s="123" t="str">
        <f t="shared" si="19"/>
        <v>Simples</v>
      </c>
      <c r="F85" s="133">
        <f t="shared" si="19"/>
        <v>4.4000000000000004</v>
      </c>
      <c r="G85" s="133">
        <f t="shared" si="19"/>
        <v>11.8</v>
      </c>
      <c r="H85" s="134">
        <f t="shared" si="19"/>
        <v>217.12</v>
      </c>
      <c r="I85" s="134">
        <f t="shared" si="19"/>
        <v>56.640000000000008</v>
      </c>
      <c r="J85" s="134">
        <f t="shared" si="19"/>
        <v>18.880000000000003</v>
      </c>
      <c r="K85" s="134">
        <f t="shared" si="19"/>
        <v>0</v>
      </c>
      <c r="L85" s="134">
        <f t="shared" si="19"/>
        <v>36</v>
      </c>
      <c r="M85" s="134">
        <f t="shared" si="19"/>
        <v>18</v>
      </c>
      <c r="N85" s="134">
        <f t="shared" si="19"/>
        <v>13.200000000000001</v>
      </c>
      <c r="O85" s="134">
        <f t="shared" si="19"/>
        <v>14.400000000000002</v>
      </c>
      <c r="P85" s="134">
        <f t="shared" si="19"/>
        <v>11.760000000000003</v>
      </c>
      <c r="Q85" s="134">
        <f t="shared" ref="Q85:T85" si="20">Q54</f>
        <v>0</v>
      </c>
      <c r="R85" s="134">
        <f t="shared" si="20"/>
        <v>11.760000000000002</v>
      </c>
      <c r="S85" s="134">
        <f t="shared" si="20"/>
        <v>13.200000000000003</v>
      </c>
      <c r="T85" s="134">
        <f t="shared" si="20"/>
        <v>0</v>
      </c>
    </row>
    <row r="86" spans="1:20" ht="12.95" customHeight="1" x14ac:dyDescent="0.2">
      <c r="A86" s="324">
        <f t="shared" si="19"/>
        <v>15</v>
      </c>
      <c r="B86" s="133" t="str">
        <f t="shared" si="19"/>
        <v>CÓRREGO CHIFRE DO VIADO</v>
      </c>
      <c r="C86" s="133" t="str">
        <f t="shared" si="19"/>
        <v>21°40'35.65''S</v>
      </c>
      <c r="D86" s="133" t="str">
        <f t="shared" si="19"/>
        <v>54°56'15.44''W</v>
      </c>
      <c r="E86" s="123" t="str">
        <f t="shared" si="19"/>
        <v>Simples</v>
      </c>
      <c r="F86" s="133">
        <f t="shared" si="19"/>
        <v>5</v>
      </c>
      <c r="G86" s="133">
        <f t="shared" si="19"/>
        <v>12</v>
      </c>
      <c r="H86" s="134">
        <f t="shared" si="19"/>
        <v>220.8</v>
      </c>
      <c r="I86" s="134">
        <f t="shared" si="19"/>
        <v>57.600000000000009</v>
      </c>
      <c r="J86" s="134">
        <f t="shared" si="19"/>
        <v>19.200000000000003</v>
      </c>
      <c r="K86" s="134">
        <f t="shared" si="19"/>
        <v>0</v>
      </c>
      <c r="L86" s="134">
        <f t="shared" si="19"/>
        <v>36</v>
      </c>
      <c r="M86" s="134">
        <f t="shared" si="19"/>
        <v>18</v>
      </c>
      <c r="N86" s="134">
        <f t="shared" si="19"/>
        <v>15</v>
      </c>
      <c r="O86" s="134">
        <f t="shared" si="19"/>
        <v>14.400000000000002</v>
      </c>
      <c r="P86" s="134">
        <f t="shared" si="19"/>
        <v>13.200000000000003</v>
      </c>
      <c r="Q86" s="134">
        <f t="shared" ref="Q86:T86" si="21">Q55</f>
        <v>0</v>
      </c>
      <c r="R86" s="134">
        <f t="shared" si="21"/>
        <v>13.200000000000001</v>
      </c>
      <c r="S86" s="134">
        <f t="shared" si="21"/>
        <v>14.880000000000003</v>
      </c>
      <c r="T86" s="134">
        <f t="shared" si="21"/>
        <v>0</v>
      </c>
    </row>
    <row r="87" spans="1:20" ht="12.95" customHeight="1" x14ac:dyDescent="0.2">
      <c r="A87" s="324">
        <f t="shared" si="19"/>
        <v>16</v>
      </c>
      <c r="B87" s="133" t="str">
        <f t="shared" si="19"/>
        <v>CÓRREGO SANTA RITA</v>
      </c>
      <c r="C87" s="133" t="str">
        <f t="shared" si="19"/>
        <v>21°33'23.75''S</v>
      </c>
      <c r="D87" s="133" t="str">
        <f t="shared" si="19"/>
        <v>54°35'26.66''W</v>
      </c>
      <c r="E87" s="123" t="str">
        <f t="shared" si="19"/>
        <v>Simples</v>
      </c>
      <c r="F87" s="133">
        <f t="shared" si="19"/>
        <v>4.4000000000000004</v>
      </c>
      <c r="G87" s="133">
        <f t="shared" si="19"/>
        <v>22.1</v>
      </c>
      <c r="H87" s="134">
        <f t="shared" si="19"/>
        <v>406.64000000000004</v>
      </c>
      <c r="I87" s="134">
        <f t="shared" si="19"/>
        <v>106.08000000000001</v>
      </c>
      <c r="J87" s="134">
        <f t="shared" si="19"/>
        <v>35.360000000000007</v>
      </c>
      <c r="K87" s="134">
        <f t="shared" si="19"/>
        <v>0</v>
      </c>
      <c r="L87" s="134">
        <f t="shared" si="19"/>
        <v>72</v>
      </c>
      <c r="M87" s="134">
        <f t="shared" si="19"/>
        <v>36</v>
      </c>
      <c r="N87" s="134">
        <f t="shared" si="19"/>
        <v>13.200000000000001</v>
      </c>
      <c r="O87" s="134">
        <f t="shared" si="19"/>
        <v>24</v>
      </c>
      <c r="P87" s="134">
        <f t="shared" si="19"/>
        <v>19.600000000000001</v>
      </c>
      <c r="Q87" s="134">
        <f t="shared" ref="Q87:T87" si="22">Q56</f>
        <v>0</v>
      </c>
      <c r="R87" s="134">
        <f t="shared" si="22"/>
        <v>19.600000000000001</v>
      </c>
      <c r="S87" s="134">
        <f t="shared" si="22"/>
        <v>22</v>
      </c>
      <c r="T87" s="134">
        <f t="shared" si="22"/>
        <v>0</v>
      </c>
    </row>
    <row r="88" spans="1:20" ht="12.95" customHeight="1" x14ac:dyDescent="0.2">
      <c r="A88" s="324">
        <f t="shared" si="19"/>
        <v>17</v>
      </c>
      <c r="B88" s="133" t="str">
        <f t="shared" si="19"/>
        <v>RIO SERROTE</v>
      </c>
      <c r="C88" s="133" t="str">
        <f t="shared" si="19"/>
        <v>21°25'01.14''S</v>
      </c>
      <c r="D88" s="133" t="str">
        <f t="shared" si="19"/>
        <v>54°43'16.96''W</v>
      </c>
      <c r="E88" s="123" t="str">
        <f t="shared" si="19"/>
        <v>Simples</v>
      </c>
      <c r="F88" s="133">
        <f t="shared" si="19"/>
        <v>4.4000000000000004</v>
      </c>
      <c r="G88" s="133">
        <f t="shared" si="19"/>
        <v>24.6</v>
      </c>
      <c r="H88" s="134">
        <f t="shared" si="19"/>
        <v>452.64000000000004</v>
      </c>
      <c r="I88" s="134">
        <f t="shared" si="19"/>
        <v>118.08000000000001</v>
      </c>
      <c r="J88" s="134">
        <f t="shared" si="19"/>
        <v>39.360000000000007</v>
      </c>
      <c r="K88" s="134">
        <f t="shared" si="19"/>
        <v>0</v>
      </c>
      <c r="L88" s="134">
        <f t="shared" si="19"/>
        <v>72</v>
      </c>
      <c r="M88" s="134">
        <f t="shared" si="19"/>
        <v>36</v>
      </c>
      <c r="N88" s="134">
        <f t="shared" si="19"/>
        <v>13.200000000000001</v>
      </c>
      <c r="O88" s="134">
        <f t="shared" si="19"/>
        <v>24</v>
      </c>
      <c r="P88" s="134">
        <f t="shared" si="19"/>
        <v>19.600000000000001</v>
      </c>
      <c r="Q88" s="134">
        <f t="shared" ref="Q88:T88" si="23">Q57</f>
        <v>0</v>
      </c>
      <c r="R88" s="134">
        <f t="shared" si="23"/>
        <v>19.600000000000001</v>
      </c>
      <c r="S88" s="134">
        <f t="shared" si="23"/>
        <v>22</v>
      </c>
      <c r="T88" s="134">
        <f t="shared" si="23"/>
        <v>0</v>
      </c>
    </row>
    <row r="89" spans="1:20" ht="12.95" customHeight="1" x14ac:dyDescent="0.2">
      <c r="A89" s="324">
        <f t="shared" si="19"/>
        <v>18</v>
      </c>
      <c r="B89" s="133" t="str">
        <f t="shared" si="19"/>
        <v>CÓRREGO PASSATEMPO 1</v>
      </c>
      <c r="C89" s="133" t="str">
        <f t="shared" si="19"/>
        <v>21°29'34.92''S</v>
      </c>
      <c r="D89" s="133" t="str">
        <f t="shared" si="19"/>
        <v>54°49'18.44''W</v>
      </c>
      <c r="E89" s="123" t="str">
        <f t="shared" si="19"/>
        <v>Simples</v>
      </c>
      <c r="F89" s="133">
        <f t="shared" si="19"/>
        <v>4.4000000000000004</v>
      </c>
      <c r="G89" s="133">
        <f t="shared" si="19"/>
        <v>16.399999999999999</v>
      </c>
      <c r="H89" s="134">
        <f t="shared" si="19"/>
        <v>301.75999999999993</v>
      </c>
      <c r="I89" s="134">
        <f t="shared" si="19"/>
        <v>78.72</v>
      </c>
      <c r="J89" s="134">
        <f t="shared" si="19"/>
        <v>26.24</v>
      </c>
      <c r="K89" s="134">
        <f t="shared" si="19"/>
        <v>0</v>
      </c>
      <c r="L89" s="134">
        <f t="shared" si="19"/>
        <v>54</v>
      </c>
      <c r="M89" s="134">
        <f t="shared" si="19"/>
        <v>27</v>
      </c>
      <c r="N89" s="134">
        <f t="shared" si="19"/>
        <v>13.200000000000001</v>
      </c>
      <c r="O89" s="134">
        <f t="shared" si="19"/>
        <v>19.200000000000003</v>
      </c>
      <c r="P89" s="134">
        <f t="shared" si="19"/>
        <v>15.680000000000001</v>
      </c>
      <c r="Q89" s="134">
        <f t="shared" ref="Q89:T89" si="24">Q58</f>
        <v>0</v>
      </c>
      <c r="R89" s="134">
        <f t="shared" si="24"/>
        <v>15.680000000000001</v>
      </c>
      <c r="S89" s="134">
        <f t="shared" si="24"/>
        <v>17.600000000000001</v>
      </c>
      <c r="T89" s="134">
        <f t="shared" si="24"/>
        <v>0</v>
      </c>
    </row>
    <row r="90" spans="1:20" ht="12.95" customHeight="1" x14ac:dyDescent="0.2">
      <c r="A90" s="324">
        <f t="shared" si="19"/>
        <v>19</v>
      </c>
      <c r="B90" s="133" t="str">
        <f t="shared" si="19"/>
        <v>CÓRREGO PASSATEMPO 2</v>
      </c>
      <c r="C90" s="133" t="str">
        <f t="shared" si="19"/>
        <v>21°29'33.39''S</v>
      </c>
      <c r="D90" s="133" t="str">
        <f t="shared" si="19"/>
        <v>54°49'17.44''W</v>
      </c>
      <c r="E90" s="123" t="str">
        <f t="shared" si="19"/>
        <v>Simples</v>
      </c>
      <c r="F90" s="133">
        <f t="shared" si="19"/>
        <v>4.4000000000000004</v>
      </c>
      <c r="G90" s="133">
        <f t="shared" si="19"/>
        <v>19.600000000000001</v>
      </c>
      <c r="H90" s="134">
        <f t="shared" si="19"/>
        <v>360.64</v>
      </c>
      <c r="I90" s="134">
        <f t="shared" si="19"/>
        <v>94.080000000000013</v>
      </c>
      <c r="J90" s="134">
        <f t="shared" si="19"/>
        <v>31.360000000000003</v>
      </c>
      <c r="K90" s="134">
        <f t="shared" si="19"/>
        <v>0</v>
      </c>
      <c r="L90" s="134">
        <f t="shared" si="19"/>
        <v>54</v>
      </c>
      <c r="M90" s="134">
        <f t="shared" si="19"/>
        <v>27</v>
      </c>
      <c r="N90" s="134">
        <f t="shared" si="19"/>
        <v>13.200000000000001</v>
      </c>
      <c r="O90" s="134">
        <f t="shared" si="19"/>
        <v>19.200000000000003</v>
      </c>
      <c r="P90" s="134">
        <f t="shared" si="19"/>
        <v>15.680000000000001</v>
      </c>
      <c r="Q90" s="134">
        <f t="shared" ref="Q90:T90" si="25">Q59</f>
        <v>0</v>
      </c>
      <c r="R90" s="134">
        <f t="shared" si="25"/>
        <v>15.680000000000001</v>
      </c>
      <c r="S90" s="134">
        <f t="shared" si="25"/>
        <v>17.600000000000001</v>
      </c>
      <c r="T90" s="134">
        <f t="shared" si="25"/>
        <v>0</v>
      </c>
    </row>
    <row r="91" spans="1:20" ht="12.95" customHeight="1" x14ac:dyDescent="0.2">
      <c r="A91" s="324">
        <f t="shared" si="19"/>
        <v>20</v>
      </c>
      <c r="B91" s="133" t="str">
        <f t="shared" si="19"/>
        <v>CÓRREGO PASSATEMPO 3</v>
      </c>
      <c r="C91" s="133" t="str">
        <f t="shared" si="19"/>
        <v>21°28'09.42''S</v>
      </c>
      <c r="D91" s="133" t="str">
        <f t="shared" si="19"/>
        <v>54°48'01.11''W</v>
      </c>
      <c r="E91" s="123" t="str">
        <f t="shared" si="19"/>
        <v>Simples</v>
      </c>
      <c r="F91" s="133">
        <f t="shared" si="19"/>
        <v>5</v>
      </c>
      <c r="G91" s="133">
        <f t="shared" si="19"/>
        <v>6</v>
      </c>
      <c r="H91" s="134">
        <f t="shared" si="19"/>
        <v>110.4</v>
      </c>
      <c r="I91" s="134">
        <f t="shared" si="19"/>
        <v>28.800000000000004</v>
      </c>
      <c r="J91" s="134">
        <f t="shared" si="19"/>
        <v>9.6000000000000014</v>
      </c>
      <c r="K91" s="134">
        <f t="shared" si="19"/>
        <v>0</v>
      </c>
      <c r="L91" s="134">
        <f t="shared" si="19"/>
        <v>18</v>
      </c>
      <c r="M91" s="134">
        <f t="shared" si="19"/>
        <v>9</v>
      </c>
      <c r="N91" s="134">
        <f t="shared" si="19"/>
        <v>15</v>
      </c>
      <c r="O91" s="134">
        <f t="shared" si="19"/>
        <v>9.6000000000000014</v>
      </c>
      <c r="P91" s="134">
        <f t="shared" si="19"/>
        <v>8.8000000000000007</v>
      </c>
      <c r="Q91" s="134">
        <f t="shared" ref="Q91:T91" si="26">Q60</f>
        <v>0</v>
      </c>
      <c r="R91" s="134">
        <f t="shared" si="26"/>
        <v>8.8000000000000007</v>
      </c>
      <c r="S91" s="134">
        <f t="shared" si="26"/>
        <v>9.9200000000000017</v>
      </c>
      <c r="T91" s="134">
        <f t="shared" si="26"/>
        <v>0</v>
      </c>
    </row>
    <row r="92" spans="1:20" ht="12.95" customHeight="1" x14ac:dyDescent="0.2">
      <c r="A92" s="324">
        <f t="shared" si="19"/>
        <v>21</v>
      </c>
      <c r="B92" s="133" t="str">
        <f t="shared" si="19"/>
        <v>CÓRREGO TAQUARA</v>
      </c>
      <c r="C92" s="133" t="str">
        <f t="shared" si="19"/>
        <v>21°21'07.90''S</v>
      </c>
      <c r="D92" s="133" t="str">
        <f t="shared" si="19"/>
        <v>54°50'07.01''W</v>
      </c>
      <c r="E92" s="123" t="str">
        <f t="shared" si="19"/>
        <v>Simples</v>
      </c>
      <c r="F92" s="133">
        <f t="shared" si="19"/>
        <v>4.8</v>
      </c>
      <c r="G92" s="133">
        <f t="shared" si="19"/>
        <v>24</v>
      </c>
      <c r="H92" s="134">
        <f t="shared" si="19"/>
        <v>441.6</v>
      </c>
      <c r="I92" s="134">
        <f t="shared" si="19"/>
        <v>115.20000000000002</v>
      </c>
      <c r="J92" s="134">
        <f t="shared" si="19"/>
        <v>38.400000000000006</v>
      </c>
      <c r="K92" s="134">
        <f t="shared" si="19"/>
        <v>0</v>
      </c>
      <c r="L92" s="134">
        <f t="shared" si="19"/>
        <v>72</v>
      </c>
      <c r="M92" s="134">
        <f t="shared" si="19"/>
        <v>36</v>
      </c>
      <c r="N92" s="134">
        <f t="shared" si="19"/>
        <v>14.4</v>
      </c>
      <c r="O92" s="134">
        <f t="shared" si="19"/>
        <v>24</v>
      </c>
      <c r="P92" s="134">
        <f t="shared" si="19"/>
        <v>21.2</v>
      </c>
      <c r="Q92" s="134">
        <f t="shared" ref="Q92:T92" si="27">Q61</f>
        <v>0</v>
      </c>
      <c r="R92" s="134">
        <f t="shared" si="27"/>
        <v>21.200000000000003</v>
      </c>
      <c r="S92" s="134">
        <f t="shared" si="27"/>
        <v>23.6</v>
      </c>
      <c r="T92" s="134">
        <f t="shared" si="27"/>
        <v>0</v>
      </c>
    </row>
    <row r="93" spans="1:20" ht="12.95" customHeight="1" x14ac:dyDescent="0.2">
      <c r="A93" s="324">
        <f t="shared" si="19"/>
        <v>22</v>
      </c>
      <c r="B93" s="133" t="str">
        <f t="shared" si="19"/>
        <v>CÓRREGO PASSATEMPO 4</v>
      </c>
      <c r="C93" s="133" t="str">
        <f t="shared" si="19"/>
        <v>21°29'23.36''S</v>
      </c>
      <c r="D93" s="133" t="str">
        <f t="shared" si="19"/>
        <v>54°52'56.83''W</v>
      </c>
      <c r="E93" s="123" t="str">
        <f t="shared" si="19"/>
        <v>Simples</v>
      </c>
      <c r="F93" s="133">
        <f t="shared" si="19"/>
        <v>4.4000000000000004</v>
      </c>
      <c r="G93" s="133">
        <f t="shared" si="19"/>
        <v>14.3</v>
      </c>
      <c r="H93" s="134">
        <f t="shared" si="19"/>
        <v>263.12</v>
      </c>
      <c r="I93" s="134">
        <f t="shared" si="19"/>
        <v>68.640000000000015</v>
      </c>
      <c r="J93" s="134">
        <f t="shared" si="19"/>
        <v>22.880000000000003</v>
      </c>
      <c r="K93" s="134">
        <f t="shared" si="19"/>
        <v>0</v>
      </c>
      <c r="L93" s="134">
        <f t="shared" si="19"/>
        <v>36</v>
      </c>
      <c r="M93" s="134">
        <f t="shared" si="19"/>
        <v>18</v>
      </c>
      <c r="N93" s="134">
        <f t="shared" si="19"/>
        <v>13.200000000000001</v>
      </c>
      <c r="O93" s="134">
        <f t="shared" si="19"/>
        <v>14.400000000000002</v>
      </c>
      <c r="P93" s="134">
        <f t="shared" si="19"/>
        <v>11.760000000000003</v>
      </c>
      <c r="Q93" s="134">
        <f t="shared" ref="Q93:T93" si="28">Q62</f>
        <v>0</v>
      </c>
      <c r="R93" s="134">
        <f t="shared" si="28"/>
        <v>11.760000000000002</v>
      </c>
      <c r="S93" s="134">
        <f t="shared" si="28"/>
        <v>13.200000000000003</v>
      </c>
      <c r="T93" s="134">
        <f t="shared" si="28"/>
        <v>0</v>
      </c>
    </row>
    <row r="94" spans="1:20" ht="12.95" customHeight="1" x14ac:dyDescent="0.2">
      <c r="A94" s="324">
        <f t="shared" si="19"/>
        <v>23</v>
      </c>
      <c r="B94" s="133" t="str">
        <f t="shared" si="19"/>
        <v>CÓRREGO DO COQUEIRO</v>
      </c>
      <c r="C94" s="133" t="str">
        <f t="shared" si="19"/>
        <v>21°30'51.74''S</v>
      </c>
      <c r="D94" s="133" t="str">
        <f t="shared" si="19"/>
        <v>54°52'00.30''W</v>
      </c>
      <c r="E94" s="123" t="str">
        <f t="shared" si="19"/>
        <v>Simples</v>
      </c>
      <c r="F94" s="133">
        <f t="shared" si="19"/>
        <v>4.4000000000000004</v>
      </c>
      <c r="G94" s="133">
        <f t="shared" si="19"/>
        <v>22.3</v>
      </c>
      <c r="H94" s="134">
        <f t="shared" si="19"/>
        <v>410.32</v>
      </c>
      <c r="I94" s="134">
        <f t="shared" si="19"/>
        <v>107.03999999999999</v>
      </c>
      <c r="J94" s="134">
        <f t="shared" si="19"/>
        <v>35.68</v>
      </c>
      <c r="K94" s="134">
        <f t="shared" si="19"/>
        <v>0</v>
      </c>
      <c r="L94" s="134">
        <f t="shared" si="19"/>
        <v>72</v>
      </c>
      <c r="M94" s="134">
        <f t="shared" si="19"/>
        <v>36</v>
      </c>
      <c r="N94" s="134">
        <f t="shared" si="19"/>
        <v>13.200000000000001</v>
      </c>
      <c r="O94" s="134">
        <f t="shared" si="19"/>
        <v>24</v>
      </c>
      <c r="P94" s="134">
        <f t="shared" si="19"/>
        <v>19.600000000000001</v>
      </c>
      <c r="Q94" s="134">
        <f t="shared" ref="Q94:T94" si="29">Q63</f>
        <v>0</v>
      </c>
      <c r="R94" s="134">
        <f t="shared" si="29"/>
        <v>19.600000000000001</v>
      </c>
      <c r="S94" s="134">
        <f t="shared" si="29"/>
        <v>22</v>
      </c>
      <c r="T94" s="134">
        <f t="shared" si="29"/>
        <v>0</v>
      </c>
    </row>
    <row r="95" spans="1:20" ht="12.95" customHeight="1" x14ac:dyDescent="0.2">
      <c r="A95" s="324">
        <f t="shared" ref="A95:P97" si="30">A64</f>
        <v>24</v>
      </c>
      <c r="B95" s="133" t="str">
        <f t="shared" si="30"/>
        <v>CÓRREGO CARRAPATO</v>
      </c>
      <c r="C95" s="133" t="str">
        <f t="shared" si="30"/>
        <v>21°32'42.64''S</v>
      </c>
      <c r="D95" s="133" t="str">
        <f t="shared" si="30"/>
        <v>55°00'59.87''W</v>
      </c>
      <c r="E95" s="123" t="str">
        <f t="shared" si="30"/>
        <v>Simples</v>
      </c>
      <c r="F95" s="133">
        <f t="shared" si="30"/>
        <v>4.4000000000000004</v>
      </c>
      <c r="G95" s="133">
        <f t="shared" si="30"/>
        <v>18</v>
      </c>
      <c r="H95" s="134">
        <f t="shared" si="30"/>
        <v>331.2</v>
      </c>
      <c r="I95" s="134">
        <f t="shared" si="30"/>
        <v>86.4</v>
      </c>
      <c r="J95" s="134">
        <f t="shared" si="30"/>
        <v>28.8</v>
      </c>
      <c r="K95" s="134">
        <f t="shared" si="30"/>
        <v>0</v>
      </c>
      <c r="L95" s="134">
        <f t="shared" si="30"/>
        <v>54</v>
      </c>
      <c r="M95" s="134">
        <f t="shared" si="30"/>
        <v>27</v>
      </c>
      <c r="N95" s="134">
        <f t="shared" si="30"/>
        <v>13.200000000000001</v>
      </c>
      <c r="O95" s="134">
        <f t="shared" si="30"/>
        <v>19.200000000000003</v>
      </c>
      <c r="P95" s="134">
        <f t="shared" si="30"/>
        <v>15.680000000000001</v>
      </c>
      <c r="Q95" s="134">
        <f t="shared" ref="Q95:T95" si="31">Q64</f>
        <v>0</v>
      </c>
      <c r="R95" s="134">
        <f t="shared" si="31"/>
        <v>15.680000000000001</v>
      </c>
      <c r="S95" s="134">
        <f t="shared" si="31"/>
        <v>17.600000000000001</v>
      </c>
      <c r="T95" s="134">
        <f t="shared" si="31"/>
        <v>0</v>
      </c>
    </row>
    <row r="96" spans="1:20" ht="12.95" customHeight="1" x14ac:dyDescent="0.2">
      <c r="A96" s="324">
        <f t="shared" si="30"/>
        <v>25</v>
      </c>
      <c r="B96" s="133" t="str">
        <f t="shared" si="30"/>
        <v>CÓRREGO BARRA MANSA</v>
      </c>
      <c r="C96" s="133" t="str">
        <f t="shared" si="30"/>
        <v>21°45'26.00"S</v>
      </c>
      <c r="D96" s="133" t="str">
        <f t="shared" si="30"/>
        <v>54°10'16.90"W</v>
      </c>
      <c r="E96" s="123" t="str">
        <f t="shared" si="30"/>
        <v>Simples</v>
      </c>
      <c r="F96" s="133">
        <f t="shared" si="30"/>
        <v>5</v>
      </c>
      <c r="G96" s="133">
        <f t="shared" si="30"/>
        <v>5.6</v>
      </c>
      <c r="H96" s="134">
        <f t="shared" si="30"/>
        <v>103.03999999999999</v>
      </c>
      <c r="I96" s="134">
        <f t="shared" si="30"/>
        <v>26.879999999999995</v>
      </c>
      <c r="J96" s="134">
        <f t="shared" si="30"/>
        <v>8.9599999999999991</v>
      </c>
      <c r="K96" s="134">
        <f t="shared" si="30"/>
        <v>0</v>
      </c>
      <c r="L96" s="134">
        <f t="shared" si="30"/>
        <v>18</v>
      </c>
      <c r="M96" s="134">
        <f t="shared" si="30"/>
        <v>9</v>
      </c>
      <c r="N96" s="134">
        <f t="shared" si="30"/>
        <v>15</v>
      </c>
      <c r="O96" s="134">
        <f t="shared" si="30"/>
        <v>9.6000000000000014</v>
      </c>
      <c r="P96" s="134">
        <f t="shared" si="30"/>
        <v>8.8000000000000007</v>
      </c>
      <c r="Q96" s="134">
        <f t="shared" ref="Q96:T96" si="32">Q65</f>
        <v>0</v>
      </c>
      <c r="R96" s="134">
        <f t="shared" si="32"/>
        <v>8.8000000000000007</v>
      </c>
      <c r="S96" s="134">
        <f t="shared" si="32"/>
        <v>9.9200000000000017</v>
      </c>
      <c r="T96" s="134">
        <f t="shared" si="32"/>
        <v>0</v>
      </c>
    </row>
    <row r="97" spans="1:22" ht="12.95" customHeight="1" x14ac:dyDescent="0.2">
      <c r="A97" s="324">
        <f t="shared" si="30"/>
        <v>26</v>
      </c>
      <c r="B97" s="133" t="str">
        <f t="shared" si="30"/>
        <v>CÓRREGO PASSATEMPO 5</v>
      </c>
      <c r="C97" s="133" t="str">
        <f t="shared" si="30"/>
        <v>21°29'57.99''S</v>
      </c>
      <c r="D97" s="133" t="str">
        <f t="shared" si="30"/>
        <v>54°43'07.39''W</v>
      </c>
      <c r="E97" s="123" t="str">
        <f t="shared" si="30"/>
        <v>Simples</v>
      </c>
      <c r="F97" s="133">
        <f t="shared" si="30"/>
        <v>4.4000000000000004</v>
      </c>
      <c r="G97" s="133">
        <f t="shared" si="30"/>
        <v>22.3</v>
      </c>
      <c r="H97" s="134">
        <f t="shared" si="30"/>
        <v>410.32</v>
      </c>
      <c r="I97" s="134">
        <f t="shared" si="30"/>
        <v>107.03999999999999</v>
      </c>
      <c r="J97" s="134">
        <f t="shared" si="30"/>
        <v>35.68</v>
      </c>
      <c r="K97" s="134">
        <f t="shared" si="30"/>
        <v>0</v>
      </c>
      <c r="L97" s="134">
        <f t="shared" si="30"/>
        <v>72</v>
      </c>
      <c r="M97" s="134">
        <f t="shared" si="30"/>
        <v>36</v>
      </c>
      <c r="N97" s="134">
        <f t="shared" si="30"/>
        <v>13.200000000000001</v>
      </c>
      <c r="O97" s="134">
        <f t="shared" si="30"/>
        <v>24</v>
      </c>
      <c r="P97" s="134">
        <f t="shared" si="30"/>
        <v>19.600000000000001</v>
      </c>
      <c r="Q97" s="134">
        <f t="shared" ref="Q97:T97" si="33">Q66</f>
        <v>0</v>
      </c>
      <c r="R97" s="134">
        <f t="shared" si="33"/>
        <v>19.600000000000001</v>
      </c>
      <c r="S97" s="134">
        <f t="shared" si="33"/>
        <v>22</v>
      </c>
      <c r="T97" s="134">
        <f t="shared" si="33"/>
        <v>0</v>
      </c>
    </row>
    <row r="98" spans="1:22" ht="12.95" customHeight="1" x14ac:dyDescent="0.2">
      <c r="A98" s="324"/>
      <c r="B98" s="132"/>
      <c r="C98" s="132"/>
      <c r="D98" s="132"/>
      <c r="E98" s="123"/>
      <c r="F98" s="132"/>
      <c r="G98" s="123"/>
      <c r="H98" s="134"/>
      <c r="I98" s="134"/>
      <c r="J98" s="134"/>
      <c r="K98" s="134"/>
      <c r="L98" s="134"/>
      <c r="M98" s="134"/>
      <c r="N98" s="134"/>
      <c r="O98" s="134"/>
      <c r="P98" s="134"/>
      <c r="Q98" s="134"/>
      <c r="R98" s="134"/>
      <c r="S98" s="134"/>
      <c r="T98" s="327"/>
    </row>
    <row r="99" spans="1:22" ht="12.95" customHeight="1" x14ac:dyDescent="0.2">
      <c r="A99" s="521" t="s">
        <v>81</v>
      </c>
      <c r="B99" s="522"/>
      <c r="C99" s="522"/>
      <c r="D99" s="522"/>
      <c r="E99" s="522"/>
      <c r="F99" s="522"/>
      <c r="G99" s="78">
        <f>TRUNC(SUM(G72:G98),3)</f>
        <v>335.7</v>
      </c>
      <c r="H99" s="281">
        <f>SUM(H72:H97)</f>
        <v>6176.8799999999992</v>
      </c>
      <c r="I99" s="281">
        <f t="shared" ref="I99:T99" si="34">SUM(I72:I97)</f>
        <v>1611.3600000000001</v>
      </c>
      <c r="J99" s="281">
        <f t="shared" si="34"/>
        <v>537.12000000000012</v>
      </c>
      <c r="K99" s="281">
        <f t="shared" si="34"/>
        <v>0</v>
      </c>
      <c r="L99" s="281">
        <f t="shared" si="34"/>
        <v>1008</v>
      </c>
      <c r="M99" s="281">
        <f t="shared" si="34"/>
        <v>504</v>
      </c>
      <c r="N99" s="281">
        <f t="shared" si="34"/>
        <v>352.79999999999984</v>
      </c>
      <c r="O99" s="281">
        <f t="shared" si="34"/>
        <v>393.6</v>
      </c>
      <c r="P99" s="281">
        <f t="shared" si="34"/>
        <v>328.80000000000013</v>
      </c>
      <c r="Q99" s="281">
        <f t="shared" si="34"/>
        <v>0</v>
      </c>
      <c r="R99" s="281">
        <f t="shared" si="34"/>
        <v>328.80000000000013</v>
      </c>
      <c r="S99" s="281">
        <f t="shared" si="34"/>
        <v>368.96000000000009</v>
      </c>
      <c r="T99" s="281">
        <f t="shared" si="34"/>
        <v>0</v>
      </c>
    </row>
    <row r="100" spans="1:22" s="68" customFormat="1" ht="12.95" customHeight="1" thickBot="1" x14ac:dyDescent="0.3">
      <c r="A100" s="531"/>
      <c r="B100" s="532"/>
      <c r="C100" s="532"/>
      <c r="D100" s="532"/>
      <c r="E100" s="532"/>
      <c r="F100" s="532"/>
      <c r="G100" s="532"/>
      <c r="H100" s="532"/>
      <c r="I100" s="532"/>
      <c r="J100" s="532"/>
      <c r="K100" s="532"/>
      <c r="L100" s="532"/>
      <c r="M100" s="532"/>
      <c r="N100" s="532"/>
      <c r="O100" s="532"/>
      <c r="P100" s="532"/>
      <c r="Q100" s="532"/>
      <c r="R100" s="532"/>
      <c r="S100" s="532"/>
      <c r="T100" s="533"/>
    </row>
    <row r="101" spans="1:22" ht="12.95" customHeight="1" x14ac:dyDescent="0.2">
      <c r="A101" s="523" t="s">
        <v>0</v>
      </c>
      <c r="B101" s="527" t="s">
        <v>1</v>
      </c>
      <c r="C101" s="527"/>
      <c r="D101" s="527"/>
      <c r="E101" s="527"/>
      <c r="F101" s="527"/>
      <c r="G101" s="527"/>
      <c r="H101" s="525" t="s">
        <v>35</v>
      </c>
      <c r="I101" s="525"/>
      <c r="J101" s="525"/>
      <c r="K101" s="525"/>
      <c r="L101" s="525"/>
      <c r="M101" s="525"/>
      <c r="N101" s="525"/>
      <c r="O101" s="525"/>
      <c r="P101" s="525"/>
      <c r="Q101" s="525"/>
      <c r="R101" s="525"/>
      <c r="S101" s="525"/>
      <c r="T101" s="526"/>
    </row>
    <row r="102" spans="1:22" ht="24.95" customHeight="1" x14ac:dyDescent="0.2">
      <c r="A102" s="524"/>
      <c r="B102" s="318" t="s">
        <v>504</v>
      </c>
      <c r="C102" s="318" t="str">
        <f>'2 - Serviços'!$C$9</f>
        <v>Latitude</v>
      </c>
      <c r="D102" s="319" t="str">
        <f>'2 - Serviços'!$D$9</f>
        <v>Longitude</v>
      </c>
      <c r="E102" s="320" t="str">
        <f>'2 - Serviços'!$E$9</f>
        <v>Vigamento</v>
      </c>
      <c r="F102" s="319" t="str">
        <f>'2 - Serviços'!$F$9</f>
        <v>Largura (m)</v>
      </c>
      <c r="G102" s="320" t="str">
        <f>'2 - Serviços'!$G$9</f>
        <v>Extensão (m)</v>
      </c>
      <c r="H102" s="296" t="s">
        <v>8</v>
      </c>
      <c r="I102" s="312" t="s">
        <v>9</v>
      </c>
      <c r="J102" s="296" t="s">
        <v>18</v>
      </c>
      <c r="K102" s="296" t="s">
        <v>72</v>
      </c>
      <c r="L102" s="296" t="s">
        <v>58</v>
      </c>
      <c r="M102" s="296" t="s">
        <v>12</v>
      </c>
      <c r="N102" s="312" t="s">
        <v>13</v>
      </c>
      <c r="O102" s="312" t="s">
        <v>37</v>
      </c>
      <c r="P102" s="296" t="s">
        <v>38</v>
      </c>
      <c r="Q102" s="296" t="s">
        <v>39</v>
      </c>
      <c r="R102" s="296" t="s">
        <v>243</v>
      </c>
      <c r="S102" s="296" t="s">
        <v>15</v>
      </c>
      <c r="T102" s="326" t="str">
        <f>T71</f>
        <v>Cravação</v>
      </c>
    </row>
    <row r="103" spans="1:22" ht="12.95" customHeight="1" x14ac:dyDescent="0.2">
      <c r="A103" s="324">
        <f t="shared" ref="A103:G112" si="35">A72</f>
        <v>1</v>
      </c>
      <c r="B103" s="133" t="str">
        <f t="shared" si="35"/>
        <v>CÓRREGO DO CHINELO</v>
      </c>
      <c r="C103" s="133" t="str">
        <f t="shared" si="35"/>
        <v>21°53'30.35''S</v>
      </c>
      <c r="D103" s="133" t="str">
        <f t="shared" si="35"/>
        <v>54°35'16.91''W</v>
      </c>
      <c r="E103" s="123" t="str">
        <f t="shared" si="35"/>
        <v>Simples</v>
      </c>
      <c r="F103" s="133">
        <f t="shared" si="35"/>
        <v>5</v>
      </c>
      <c r="G103" s="133">
        <f t="shared" si="35"/>
        <v>13</v>
      </c>
      <c r="H103" s="134">
        <v>1.607424</v>
      </c>
      <c r="I103" s="134">
        <v>0.67391999999999996</v>
      </c>
      <c r="J103" s="134">
        <v>0.28079999999999999</v>
      </c>
      <c r="K103" s="134">
        <v>0</v>
      </c>
      <c r="L103" s="134">
        <v>1.575</v>
      </c>
      <c r="M103" s="134">
        <v>0.78749999999999998</v>
      </c>
      <c r="N103" s="134">
        <v>0.69200000000000006</v>
      </c>
      <c r="O103" s="134">
        <v>1.08</v>
      </c>
      <c r="P103" s="134">
        <v>0.66</v>
      </c>
      <c r="Q103" s="134">
        <v>0</v>
      </c>
      <c r="R103" s="134">
        <v>0.44000000000000006</v>
      </c>
      <c r="S103" s="134">
        <v>0.29760000000000003</v>
      </c>
      <c r="T103" s="327">
        <v>0.54</v>
      </c>
      <c r="V103" s="86"/>
    </row>
    <row r="104" spans="1:22" ht="12.95" customHeight="1" x14ac:dyDescent="0.2">
      <c r="A104" s="324">
        <f t="shared" si="35"/>
        <v>2</v>
      </c>
      <c r="B104" s="133" t="str">
        <f t="shared" si="35"/>
        <v>CÓRREGO AREIAS</v>
      </c>
      <c r="C104" s="133" t="str">
        <f t="shared" si="35"/>
        <v>21°48'55.89''S</v>
      </c>
      <c r="D104" s="133" t="str">
        <f t="shared" si="35"/>
        <v>54°32'36.89''W</v>
      </c>
      <c r="E104" s="123" t="str">
        <f t="shared" si="35"/>
        <v>Simples</v>
      </c>
      <c r="F104" s="133">
        <f t="shared" si="35"/>
        <v>4.4000000000000004</v>
      </c>
      <c r="G104" s="133">
        <f t="shared" si="35"/>
        <v>6</v>
      </c>
      <c r="H104" s="134">
        <v>0.74188800000000021</v>
      </c>
      <c r="I104" s="134">
        <v>0.31103999999999998</v>
      </c>
      <c r="J104" s="134">
        <v>0.12960000000000002</v>
      </c>
      <c r="K104" s="134">
        <v>0</v>
      </c>
      <c r="L104" s="134">
        <v>0.89999999999999991</v>
      </c>
      <c r="M104" s="134">
        <v>0.44999999999999996</v>
      </c>
      <c r="N104" s="134">
        <v>0.62719999999999998</v>
      </c>
      <c r="O104" s="134">
        <v>0.72000000000000008</v>
      </c>
      <c r="P104" s="134">
        <v>0.29400000000000004</v>
      </c>
      <c r="Q104" s="134">
        <v>0</v>
      </c>
      <c r="R104" s="134">
        <v>0.19600000000000004</v>
      </c>
      <c r="S104" s="134">
        <v>0.13200000000000001</v>
      </c>
      <c r="T104" s="327">
        <v>0.36000000000000004</v>
      </c>
      <c r="V104" s="86"/>
    </row>
    <row r="105" spans="1:22" ht="12.95" customHeight="1" x14ac:dyDescent="0.2">
      <c r="A105" s="324">
        <f t="shared" si="35"/>
        <v>3</v>
      </c>
      <c r="B105" s="133" t="str">
        <f t="shared" si="35"/>
        <v>CÓRREGO ARARAS</v>
      </c>
      <c r="C105" s="133" t="str">
        <f t="shared" si="35"/>
        <v>21°47'42.63''S</v>
      </c>
      <c r="D105" s="133" t="str">
        <f t="shared" si="35"/>
        <v>54°31'56.42''W</v>
      </c>
      <c r="E105" s="123" t="str">
        <f t="shared" si="35"/>
        <v>Simples</v>
      </c>
      <c r="F105" s="133">
        <f t="shared" si="35"/>
        <v>4.8</v>
      </c>
      <c r="G105" s="133">
        <f t="shared" si="35"/>
        <v>12</v>
      </c>
      <c r="H105" s="134">
        <v>1.4837760000000004</v>
      </c>
      <c r="I105" s="134">
        <v>0.62207999999999997</v>
      </c>
      <c r="J105" s="134">
        <v>0.25920000000000004</v>
      </c>
      <c r="K105" s="134">
        <v>0</v>
      </c>
      <c r="L105" s="134">
        <v>1.575</v>
      </c>
      <c r="M105" s="134">
        <v>0.78749999999999998</v>
      </c>
      <c r="N105" s="134">
        <v>0.6704</v>
      </c>
      <c r="O105" s="134">
        <v>1.08</v>
      </c>
      <c r="P105" s="134">
        <v>0.63600000000000001</v>
      </c>
      <c r="Q105" s="134">
        <v>0</v>
      </c>
      <c r="R105" s="134">
        <v>0.42400000000000004</v>
      </c>
      <c r="S105" s="134">
        <v>0.28320000000000001</v>
      </c>
      <c r="T105" s="327">
        <v>0.54</v>
      </c>
      <c r="V105" s="86"/>
    </row>
    <row r="106" spans="1:22" ht="12.95" customHeight="1" x14ac:dyDescent="0.2">
      <c r="A106" s="324">
        <f t="shared" si="35"/>
        <v>4</v>
      </c>
      <c r="B106" s="133" t="str">
        <f t="shared" si="35"/>
        <v>CÓRREGO FORMIGA</v>
      </c>
      <c r="C106" s="133" t="str">
        <f t="shared" si="35"/>
        <v>21°39'27.48''S</v>
      </c>
      <c r="D106" s="133" t="str">
        <f t="shared" si="35"/>
        <v>54°25'31.76''W</v>
      </c>
      <c r="E106" s="123" t="str">
        <f t="shared" si="35"/>
        <v>Simples</v>
      </c>
      <c r="F106" s="133">
        <f t="shared" si="35"/>
        <v>4.4000000000000004</v>
      </c>
      <c r="G106" s="133">
        <f t="shared" si="35"/>
        <v>13.2</v>
      </c>
      <c r="H106" s="134">
        <v>1.6280320000000001</v>
      </c>
      <c r="I106" s="134">
        <v>0.68255999999999994</v>
      </c>
      <c r="J106" s="134">
        <v>0.28439999999999999</v>
      </c>
      <c r="K106" s="134">
        <v>0</v>
      </c>
      <c r="L106" s="134">
        <v>1.575</v>
      </c>
      <c r="M106" s="134">
        <v>0.78749999999999998</v>
      </c>
      <c r="N106" s="134">
        <v>0.62719999999999998</v>
      </c>
      <c r="O106" s="134">
        <v>1.08</v>
      </c>
      <c r="P106" s="134">
        <v>0.58800000000000008</v>
      </c>
      <c r="Q106" s="134">
        <v>0</v>
      </c>
      <c r="R106" s="134">
        <v>0.39200000000000007</v>
      </c>
      <c r="S106" s="134">
        <v>0.26400000000000001</v>
      </c>
      <c r="T106" s="327">
        <v>0.54</v>
      </c>
      <c r="V106" s="86"/>
    </row>
    <row r="107" spans="1:22" ht="12.95" customHeight="1" x14ac:dyDescent="0.2">
      <c r="A107" s="324">
        <f t="shared" si="35"/>
        <v>5</v>
      </c>
      <c r="B107" s="133" t="str">
        <f t="shared" si="35"/>
        <v>CÓRREGO ANTINHA</v>
      </c>
      <c r="C107" s="133" t="str">
        <f t="shared" si="35"/>
        <v>21°38'42.22''S</v>
      </c>
      <c r="D107" s="133" t="str">
        <f t="shared" si="35"/>
        <v>54°27'12.82''W</v>
      </c>
      <c r="E107" s="123" t="str">
        <f t="shared" si="35"/>
        <v>Simples</v>
      </c>
      <c r="F107" s="133">
        <f t="shared" si="35"/>
        <v>4.4000000000000004</v>
      </c>
      <c r="G107" s="133">
        <f t="shared" si="35"/>
        <v>7.2</v>
      </c>
      <c r="H107" s="134">
        <v>0.88614400000000004</v>
      </c>
      <c r="I107" s="134">
        <v>0.37151999999999996</v>
      </c>
      <c r="J107" s="134">
        <v>0.15479999999999999</v>
      </c>
      <c r="K107" s="134">
        <v>0</v>
      </c>
      <c r="L107" s="134">
        <v>0.89999999999999991</v>
      </c>
      <c r="M107" s="134">
        <v>0.44999999999999996</v>
      </c>
      <c r="N107" s="134">
        <v>0.62719999999999998</v>
      </c>
      <c r="O107" s="134">
        <v>0.72000000000000008</v>
      </c>
      <c r="P107" s="134">
        <v>0.29400000000000004</v>
      </c>
      <c r="Q107" s="134">
        <v>0</v>
      </c>
      <c r="R107" s="134">
        <v>0.19600000000000004</v>
      </c>
      <c r="S107" s="134">
        <v>0.13200000000000001</v>
      </c>
      <c r="T107" s="327">
        <v>0.36000000000000004</v>
      </c>
      <c r="V107" s="86"/>
    </row>
    <row r="108" spans="1:22" ht="12.95" customHeight="1" x14ac:dyDescent="0.2">
      <c r="A108" s="324">
        <f t="shared" si="35"/>
        <v>6</v>
      </c>
      <c r="B108" s="133" t="str">
        <f t="shared" si="35"/>
        <v>CÓRREGO FORMIGA</v>
      </c>
      <c r="C108" s="133" t="str">
        <f t="shared" si="35"/>
        <v>21°38'56.23''S</v>
      </c>
      <c r="D108" s="133" t="str">
        <f t="shared" si="35"/>
        <v>54°25'01.82''W</v>
      </c>
      <c r="E108" s="123" t="str">
        <f t="shared" si="35"/>
        <v>Simples</v>
      </c>
      <c r="F108" s="133">
        <f t="shared" si="35"/>
        <v>4.4000000000000004</v>
      </c>
      <c r="G108" s="133">
        <f t="shared" si="35"/>
        <v>12</v>
      </c>
      <c r="H108" s="134">
        <v>1.4837760000000004</v>
      </c>
      <c r="I108" s="134">
        <v>0.62207999999999997</v>
      </c>
      <c r="J108" s="134">
        <v>0.25920000000000004</v>
      </c>
      <c r="K108" s="134">
        <v>0</v>
      </c>
      <c r="L108" s="134">
        <v>1.575</v>
      </c>
      <c r="M108" s="134">
        <v>0.78749999999999998</v>
      </c>
      <c r="N108" s="134">
        <v>0.62719999999999998</v>
      </c>
      <c r="O108" s="134">
        <v>1.08</v>
      </c>
      <c r="P108" s="134">
        <v>0.58800000000000008</v>
      </c>
      <c r="Q108" s="134">
        <v>0</v>
      </c>
      <c r="R108" s="134">
        <v>0.39200000000000007</v>
      </c>
      <c r="S108" s="134">
        <v>0.26400000000000001</v>
      </c>
      <c r="T108" s="327">
        <v>0.54</v>
      </c>
      <c r="V108" s="86"/>
    </row>
    <row r="109" spans="1:22" ht="12.95" customHeight="1" x14ac:dyDescent="0.2">
      <c r="A109" s="324">
        <f t="shared" si="35"/>
        <v>7</v>
      </c>
      <c r="B109" s="133" t="str">
        <f t="shared" si="35"/>
        <v>CÓRREGO QUILOMBO</v>
      </c>
      <c r="C109" s="133" t="str">
        <f t="shared" si="35"/>
        <v>21°42'14.33''S</v>
      </c>
      <c r="D109" s="133" t="str">
        <f t="shared" si="35"/>
        <v>54°20'39.58''W</v>
      </c>
      <c r="E109" s="123" t="str">
        <f t="shared" si="35"/>
        <v>Simples</v>
      </c>
      <c r="F109" s="133">
        <f t="shared" si="35"/>
        <v>4.4000000000000004</v>
      </c>
      <c r="G109" s="133">
        <f t="shared" si="35"/>
        <v>6.8</v>
      </c>
      <c r="H109" s="134">
        <v>0.8449279999999999</v>
      </c>
      <c r="I109" s="134">
        <v>0.35423999999999994</v>
      </c>
      <c r="J109" s="134">
        <v>0.14759999999999998</v>
      </c>
      <c r="K109" s="134">
        <v>0</v>
      </c>
      <c r="L109" s="134">
        <v>0.89999999999999991</v>
      </c>
      <c r="M109" s="134">
        <v>0.44999999999999996</v>
      </c>
      <c r="N109" s="134">
        <v>0.62719999999999998</v>
      </c>
      <c r="O109" s="134">
        <v>0.72000000000000008</v>
      </c>
      <c r="P109" s="134">
        <v>0.29400000000000004</v>
      </c>
      <c r="Q109" s="134">
        <v>0</v>
      </c>
      <c r="R109" s="134">
        <v>0.19600000000000004</v>
      </c>
      <c r="S109" s="134">
        <v>0.13200000000000001</v>
      </c>
      <c r="T109" s="327">
        <v>0.36000000000000004</v>
      </c>
      <c r="V109" s="86"/>
    </row>
    <row r="110" spans="1:22" ht="12.95" customHeight="1" x14ac:dyDescent="0.2">
      <c r="A110" s="324">
        <f t="shared" si="35"/>
        <v>8</v>
      </c>
      <c r="B110" s="133" t="str">
        <f t="shared" si="35"/>
        <v>ARROIO CORREGUINHO</v>
      </c>
      <c r="C110" s="133" t="str">
        <f t="shared" si="35"/>
        <v>21°42'39.87''S</v>
      </c>
      <c r="D110" s="133" t="str">
        <f t="shared" si="35"/>
        <v>54°18'52.81''W</v>
      </c>
      <c r="E110" s="123" t="str">
        <f t="shared" si="35"/>
        <v>Simples</v>
      </c>
      <c r="F110" s="133">
        <f t="shared" si="35"/>
        <v>4.4000000000000004</v>
      </c>
      <c r="G110" s="133">
        <f t="shared" si="35"/>
        <v>5.8</v>
      </c>
      <c r="H110" s="134">
        <v>0.72128000000000014</v>
      </c>
      <c r="I110" s="134">
        <v>0.3024</v>
      </c>
      <c r="J110" s="134">
        <v>0.126</v>
      </c>
      <c r="K110" s="134">
        <v>0</v>
      </c>
      <c r="L110" s="134">
        <v>0.89999999999999991</v>
      </c>
      <c r="M110" s="134">
        <v>0.44999999999999996</v>
      </c>
      <c r="N110" s="134">
        <v>0.62719999999999998</v>
      </c>
      <c r="O110" s="134">
        <v>0.72000000000000008</v>
      </c>
      <c r="P110" s="134">
        <v>0.29400000000000004</v>
      </c>
      <c r="Q110" s="134">
        <v>0</v>
      </c>
      <c r="R110" s="134">
        <v>0.19600000000000004</v>
      </c>
      <c r="S110" s="134">
        <v>0.13200000000000001</v>
      </c>
      <c r="T110" s="327">
        <v>0.36000000000000004</v>
      </c>
      <c r="V110" s="86"/>
    </row>
    <row r="111" spans="1:22" ht="12.95" customHeight="1" x14ac:dyDescent="0.2">
      <c r="A111" s="324">
        <f t="shared" si="35"/>
        <v>9</v>
      </c>
      <c r="B111" s="133" t="str">
        <f t="shared" si="35"/>
        <v>CÓRREGO GUATAMBU</v>
      </c>
      <c r="C111" s="133" t="str">
        <f t="shared" si="35"/>
        <v>21°43'17.70"S</v>
      </c>
      <c r="D111" s="133" t="str">
        <f t="shared" si="35"/>
        <v>54°16'36.10"W</v>
      </c>
      <c r="E111" s="123" t="str">
        <f t="shared" si="35"/>
        <v>Simples</v>
      </c>
      <c r="F111" s="133">
        <f t="shared" si="35"/>
        <v>4.4000000000000004</v>
      </c>
      <c r="G111" s="133">
        <f t="shared" si="35"/>
        <v>10.6</v>
      </c>
      <c r="H111" s="134">
        <v>1.3189120000000003</v>
      </c>
      <c r="I111" s="134">
        <v>0.55296000000000012</v>
      </c>
      <c r="J111" s="134">
        <v>0.23040000000000005</v>
      </c>
      <c r="K111" s="134">
        <v>0</v>
      </c>
      <c r="L111" s="134">
        <v>1.575</v>
      </c>
      <c r="M111" s="134">
        <v>0.78749999999999998</v>
      </c>
      <c r="N111" s="134">
        <v>0.62719999999999998</v>
      </c>
      <c r="O111" s="134">
        <v>1.08</v>
      </c>
      <c r="P111" s="134">
        <v>0.58800000000000008</v>
      </c>
      <c r="Q111" s="134">
        <v>0</v>
      </c>
      <c r="R111" s="134">
        <v>0.39200000000000007</v>
      </c>
      <c r="S111" s="134">
        <v>0.26400000000000001</v>
      </c>
      <c r="T111" s="327">
        <v>0.54</v>
      </c>
      <c r="V111" s="86"/>
    </row>
    <row r="112" spans="1:22" ht="12.95" customHeight="1" x14ac:dyDescent="0.2">
      <c r="A112" s="324">
        <f t="shared" si="35"/>
        <v>10</v>
      </c>
      <c r="B112" s="133" t="str">
        <f t="shared" si="35"/>
        <v>CÓRREGO QUILOMBO</v>
      </c>
      <c r="C112" s="133" t="str">
        <f t="shared" si="35"/>
        <v>21°42'51.11''S</v>
      </c>
      <c r="D112" s="133" t="str">
        <f t="shared" si="35"/>
        <v>54°16'52.81''W</v>
      </c>
      <c r="E112" s="123" t="str">
        <f t="shared" si="35"/>
        <v>Simples</v>
      </c>
      <c r="F112" s="133">
        <f t="shared" si="35"/>
        <v>4.4000000000000004</v>
      </c>
      <c r="G112" s="133">
        <f t="shared" si="35"/>
        <v>5.8</v>
      </c>
      <c r="H112" s="134">
        <v>0.72128000000000014</v>
      </c>
      <c r="I112" s="134">
        <v>0.3024</v>
      </c>
      <c r="J112" s="134">
        <v>0.126</v>
      </c>
      <c r="K112" s="134">
        <v>0</v>
      </c>
      <c r="L112" s="134">
        <v>0.89999999999999991</v>
      </c>
      <c r="M112" s="134">
        <v>0.44999999999999996</v>
      </c>
      <c r="N112" s="134">
        <v>0.62719999999999998</v>
      </c>
      <c r="O112" s="134">
        <v>0.72000000000000008</v>
      </c>
      <c r="P112" s="134">
        <v>0.29400000000000004</v>
      </c>
      <c r="Q112" s="134">
        <v>0</v>
      </c>
      <c r="R112" s="134">
        <v>0.19600000000000004</v>
      </c>
      <c r="S112" s="134">
        <v>0.13200000000000001</v>
      </c>
      <c r="T112" s="327">
        <v>0.36000000000000004</v>
      </c>
      <c r="V112" s="86"/>
    </row>
    <row r="113" spans="1:22" ht="12.95" customHeight="1" x14ac:dyDescent="0.2">
      <c r="A113" s="324">
        <f t="shared" ref="A113:G122" si="36">A82</f>
        <v>11</v>
      </c>
      <c r="B113" s="133" t="str">
        <f t="shared" si="36"/>
        <v>CÓRREGO SAPÉ</v>
      </c>
      <c r="C113" s="133" t="str">
        <f t="shared" si="36"/>
        <v>21°44'57.50"S</v>
      </c>
      <c r="D113" s="133" t="str">
        <f t="shared" si="36"/>
        <v>54°18'00.40"W</v>
      </c>
      <c r="E113" s="123" t="str">
        <f t="shared" si="36"/>
        <v>Simples</v>
      </c>
      <c r="F113" s="133">
        <f t="shared" si="36"/>
        <v>4.4000000000000004</v>
      </c>
      <c r="G113" s="133">
        <f t="shared" si="36"/>
        <v>10.8</v>
      </c>
      <c r="H113" s="134">
        <v>1.33952</v>
      </c>
      <c r="I113" s="134">
        <v>0.56159999999999999</v>
      </c>
      <c r="J113" s="134">
        <v>0.23399999999999999</v>
      </c>
      <c r="K113" s="134">
        <v>0</v>
      </c>
      <c r="L113" s="134">
        <v>1.575</v>
      </c>
      <c r="M113" s="134">
        <v>0.78749999999999998</v>
      </c>
      <c r="N113" s="134">
        <v>0.62719999999999998</v>
      </c>
      <c r="O113" s="134">
        <v>1.08</v>
      </c>
      <c r="P113" s="134">
        <v>0.58800000000000008</v>
      </c>
      <c r="Q113" s="134">
        <v>0</v>
      </c>
      <c r="R113" s="134">
        <v>0.39200000000000007</v>
      </c>
      <c r="S113" s="134">
        <v>0.26400000000000001</v>
      </c>
      <c r="T113" s="327">
        <v>0.54</v>
      </c>
      <c r="V113" s="86"/>
    </row>
    <row r="114" spans="1:22" ht="12.95" customHeight="1" x14ac:dyDescent="0.2">
      <c r="A114" s="324">
        <f t="shared" si="36"/>
        <v>12</v>
      </c>
      <c r="B114" s="133" t="str">
        <f t="shared" si="36"/>
        <v>CÓRREGO JUREMA</v>
      </c>
      <c r="C114" s="133" t="str">
        <f t="shared" si="36"/>
        <v>21°47'02.84''S</v>
      </c>
      <c r="D114" s="133" t="str">
        <f t="shared" si="36"/>
        <v>54°14'35.61''W</v>
      </c>
      <c r="E114" s="123" t="str">
        <f t="shared" si="36"/>
        <v>Simples</v>
      </c>
      <c r="F114" s="133">
        <f t="shared" si="36"/>
        <v>4.4000000000000004</v>
      </c>
      <c r="G114" s="133">
        <f t="shared" si="36"/>
        <v>7.1</v>
      </c>
      <c r="H114" s="134">
        <v>0.88614400000000004</v>
      </c>
      <c r="I114" s="134">
        <v>0.37151999999999996</v>
      </c>
      <c r="J114" s="134">
        <v>0.15479999999999999</v>
      </c>
      <c r="K114" s="134">
        <v>0</v>
      </c>
      <c r="L114" s="134">
        <v>0.89999999999999991</v>
      </c>
      <c r="M114" s="134">
        <v>0.44999999999999996</v>
      </c>
      <c r="N114" s="134">
        <v>0.62719999999999998</v>
      </c>
      <c r="O114" s="134">
        <v>0.72000000000000008</v>
      </c>
      <c r="P114" s="134">
        <v>0.29400000000000004</v>
      </c>
      <c r="Q114" s="134">
        <v>0</v>
      </c>
      <c r="R114" s="134">
        <v>0.19600000000000004</v>
      </c>
      <c r="S114" s="134">
        <v>0.13200000000000001</v>
      </c>
      <c r="T114" s="327">
        <v>0.36000000000000004</v>
      </c>
      <c r="V114" s="86"/>
    </row>
    <row r="115" spans="1:22" ht="12.95" customHeight="1" x14ac:dyDescent="0.2">
      <c r="A115" s="324">
        <f t="shared" si="36"/>
        <v>13</v>
      </c>
      <c r="B115" s="133" t="str">
        <f t="shared" si="36"/>
        <v>CÓRREGO ARACI</v>
      </c>
      <c r="C115" s="133" t="str">
        <f t="shared" si="36"/>
        <v>21°45'04.33''S</v>
      </c>
      <c r="D115" s="133" t="str">
        <f t="shared" si="36"/>
        <v>54°12'41.25''W</v>
      </c>
      <c r="E115" s="123" t="str">
        <f t="shared" si="36"/>
        <v>Simples</v>
      </c>
      <c r="F115" s="133">
        <f t="shared" si="36"/>
        <v>4.4000000000000004</v>
      </c>
      <c r="G115" s="133">
        <f t="shared" si="36"/>
        <v>6.4</v>
      </c>
      <c r="H115" s="134">
        <v>0.78310400000000002</v>
      </c>
      <c r="I115" s="134">
        <v>0.32832</v>
      </c>
      <c r="J115" s="134">
        <v>0.1368</v>
      </c>
      <c r="K115" s="134">
        <v>0</v>
      </c>
      <c r="L115" s="134">
        <v>0.89999999999999991</v>
      </c>
      <c r="M115" s="134">
        <v>0.44999999999999996</v>
      </c>
      <c r="N115" s="134">
        <v>0.62719999999999998</v>
      </c>
      <c r="O115" s="134">
        <v>0.72000000000000008</v>
      </c>
      <c r="P115" s="134">
        <v>0.29400000000000004</v>
      </c>
      <c r="Q115" s="134">
        <v>0</v>
      </c>
      <c r="R115" s="134">
        <v>0.19600000000000004</v>
      </c>
      <c r="S115" s="134">
        <v>0.13200000000000001</v>
      </c>
      <c r="T115" s="327">
        <v>0.36000000000000004</v>
      </c>
      <c r="V115" s="86"/>
    </row>
    <row r="116" spans="1:22" ht="12.95" customHeight="1" x14ac:dyDescent="0.2">
      <c r="A116" s="324">
        <f t="shared" si="36"/>
        <v>14</v>
      </c>
      <c r="B116" s="133" t="str">
        <f t="shared" si="36"/>
        <v>CÓRREGO ANHUMAS</v>
      </c>
      <c r="C116" s="133" t="str">
        <f t="shared" si="36"/>
        <v>21°51'40.49''S</v>
      </c>
      <c r="D116" s="133" t="str">
        <f t="shared" si="36"/>
        <v>54°08'14.26''W</v>
      </c>
      <c r="E116" s="123" t="str">
        <f t="shared" si="36"/>
        <v>Simples</v>
      </c>
      <c r="F116" s="133">
        <f t="shared" si="36"/>
        <v>4.4000000000000004</v>
      </c>
      <c r="G116" s="133">
        <f t="shared" si="36"/>
        <v>11.8</v>
      </c>
      <c r="H116" s="134">
        <v>1.463168</v>
      </c>
      <c r="I116" s="134">
        <v>0.61343999999999987</v>
      </c>
      <c r="J116" s="134">
        <v>0.25559999999999999</v>
      </c>
      <c r="K116" s="134">
        <v>0</v>
      </c>
      <c r="L116" s="134">
        <v>1.575</v>
      </c>
      <c r="M116" s="134">
        <v>0.78749999999999998</v>
      </c>
      <c r="N116" s="134">
        <v>0.62719999999999998</v>
      </c>
      <c r="O116" s="134">
        <v>1.08</v>
      </c>
      <c r="P116" s="134">
        <v>0.58800000000000008</v>
      </c>
      <c r="Q116" s="134">
        <v>0</v>
      </c>
      <c r="R116" s="134">
        <v>0.39200000000000007</v>
      </c>
      <c r="S116" s="134">
        <v>0.26400000000000001</v>
      </c>
      <c r="T116" s="327">
        <v>0.54</v>
      </c>
      <c r="V116" s="86"/>
    </row>
    <row r="117" spans="1:22" ht="12.95" customHeight="1" x14ac:dyDescent="0.2">
      <c r="A117" s="324">
        <f t="shared" si="36"/>
        <v>15</v>
      </c>
      <c r="B117" s="133" t="str">
        <f t="shared" si="36"/>
        <v>CÓRREGO CHIFRE DO VIADO</v>
      </c>
      <c r="C117" s="133" t="str">
        <f t="shared" si="36"/>
        <v>21°40'35.65''S</v>
      </c>
      <c r="D117" s="133" t="str">
        <f t="shared" si="36"/>
        <v>54°56'15.44''W</v>
      </c>
      <c r="E117" s="123" t="str">
        <f t="shared" si="36"/>
        <v>Simples</v>
      </c>
      <c r="F117" s="133">
        <f t="shared" si="36"/>
        <v>5</v>
      </c>
      <c r="G117" s="133">
        <f t="shared" si="36"/>
        <v>12</v>
      </c>
      <c r="H117" s="134">
        <v>1.4837760000000004</v>
      </c>
      <c r="I117" s="134">
        <v>0.62207999999999997</v>
      </c>
      <c r="J117" s="134">
        <v>0.25920000000000004</v>
      </c>
      <c r="K117" s="134">
        <v>0</v>
      </c>
      <c r="L117" s="134">
        <v>1.575</v>
      </c>
      <c r="M117" s="134">
        <v>0.78749999999999998</v>
      </c>
      <c r="N117" s="134">
        <v>0.69200000000000006</v>
      </c>
      <c r="O117" s="134">
        <v>1.08</v>
      </c>
      <c r="P117" s="134">
        <v>0.66</v>
      </c>
      <c r="Q117" s="134">
        <v>0</v>
      </c>
      <c r="R117" s="134">
        <v>0.44000000000000006</v>
      </c>
      <c r="S117" s="134">
        <v>0.29760000000000003</v>
      </c>
      <c r="T117" s="327">
        <v>0.54</v>
      </c>
      <c r="V117" s="86"/>
    </row>
    <row r="118" spans="1:22" ht="12.95" customHeight="1" x14ac:dyDescent="0.2">
      <c r="A118" s="324">
        <f t="shared" si="36"/>
        <v>16</v>
      </c>
      <c r="B118" s="133" t="str">
        <f t="shared" si="36"/>
        <v>CÓRREGO SANTA RITA</v>
      </c>
      <c r="C118" s="133" t="str">
        <f t="shared" si="36"/>
        <v>21°33'23.75''S</v>
      </c>
      <c r="D118" s="133" t="str">
        <f t="shared" si="36"/>
        <v>54°35'26.66''W</v>
      </c>
      <c r="E118" s="123" t="str">
        <f t="shared" si="36"/>
        <v>Simples</v>
      </c>
      <c r="F118" s="133">
        <f t="shared" si="36"/>
        <v>4.4000000000000004</v>
      </c>
      <c r="G118" s="133">
        <f t="shared" si="36"/>
        <v>22.1</v>
      </c>
      <c r="H118" s="134">
        <v>2.7408640000000002</v>
      </c>
      <c r="I118" s="134">
        <v>1.1491199999999999</v>
      </c>
      <c r="J118" s="134">
        <v>0.4788</v>
      </c>
      <c r="K118" s="134">
        <v>0</v>
      </c>
      <c r="L118" s="134">
        <v>3.15</v>
      </c>
      <c r="M118" s="134">
        <v>1.575</v>
      </c>
      <c r="N118" s="134">
        <v>0.62719999999999998</v>
      </c>
      <c r="O118" s="134">
        <v>1.8000000000000003</v>
      </c>
      <c r="P118" s="134">
        <v>0.88200000000000012</v>
      </c>
      <c r="Q118" s="134">
        <v>0</v>
      </c>
      <c r="R118" s="134">
        <v>0.58800000000000008</v>
      </c>
      <c r="S118" s="134">
        <v>0.39600000000000002</v>
      </c>
      <c r="T118" s="327">
        <v>0.90000000000000013</v>
      </c>
      <c r="V118" s="86"/>
    </row>
    <row r="119" spans="1:22" ht="12.95" customHeight="1" x14ac:dyDescent="0.2">
      <c r="A119" s="324">
        <f t="shared" si="36"/>
        <v>17</v>
      </c>
      <c r="B119" s="133" t="str">
        <f t="shared" si="36"/>
        <v>RIO SERROTE</v>
      </c>
      <c r="C119" s="133" t="str">
        <f t="shared" si="36"/>
        <v>21°25'01.14''S</v>
      </c>
      <c r="D119" s="133" t="str">
        <f t="shared" si="36"/>
        <v>54°43'16.96''W</v>
      </c>
      <c r="E119" s="123" t="str">
        <f t="shared" si="36"/>
        <v>Simples</v>
      </c>
      <c r="F119" s="133">
        <f t="shared" si="36"/>
        <v>4.4000000000000004</v>
      </c>
      <c r="G119" s="133">
        <f t="shared" si="36"/>
        <v>24.6</v>
      </c>
      <c r="H119" s="134">
        <v>3.0499840000000011</v>
      </c>
      <c r="I119" s="134">
        <v>1.2787200000000001</v>
      </c>
      <c r="J119" s="134">
        <v>0.53280000000000005</v>
      </c>
      <c r="K119" s="134">
        <v>0</v>
      </c>
      <c r="L119" s="134">
        <v>3.15</v>
      </c>
      <c r="M119" s="134">
        <v>1.575</v>
      </c>
      <c r="N119" s="134">
        <v>0.62719999999999998</v>
      </c>
      <c r="O119" s="134">
        <v>1.8000000000000003</v>
      </c>
      <c r="P119" s="134">
        <v>0.88200000000000012</v>
      </c>
      <c r="Q119" s="134">
        <v>0</v>
      </c>
      <c r="R119" s="134">
        <v>0.58800000000000008</v>
      </c>
      <c r="S119" s="134">
        <v>0.39600000000000002</v>
      </c>
      <c r="T119" s="327">
        <v>0.90000000000000013</v>
      </c>
      <c r="V119" s="86"/>
    </row>
    <row r="120" spans="1:22" ht="12.95" customHeight="1" x14ac:dyDescent="0.2">
      <c r="A120" s="324">
        <f t="shared" si="36"/>
        <v>18</v>
      </c>
      <c r="B120" s="133" t="str">
        <f t="shared" si="36"/>
        <v>CÓRREGO PASSATEMPO 1</v>
      </c>
      <c r="C120" s="133" t="str">
        <f t="shared" si="36"/>
        <v>21°29'34.92''S</v>
      </c>
      <c r="D120" s="133" t="str">
        <f t="shared" si="36"/>
        <v>54°49'18.44''W</v>
      </c>
      <c r="E120" s="123" t="str">
        <f t="shared" si="36"/>
        <v>Simples</v>
      </c>
      <c r="F120" s="133">
        <f t="shared" si="36"/>
        <v>4.4000000000000004</v>
      </c>
      <c r="G120" s="133">
        <f t="shared" si="36"/>
        <v>16.399999999999999</v>
      </c>
      <c r="H120" s="134">
        <v>2.019584</v>
      </c>
      <c r="I120" s="134">
        <v>0.84672000000000003</v>
      </c>
      <c r="J120" s="134">
        <v>0.3528</v>
      </c>
      <c r="K120" s="134">
        <v>0</v>
      </c>
      <c r="L120" s="134">
        <v>2.4750000000000001</v>
      </c>
      <c r="M120" s="134">
        <v>1.2375</v>
      </c>
      <c r="N120" s="134">
        <v>0.62719999999999998</v>
      </c>
      <c r="O120" s="134">
        <v>1.4400000000000002</v>
      </c>
      <c r="P120" s="134">
        <v>0.73499999999999999</v>
      </c>
      <c r="Q120" s="134">
        <v>0</v>
      </c>
      <c r="R120" s="134">
        <v>0.49000000000000005</v>
      </c>
      <c r="S120" s="134">
        <v>0.32999999999999996</v>
      </c>
      <c r="T120" s="327">
        <v>0.72000000000000008</v>
      </c>
      <c r="V120" s="86"/>
    </row>
    <row r="121" spans="1:22" ht="12.95" customHeight="1" x14ac:dyDescent="0.2">
      <c r="A121" s="324">
        <f t="shared" si="36"/>
        <v>19</v>
      </c>
      <c r="B121" s="133" t="str">
        <f t="shared" si="36"/>
        <v>CÓRREGO PASSATEMPO 2</v>
      </c>
      <c r="C121" s="133" t="str">
        <f t="shared" si="36"/>
        <v>21°29'33.39''S</v>
      </c>
      <c r="D121" s="133" t="str">
        <f t="shared" si="36"/>
        <v>54°49'17.44''W</v>
      </c>
      <c r="E121" s="123" t="str">
        <f t="shared" si="36"/>
        <v>Simples</v>
      </c>
      <c r="F121" s="133">
        <f t="shared" si="36"/>
        <v>4.4000000000000004</v>
      </c>
      <c r="G121" s="133">
        <f t="shared" si="36"/>
        <v>19.600000000000001</v>
      </c>
      <c r="H121" s="134">
        <v>2.4317440000000006</v>
      </c>
      <c r="I121" s="134">
        <v>1.01952</v>
      </c>
      <c r="J121" s="134">
        <v>0.42480000000000007</v>
      </c>
      <c r="K121" s="134">
        <v>0</v>
      </c>
      <c r="L121" s="134">
        <v>2.4750000000000001</v>
      </c>
      <c r="M121" s="134">
        <v>1.2375</v>
      </c>
      <c r="N121" s="134">
        <v>0.62719999999999998</v>
      </c>
      <c r="O121" s="134">
        <v>1.4400000000000002</v>
      </c>
      <c r="P121" s="134">
        <v>0.73499999999999999</v>
      </c>
      <c r="Q121" s="134">
        <v>0</v>
      </c>
      <c r="R121" s="134">
        <v>0.49000000000000005</v>
      </c>
      <c r="S121" s="134">
        <v>0.32999999999999996</v>
      </c>
      <c r="T121" s="327">
        <v>0.72000000000000008</v>
      </c>
      <c r="V121" s="86"/>
    </row>
    <row r="122" spans="1:22" ht="12.95" customHeight="1" x14ac:dyDescent="0.2">
      <c r="A122" s="324">
        <f t="shared" si="36"/>
        <v>20</v>
      </c>
      <c r="B122" s="133" t="str">
        <f t="shared" si="36"/>
        <v>CÓRREGO PASSATEMPO 3</v>
      </c>
      <c r="C122" s="133" t="str">
        <f t="shared" si="36"/>
        <v>21°28'09.42''S</v>
      </c>
      <c r="D122" s="133" t="str">
        <f t="shared" si="36"/>
        <v>54°48'01.11''W</v>
      </c>
      <c r="E122" s="123" t="str">
        <f t="shared" si="36"/>
        <v>Simples</v>
      </c>
      <c r="F122" s="133">
        <f t="shared" si="36"/>
        <v>5</v>
      </c>
      <c r="G122" s="133">
        <f t="shared" si="36"/>
        <v>6</v>
      </c>
      <c r="H122" s="134">
        <v>0.74188800000000021</v>
      </c>
      <c r="I122" s="134">
        <v>0.31103999999999998</v>
      </c>
      <c r="J122" s="134">
        <v>0.12960000000000002</v>
      </c>
      <c r="K122" s="134">
        <v>0</v>
      </c>
      <c r="L122" s="134">
        <v>0.89999999999999991</v>
      </c>
      <c r="M122" s="134">
        <v>0.44999999999999996</v>
      </c>
      <c r="N122" s="134">
        <v>0.69200000000000006</v>
      </c>
      <c r="O122" s="134">
        <v>0.72000000000000008</v>
      </c>
      <c r="P122" s="134">
        <v>0.33</v>
      </c>
      <c r="Q122" s="134">
        <v>0</v>
      </c>
      <c r="R122" s="134">
        <v>0.22000000000000003</v>
      </c>
      <c r="S122" s="134">
        <v>0.14880000000000002</v>
      </c>
      <c r="T122" s="327">
        <v>0.36000000000000004</v>
      </c>
      <c r="V122" s="86"/>
    </row>
    <row r="123" spans="1:22" ht="12.95" customHeight="1" x14ac:dyDescent="0.2">
      <c r="A123" s="324">
        <f t="shared" ref="A123:G128" si="37">A92</f>
        <v>21</v>
      </c>
      <c r="B123" s="133" t="str">
        <f t="shared" si="37"/>
        <v>CÓRREGO TAQUARA</v>
      </c>
      <c r="C123" s="133" t="str">
        <f t="shared" si="37"/>
        <v>21°21'07.90''S</v>
      </c>
      <c r="D123" s="133" t="str">
        <f t="shared" si="37"/>
        <v>54°50'07.01''W</v>
      </c>
      <c r="E123" s="123" t="str">
        <f t="shared" si="37"/>
        <v>Simples</v>
      </c>
      <c r="F123" s="133">
        <f t="shared" si="37"/>
        <v>4.8</v>
      </c>
      <c r="G123" s="133">
        <f t="shared" si="37"/>
        <v>24</v>
      </c>
      <c r="H123" s="134">
        <v>2.9675520000000009</v>
      </c>
      <c r="I123" s="134">
        <v>1.2441599999999999</v>
      </c>
      <c r="J123" s="134">
        <v>0.51840000000000008</v>
      </c>
      <c r="K123" s="134">
        <v>0</v>
      </c>
      <c r="L123" s="134">
        <v>3.15</v>
      </c>
      <c r="M123" s="134">
        <v>1.575</v>
      </c>
      <c r="N123" s="134">
        <v>0.6704</v>
      </c>
      <c r="O123" s="134">
        <v>1.8000000000000003</v>
      </c>
      <c r="P123" s="134">
        <v>0.95399999999999996</v>
      </c>
      <c r="Q123" s="134">
        <v>0</v>
      </c>
      <c r="R123" s="134">
        <v>0.63600000000000012</v>
      </c>
      <c r="S123" s="134">
        <v>0.42480000000000007</v>
      </c>
      <c r="T123" s="327">
        <v>0.90000000000000013</v>
      </c>
      <c r="V123" s="86"/>
    </row>
    <row r="124" spans="1:22" ht="12.95" customHeight="1" x14ac:dyDescent="0.2">
      <c r="A124" s="324">
        <f t="shared" si="37"/>
        <v>22</v>
      </c>
      <c r="B124" s="133" t="str">
        <f t="shared" si="37"/>
        <v>CÓRREGO PASSATEMPO 4</v>
      </c>
      <c r="C124" s="133" t="str">
        <f t="shared" si="37"/>
        <v>21°29'23.36''S</v>
      </c>
      <c r="D124" s="133" t="str">
        <f t="shared" si="37"/>
        <v>54°52'56.83''W</v>
      </c>
      <c r="E124" s="123" t="str">
        <f t="shared" si="37"/>
        <v>Simples</v>
      </c>
      <c r="F124" s="133">
        <f t="shared" si="37"/>
        <v>4.4000000000000004</v>
      </c>
      <c r="G124" s="133">
        <f t="shared" si="37"/>
        <v>14.3</v>
      </c>
      <c r="H124" s="134">
        <v>1.7722880000000001</v>
      </c>
      <c r="I124" s="134">
        <v>0.74303999999999992</v>
      </c>
      <c r="J124" s="134">
        <v>0.30959999999999999</v>
      </c>
      <c r="K124" s="134">
        <v>0</v>
      </c>
      <c r="L124" s="134">
        <v>1.575</v>
      </c>
      <c r="M124" s="134">
        <v>0.78749999999999998</v>
      </c>
      <c r="N124" s="134">
        <v>0.62719999999999998</v>
      </c>
      <c r="O124" s="134">
        <v>1.08</v>
      </c>
      <c r="P124" s="134">
        <v>0.58800000000000008</v>
      </c>
      <c r="Q124" s="134">
        <v>0</v>
      </c>
      <c r="R124" s="134">
        <v>0.39200000000000007</v>
      </c>
      <c r="S124" s="134">
        <v>0.26400000000000001</v>
      </c>
      <c r="T124" s="327">
        <v>0.54</v>
      </c>
      <c r="V124" s="86"/>
    </row>
    <row r="125" spans="1:22" ht="12.95" customHeight="1" x14ac:dyDescent="0.2">
      <c r="A125" s="324">
        <f t="shared" si="37"/>
        <v>23</v>
      </c>
      <c r="B125" s="133" t="str">
        <f t="shared" si="37"/>
        <v>CÓRREGO DO COQUEIRO</v>
      </c>
      <c r="C125" s="133" t="str">
        <f t="shared" si="37"/>
        <v>21°30'51.74''S</v>
      </c>
      <c r="D125" s="133" t="str">
        <f t="shared" si="37"/>
        <v>54°52'00.30''W</v>
      </c>
      <c r="E125" s="123" t="str">
        <f t="shared" si="37"/>
        <v>Simples</v>
      </c>
      <c r="F125" s="133">
        <f t="shared" si="37"/>
        <v>4.4000000000000004</v>
      </c>
      <c r="G125" s="133">
        <f t="shared" si="37"/>
        <v>22.3</v>
      </c>
      <c r="H125" s="134">
        <v>2.7614720000000004</v>
      </c>
      <c r="I125" s="134">
        <v>1.1577600000000001</v>
      </c>
      <c r="J125" s="134">
        <v>0.4824</v>
      </c>
      <c r="K125" s="134">
        <v>0</v>
      </c>
      <c r="L125" s="134">
        <v>3.15</v>
      </c>
      <c r="M125" s="134">
        <v>1.575</v>
      </c>
      <c r="N125" s="134">
        <v>0.62719999999999998</v>
      </c>
      <c r="O125" s="134">
        <v>1.8000000000000003</v>
      </c>
      <c r="P125" s="134">
        <v>0.88200000000000012</v>
      </c>
      <c r="Q125" s="134">
        <v>0</v>
      </c>
      <c r="R125" s="134">
        <v>0.58800000000000008</v>
      </c>
      <c r="S125" s="134">
        <v>0.39600000000000002</v>
      </c>
      <c r="T125" s="327">
        <v>0.90000000000000013</v>
      </c>
      <c r="V125" s="86"/>
    </row>
    <row r="126" spans="1:22" ht="12.95" customHeight="1" x14ac:dyDescent="0.2">
      <c r="A126" s="324">
        <f t="shared" si="37"/>
        <v>24</v>
      </c>
      <c r="B126" s="133" t="str">
        <f t="shared" si="37"/>
        <v>CÓRREGO CARRAPATO</v>
      </c>
      <c r="C126" s="133" t="str">
        <f t="shared" si="37"/>
        <v>21°32'42.64''S</v>
      </c>
      <c r="D126" s="133" t="str">
        <f t="shared" si="37"/>
        <v>55°00'59.87''W</v>
      </c>
      <c r="E126" s="123" t="str">
        <f t="shared" si="37"/>
        <v>Simples</v>
      </c>
      <c r="F126" s="133">
        <f t="shared" si="37"/>
        <v>4.4000000000000004</v>
      </c>
      <c r="G126" s="133">
        <f t="shared" si="37"/>
        <v>18</v>
      </c>
      <c r="H126" s="134">
        <v>2.2256640000000005</v>
      </c>
      <c r="I126" s="134">
        <v>0.93311999999999995</v>
      </c>
      <c r="J126" s="134">
        <v>0.38880000000000003</v>
      </c>
      <c r="K126" s="134">
        <v>0</v>
      </c>
      <c r="L126" s="134">
        <v>2.4750000000000001</v>
      </c>
      <c r="M126" s="134">
        <v>1.2375</v>
      </c>
      <c r="N126" s="134">
        <v>0.62719999999999998</v>
      </c>
      <c r="O126" s="134">
        <v>1.4400000000000002</v>
      </c>
      <c r="P126" s="134">
        <v>0.73499999999999999</v>
      </c>
      <c r="Q126" s="134">
        <v>0</v>
      </c>
      <c r="R126" s="134">
        <v>0.49000000000000005</v>
      </c>
      <c r="S126" s="134">
        <v>0.32999999999999996</v>
      </c>
      <c r="T126" s="327">
        <v>0.72000000000000008</v>
      </c>
      <c r="V126" s="86"/>
    </row>
    <row r="127" spans="1:22" ht="12.95" customHeight="1" x14ac:dyDescent="0.2">
      <c r="A127" s="324">
        <f t="shared" si="37"/>
        <v>25</v>
      </c>
      <c r="B127" s="133" t="str">
        <f t="shared" si="37"/>
        <v>CÓRREGO BARRA MANSA</v>
      </c>
      <c r="C127" s="133" t="str">
        <f t="shared" si="37"/>
        <v>21°45'26.00"S</v>
      </c>
      <c r="D127" s="133" t="str">
        <f t="shared" si="37"/>
        <v>54°10'16.90"W</v>
      </c>
      <c r="E127" s="123" t="str">
        <f t="shared" si="37"/>
        <v>Simples</v>
      </c>
      <c r="F127" s="133">
        <f t="shared" si="37"/>
        <v>5</v>
      </c>
      <c r="G127" s="133">
        <f t="shared" si="37"/>
        <v>5.6</v>
      </c>
      <c r="H127" s="134">
        <v>0.70067200000000007</v>
      </c>
      <c r="I127" s="134">
        <v>0.29375999999999997</v>
      </c>
      <c r="J127" s="134">
        <v>0.12240000000000001</v>
      </c>
      <c r="K127" s="134">
        <v>0</v>
      </c>
      <c r="L127" s="134">
        <v>0.89999999999999991</v>
      </c>
      <c r="M127" s="134">
        <v>0.44999999999999996</v>
      </c>
      <c r="N127" s="134">
        <v>0.69200000000000006</v>
      </c>
      <c r="O127" s="134">
        <v>0.72000000000000008</v>
      </c>
      <c r="P127" s="134">
        <v>0.33</v>
      </c>
      <c r="Q127" s="134">
        <v>0</v>
      </c>
      <c r="R127" s="134">
        <v>0.22000000000000003</v>
      </c>
      <c r="S127" s="134">
        <v>0.14880000000000002</v>
      </c>
      <c r="T127" s="327">
        <v>0.36000000000000004</v>
      </c>
      <c r="V127" s="86"/>
    </row>
    <row r="128" spans="1:22" ht="12.95" customHeight="1" x14ac:dyDescent="0.2">
      <c r="A128" s="324">
        <f t="shared" si="37"/>
        <v>26</v>
      </c>
      <c r="B128" s="133" t="str">
        <f t="shared" si="37"/>
        <v>CÓRREGO PASSATEMPO 5</v>
      </c>
      <c r="C128" s="133" t="str">
        <f t="shared" si="37"/>
        <v>21°29'57.99''S</v>
      </c>
      <c r="D128" s="133" t="str">
        <f t="shared" si="37"/>
        <v>54°43'07.39''W</v>
      </c>
      <c r="E128" s="123" t="str">
        <f t="shared" si="37"/>
        <v>Simples</v>
      </c>
      <c r="F128" s="133">
        <f t="shared" si="37"/>
        <v>4.4000000000000004</v>
      </c>
      <c r="G128" s="133">
        <f t="shared" si="37"/>
        <v>22.3</v>
      </c>
      <c r="H128" s="134">
        <v>2.7614720000000004</v>
      </c>
      <c r="I128" s="134">
        <v>1.1577600000000001</v>
      </c>
      <c r="J128" s="134">
        <v>0.4824</v>
      </c>
      <c r="K128" s="134">
        <v>0</v>
      </c>
      <c r="L128" s="134">
        <v>3.15</v>
      </c>
      <c r="M128" s="134">
        <v>1.575</v>
      </c>
      <c r="N128" s="134">
        <v>0.62719999999999998</v>
      </c>
      <c r="O128" s="134">
        <v>1.8000000000000003</v>
      </c>
      <c r="P128" s="134">
        <v>0.88200000000000012</v>
      </c>
      <c r="Q128" s="134">
        <v>0</v>
      </c>
      <c r="R128" s="134">
        <v>0.58800000000000008</v>
      </c>
      <c r="S128" s="134">
        <v>0.39600000000000002</v>
      </c>
      <c r="T128" s="327">
        <v>0.90000000000000013</v>
      </c>
      <c r="V128" s="86"/>
    </row>
    <row r="129" spans="1:22" ht="12.95" customHeight="1" x14ac:dyDescent="0.2">
      <c r="A129" s="324"/>
      <c r="B129" s="132"/>
      <c r="C129" s="132"/>
      <c r="D129" s="132"/>
      <c r="E129" s="123"/>
      <c r="F129" s="132"/>
      <c r="G129" s="133"/>
      <c r="H129" s="134"/>
      <c r="I129" s="134"/>
      <c r="J129" s="134"/>
      <c r="K129" s="134"/>
      <c r="L129" s="134"/>
      <c r="M129" s="134"/>
      <c r="N129" s="134"/>
      <c r="O129" s="134"/>
      <c r="P129" s="134"/>
      <c r="Q129" s="134"/>
      <c r="R129" s="134"/>
      <c r="S129" s="134"/>
      <c r="T129" s="327"/>
    </row>
    <row r="130" spans="1:22" ht="12.95" customHeight="1" x14ac:dyDescent="0.2">
      <c r="A130" s="521" t="s">
        <v>81</v>
      </c>
      <c r="B130" s="522"/>
      <c r="C130" s="522"/>
      <c r="D130" s="522"/>
      <c r="E130" s="522"/>
      <c r="F130" s="522"/>
      <c r="G130" s="78">
        <f>TRUNC(SUM(G103:G129),3)</f>
        <v>335.7</v>
      </c>
      <c r="H130" s="78">
        <v>51.957920000000001</v>
      </c>
      <c r="I130" s="78">
        <v>17.425999999999998</v>
      </c>
      <c r="J130" s="78">
        <v>7.2610000000000001</v>
      </c>
      <c r="K130" s="78">
        <v>0</v>
      </c>
      <c r="L130" s="78">
        <v>45.45</v>
      </c>
      <c r="M130" s="78">
        <v>22.725000000000001</v>
      </c>
      <c r="N130" s="78">
        <v>16.652000000000001</v>
      </c>
      <c r="O130" s="78">
        <v>29.52</v>
      </c>
      <c r="P130" s="78">
        <v>14.888999999999999</v>
      </c>
      <c r="Q130" s="78">
        <v>0</v>
      </c>
      <c r="R130" s="78">
        <v>9.9260000000000002</v>
      </c>
      <c r="S130" s="78">
        <v>6.6820000000000004</v>
      </c>
      <c r="T130" s="328">
        <v>14.76</v>
      </c>
    </row>
    <row r="131" spans="1:22" ht="12.95" customHeight="1" x14ac:dyDescent="0.2">
      <c r="A131" s="521" t="s">
        <v>213</v>
      </c>
      <c r="B131" s="522"/>
      <c r="C131" s="522"/>
      <c r="D131" s="522"/>
      <c r="E131" s="522"/>
      <c r="F131" s="522"/>
      <c r="G131" s="522"/>
      <c r="H131" s="522"/>
      <c r="I131" s="522"/>
      <c r="J131" s="522"/>
      <c r="K131" s="522"/>
      <c r="L131" s="522"/>
      <c r="M131" s="522"/>
      <c r="N131" s="522"/>
      <c r="O131" s="522"/>
      <c r="P131" s="522"/>
      <c r="Q131" s="522"/>
      <c r="R131" s="522"/>
      <c r="S131" s="522"/>
      <c r="T131" s="328">
        <v>237.24799999999999</v>
      </c>
      <c r="U131" s="86"/>
      <c r="V131" s="272"/>
    </row>
    <row r="132" spans="1:22" ht="12.95" customHeight="1" thickBot="1" x14ac:dyDescent="0.25">
      <c r="A132" s="528"/>
      <c r="B132" s="529"/>
      <c r="C132" s="529"/>
      <c r="D132" s="529"/>
      <c r="E132" s="529"/>
      <c r="F132" s="529"/>
      <c r="G132" s="529"/>
      <c r="H132" s="529"/>
      <c r="I132" s="529"/>
      <c r="J132" s="529"/>
      <c r="K132" s="529"/>
      <c r="L132" s="529"/>
      <c r="M132" s="529"/>
      <c r="N132" s="529"/>
      <c r="O132" s="529"/>
      <c r="P132" s="529"/>
      <c r="Q132" s="529"/>
      <c r="R132" s="529"/>
      <c r="S132" s="529"/>
      <c r="T132" s="530"/>
    </row>
    <row r="133" spans="1:22" ht="21.75" customHeight="1" x14ac:dyDescent="0.2">
      <c r="A133" s="523" t="s">
        <v>0</v>
      </c>
      <c r="B133" s="527" t="s">
        <v>1</v>
      </c>
      <c r="C133" s="527"/>
      <c r="D133" s="527"/>
      <c r="E133" s="527"/>
      <c r="F133" s="527"/>
      <c r="G133" s="527"/>
      <c r="H133" s="515" t="s">
        <v>400</v>
      </c>
      <c r="I133" s="516"/>
      <c r="J133" s="516"/>
      <c r="K133" s="516"/>
      <c r="L133" s="516"/>
      <c r="M133" s="516"/>
      <c r="N133" s="517"/>
      <c r="O133" s="515" t="s">
        <v>364</v>
      </c>
      <c r="P133" s="516"/>
      <c r="Q133" s="516"/>
      <c r="R133" s="516"/>
      <c r="S133" s="517"/>
      <c r="T133" s="296" t="s">
        <v>408</v>
      </c>
      <c r="U133" s="438" t="s">
        <v>553</v>
      </c>
    </row>
    <row r="134" spans="1:22" ht="24.95" customHeight="1" x14ac:dyDescent="0.2">
      <c r="A134" s="524"/>
      <c r="B134" s="318" t="s">
        <v>504</v>
      </c>
      <c r="C134" s="318" t="str">
        <f>'2 - Serviços'!$C$9</f>
        <v>Latitude</v>
      </c>
      <c r="D134" s="319" t="str">
        <f>'2 - Serviços'!$D$9</f>
        <v>Longitude</v>
      </c>
      <c r="E134" s="320" t="str">
        <f>'2 - Serviços'!$E$9</f>
        <v>Vigamento</v>
      </c>
      <c r="F134" s="319" t="str">
        <f>'2 - Serviços'!$F$9</f>
        <v>Largura (m)</v>
      </c>
      <c r="G134" s="320" t="str">
        <f>'2 - Serviços'!$G$9</f>
        <v>Extensão (m)</v>
      </c>
      <c r="H134" s="320" t="s">
        <v>48</v>
      </c>
      <c r="I134" s="320" t="s">
        <v>54</v>
      </c>
      <c r="J134" s="321" t="s">
        <v>199</v>
      </c>
      <c r="K134" s="320" t="s">
        <v>355</v>
      </c>
      <c r="L134" s="320" t="s">
        <v>55</v>
      </c>
      <c r="M134" s="296" t="s">
        <v>206</v>
      </c>
      <c r="N134" s="296" t="s">
        <v>207</v>
      </c>
      <c r="O134" s="320" t="s">
        <v>48</v>
      </c>
      <c r="P134" s="320" t="s">
        <v>54</v>
      </c>
      <c r="Q134" s="321" t="s">
        <v>199</v>
      </c>
      <c r="R134" s="320" t="s">
        <v>355</v>
      </c>
      <c r="S134" s="320" t="s">
        <v>55</v>
      </c>
      <c r="T134" s="296" t="s">
        <v>336</v>
      </c>
      <c r="U134" s="436" t="s">
        <v>552</v>
      </c>
    </row>
    <row r="135" spans="1:22" ht="12.95" customHeight="1" x14ac:dyDescent="0.2">
      <c r="A135" s="324">
        <f t="shared" ref="A135:G136" si="38">A103</f>
        <v>1</v>
      </c>
      <c r="B135" s="133" t="str">
        <f t="shared" si="38"/>
        <v>CÓRREGO DO CHINELO</v>
      </c>
      <c r="C135" s="133" t="str">
        <f t="shared" si="38"/>
        <v>21°53'30.35''S</v>
      </c>
      <c r="D135" s="133" t="str">
        <f t="shared" si="38"/>
        <v>54°35'16.91''W</v>
      </c>
      <c r="E135" s="123" t="str">
        <f t="shared" si="38"/>
        <v>Simples</v>
      </c>
      <c r="F135" s="133">
        <f t="shared" si="38"/>
        <v>5</v>
      </c>
      <c r="G135" s="133">
        <f t="shared" si="38"/>
        <v>13</v>
      </c>
      <c r="H135" s="141">
        <v>0</v>
      </c>
      <c r="I135" s="141">
        <v>0</v>
      </c>
      <c r="J135" s="141">
        <v>0</v>
      </c>
      <c r="K135" s="141">
        <v>0</v>
      </c>
      <c r="L135" s="141">
        <v>0</v>
      </c>
      <c r="M135" s="134">
        <v>0</v>
      </c>
      <c r="N135" s="134">
        <v>0</v>
      </c>
      <c r="O135" s="302">
        <v>0</v>
      </c>
      <c r="P135" s="302">
        <v>0</v>
      </c>
      <c r="Q135" s="141">
        <v>0</v>
      </c>
      <c r="R135" s="141">
        <v>0</v>
      </c>
      <c r="S135" s="141">
        <v>0</v>
      </c>
      <c r="T135" s="123">
        <v>1</v>
      </c>
      <c r="U135" s="436">
        <f>'2 - Serviços'!T142</f>
        <v>2</v>
      </c>
    </row>
    <row r="136" spans="1:22" ht="12.95" customHeight="1" x14ac:dyDescent="0.2">
      <c r="A136" s="324">
        <f t="shared" si="38"/>
        <v>2</v>
      </c>
      <c r="B136" s="133" t="str">
        <f t="shared" si="38"/>
        <v>CÓRREGO AREIAS</v>
      </c>
      <c r="C136" s="133" t="str">
        <f t="shared" si="38"/>
        <v>21°48'55.89''S</v>
      </c>
      <c r="D136" s="133" t="str">
        <f t="shared" si="38"/>
        <v>54°32'36.89''W</v>
      </c>
      <c r="E136" s="123" t="str">
        <f t="shared" si="38"/>
        <v>Simples</v>
      </c>
      <c r="F136" s="133">
        <f t="shared" si="38"/>
        <v>4.4000000000000004</v>
      </c>
      <c r="G136" s="133">
        <f t="shared" si="38"/>
        <v>6</v>
      </c>
      <c r="H136" s="141">
        <v>0</v>
      </c>
      <c r="I136" s="141">
        <v>0</v>
      </c>
      <c r="J136" s="141">
        <v>0</v>
      </c>
      <c r="K136" s="141">
        <v>0</v>
      </c>
      <c r="L136" s="141">
        <v>0</v>
      </c>
      <c r="M136" s="134">
        <v>0</v>
      </c>
      <c r="N136" s="134">
        <v>0</v>
      </c>
      <c r="O136" s="302">
        <v>0</v>
      </c>
      <c r="P136" s="302">
        <v>0</v>
      </c>
      <c r="Q136" s="141">
        <v>0</v>
      </c>
      <c r="R136" s="141">
        <v>0</v>
      </c>
      <c r="S136" s="141">
        <v>0</v>
      </c>
      <c r="T136" s="123">
        <v>1</v>
      </c>
      <c r="U136" s="436">
        <f>'2 - Serviços'!T143</f>
        <v>2</v>
      </c>
    </row>
    <row r="137" spans="1:22" ht="12.95" customHeight="1" x14ac:dyDescent="0.2">
      <c r="A137" s="324">
        <f t="shared" ref="A137:G137" si="39">A105</f>
        <v>3</v>
      </c>
      <c r="B137" s="133" t="str">
        <f t="shared" si="39"/>
        <v>CÓRREGO ARARAS</v>
      </c>
      <c r="C137" s="133" t="str">
        <f t="shared" si="39"/>
        <v>21°47'42.63''S</v>
      </c>
      <c r="D137" s="133" t="str">
        <f t="shared" si="39"/>
        <v>54°31'56.42''W</v>
      </c>
      <c r="E137" s="123" t="str">
        <f t="shared" si="39"/>
        <v>Simples</v>
      </c>
      <c r="F137" s="133">
        <f t="shared" si="39"/>
        <v>4.8</v>
      </c>
      <c r="G137" s="133">
        <f t="shared" si="39"/>
        <v>12</v>
      </c>
      <c r="H137" s="141">
        <v>0</v>
      </c>
      <c r="I137" s="141">
        <v>0</v>
      </c>
      <c r="J137" s="141">
        <v>0</v>
      </c>
      <c r="K137" s="141">
        <v>0</v>
      </c>
      <c r="L137" s="141">
        <v>0</v>
      </c>
      <c r="M137" s="134">
        <v>0</v>
      </c>
      <c r="N137" s="134">
        <v>0</v>
      </c>
      <c r="O137" s="302">
        <v>0</v>
      </c>
      <c r="P137" s="302">
        <v>0</v>
      </c>
      <c r="Q137" s="141">
        <v>0</v>
      </c>
      <c r="R137" s="141">
        <v>0</v>
      </c>
      <c r="S137" s="141">
        <v>0</v>
      </c>
      <c r="T137" s="123">
        <v>1</v>
      </c>
      <c r="U137" s="436">
        <f>'2 - Serviços'!T144</f>
        <v>2</v>
      </c>
    </row>
    <row r="138" spans="1:22" ht="12.95" customHeight="1" x14ac:dyDescent="0.2">
      <c r="A138" s="324">
        <f t="shared" ref="A138:G138" si="40">A106</f>
        <v>4</v>
      </c>
      <c r="B138" s="133" t="str">
        <f t="shared" si="40"/>
        <v>CÓRREGO FORMIGA</v>
      </c>
      <c r="C138" s="133" t="str">
        <f t="shared" si="40"/>
        <v>21°39'27.48''S</v>
      </c>
      <c r="D138" s="133" t="str">
        <f t="shared" si="40"/>
        <v>54°25'31.76''W</v>
      </c>
      <c r="E138" s="123" t="str">
        <f t="shared" si="40"/>
        <v>Simples</v>
      </c>
      <c r="F138" s="133">
        <f t="shared" si="40"/>
        <v>4.4000000000000004</v>
      </c>
      <c r="G138" s="133">
        <f t="shared" si="40"/>
        <v>13.2</v>
      </c>
      <c r="H138" s="141">
        <v>0</v>
      </c>
      <c r="I138" s="141">
        <v>0</v>
      </c>
      <c r="J138" s="141">
        <v>0</v>
      </c>
      <c r="K138" s="141">
        <v>0</v>
      </c>
      <c r="L138" s="141">
        <v>0</v>
      </c>
      <c r="M138" s="134">
        <v>0</v>
      </c>
      <c r="N138" s="134">
        <v>0</v>
      </c>
      <c r="O138" s="302">
        <v>0</v>
      </c>
      <c r="P138" s="302">
        <v>0</v>
      </c>
      <c r="Q138" s="141">
        <v>0</v>
      </c>
      <c r="R138" s="141">
        <v>0</v>
      </c>
      <c r="S138" s="141">
        <v>0</v>
      </c>
      <c r="T138" s="123">
        <v>1</v>
      </c>
      <c r="U138" s="436">
        <f>'2 - Serviços'!T145</f>
        <v>2</v>
      </c>
    </row>
    <row r="139" spans="1:22" ht="12.95" customHeight="1" x14ac:dyDescent="0.2">
      <c r="A139" s="324">
        <f t="shared" ref="A139:G139" si="41">A107</f>
        <v>5</v>
      </c>
      <c r="B139" s="133" t="str">
        <f t="shared" si="41"/>
        <v>CÓRREGO ANTINHA</v>
      </c>
      <c r="C139" s="133" t="str">
        <f t="shared" si="41"/>
        <v>21°38'42.22''S</v>
      </c>
      <c r="D139" s="133" t="str">
        <f t="shared" si="41"/>
        <v>54°27'12.82''W</v>
      </c>
      <c r="E139" s="123" t="str">
        <f t="shared" si="41"/>
        <v>Simples</v>
      </c>
      <c r="F139" s="133">
        <f t="shared" si="41"/>
        <v>4.4000000000000004</v>
      </c>
      <c r="G139" s="133">
        <f t="shared" si="41"/>
        <v>7.2</v>
      </c>
      <c r="H139" s="141">
        <v>0</v>
      </c>
      <c r="I139" s="141">
        <v>0</v>
      </c>
      <c r="J139" s="141">
        <v>0</v>
      </c>
      <c r="K139" s="141">
        <v>0</v>
      </c>
      <c r="L139" s="141">
        <v>0</v>
      </c>
      <c r="M139" s="134">
        <v>0</v>
      </c>
      <c r="N139" s="134">
        <v>0</v>
      </c>
      <c r="O139" s="302">
        <v>0</v>
      </c>
      <c r="P139" s="302">
        <v>0</v>
      </c>
      <c r="Q139" s="141">
        <v>0</v>
      </c>
      <c r="R139" s="141">
        <v>0</v>
      </c>
      <c r="S139" s="141">
        <v>0</v>
      </c>
      <c r="T139" s="123">
        <v>1</v>
      </c>
      <c r="U139" s="436">
        <f>'2 - Serviços'!T146</f>
        <v>2</v>
      </c>
    </row>
    <row r="140" spans="1:22" ht="12.95" customHeight="1" x14ac:dyDescent="0.2">
      <c r="A140" s="324">
        <f t="shared" ref="A140:G140" si="42">A108</f>
        <v>6</v>
      </c>
      <c r="B140" s="133" t="str">
        <f t="shared" si="42"/>
        <v>CÓRREGO FORMIGA</v>
      </c>
      <c r="C140" s="133" t="str">
        <f t="shared" si="42"/>
        <v>21°38'56.23''S</v>
      </c>
      <c r="D140" s="133" t="str">
        <f t="shared" si="42"/>
        <v>54°25'01.82''W</v>
      </c>
      <c r="E140" s="123" t="str">
        <f t="shared" si="42"/>
        <v>Simples</v>
      </c>
      <c r="F140" s="133">
        <f t="shared" si="42"/>
        <v>4.4000000000000004</v>
      </c>
      <c r="G140" s="133">
        <f t="shared" si="42"/>
        <v>12</v>
      </c>
      <c r="H140" s="141">
        <v>0</v>
      </c>
      <c r="I140" s="141">
        <v>0</v>
      </c>
      <c r="J140" s="141">
        <v>0</v>
      </c>
      <c r="K140" s="141">
        <v>0</v>
      </c>
      <c r="L140" s="141">
        <v>0</v>
      </c>
      <c r="M140" s="134">
        <v>0</v>
      </c>
      <c r="N140" s="134">
        <v>0</v>
      </c>
      <c r="O140" s="302">
        <v>0</v>
      </c>
      <c r="P140" s="302">
        <v>0</v>
      </c>
      <c r="Q140" s="141">
        <v>0</v>
      </c>
      <c r="R140" s="141">
        <v>0</v>
      </c>
      <c r="S140" s="141">
        <v>0</v>
      </c>
      <c r="T140" s="123">
        <v>1</v>
      </c>
      <c r="U140" s="436">
        <f>'2 - Serviços'!T147</f>
        <v>2</v>
      </c>
    </row>
    <row r="141" spans="1:22" ht="12.95" customHeight="1" x14ac:dyDescent="0.2">
      <c r="A141" s="324">
        <f t="shared" ref="A141:G141" si="43">A109</f>
        <v>7</v>
      </c>
      <c r="B141" s="133" t="str">
        <f t="shared" si="43"/>
        <v>CÓRREGO QUILOMBO</v>
      </c>
      <c r="C141" s="133" t="str">
        <f t="shared" si="43"/>
        <v>21°42'14.33''S</v>
      </c>
      <c r="D141" s="133" t="str">
        <f t="shared" si="43"/>
        <v>54°20'39.58''W</v>
      </c>
      <c r="E141" s="123" t="str">
        <f t="shared" si="43"/>
        <v>Simples</v>
      </c>
      <c r="F141" s="133">
        <f t="shared" si="43"/>
        <v>4.4000000000000004</v>
      </c>
      <c r="G141" s="133">
        <f t="shared" si="43"/>
        <v>6.8</v>
      </c>
      <c r="H141" s="141">
        <v>0</v>
      </c>
      <c r="I141" s="141">
        <v>0</v>
      </c>
      <c r="J141" s="141">
        <v>0</v>
      </c>
      <c r="K141" s="141">
        <v>0</v>
      </c>
      <c r="L141" s="141">
        <v>0</v>
      </c>
      <c r="M141" s="134">
        <v>0</v>
      </c>
      <c r="N141" s="134">
        <v>0</v>
      </c>
      <c r="O141" s="302">
        <v>0</v>
      </c>
      <c r="P141" s="302">
        <v>0</v>
      </c>
      <c r="Q141" s="141">
        <v>0</v>
      </c>
      <c r="R141" s="141">
        <v>0</v>
      </c>
      <c r="S141" s="141">
        <v>0</v>
      </c>
      <c r="T141" s="123">
        <v>1</v>
      </c>
      <c r="U141" s="436">
        <f>'2 - Serviços'!T148</f>
        <v>2</v>
      </c>
    </row>
    <row r="142" spans="1:22" ht="12.95" customHeight="1" x14ac:dyDescent="0.2">
      <c r="A142" s="324">
        <f t="shared" ref="A142:G142" si="44">A110</f>
        <v>8</v>
      </c>
      <c r="B142" s="133" t="str">
        <f t="shared" si="44"/>
        <v>ARROIO CORREGUINHO</v>
      </c>
      <c r="C142" s="133" t="str">
        <f t="shared" si="44"/>
        <v>21°42'39.87''S</v>
      </c>
      <c r="D142" s="133" t="str">
        <f t="shared" si="44"/>
        <v>54°18'52.81''W</v>
      </c>
      <c r="E142" s="123" t="str">
        <f t="shared" si="44"/>
        <v>Simples</v>
      </c>
      <c r="F142" s="133">
        <f t="shared" si="44"/>
        <v>4.4000000000000004</v>
      </c>
      <c r="G142" s="133">
        <f t="shared" si="44"/>
        <v>5.8</v>
      </c>
      <c r="H142" s="141">
        <v>0</v>
      </c>
      <c r="I142" s="141">
        <v>0</v>
      </c>
      <c r="J142" s="141">
        <v>0</v>
      </c>
      <c r="K142" s="141">
        <v>0</v>
      </c>
      <c r="L142" s="141">
        <v>0</v>
      </c>
      <c r="M142" s="134">
        <v>0</v>
      </c>
      <c r="N142" s="134">
        <v>0</v>
      </c>
      <c r="O142" s="302">
        <v>0</v>
      </c>
      <c r="P142" s="302">
        <v>0</v>
      </c>
      <c r="Q142" s="141">
        <v>0</v>
      </c>
      <c r="R142" s="141">
        <v>0</v>
      </c>
      <c r="S142" s="141">
        <v>0</v>
      </c>
      <c r="T142" s="123">
        <v>1</v>
      </c>
      <c r="U142" s="436">
        <f>'2 - Serviços'!T149</f>
        <v>2</v>
      </c>
    </row>
    <row r="143" spans="1:22" ht="12.95" customHeight="1" x14ac:dyDescent="0.2">
      <c r="A143" s="324">
        <f t="shared" ref="A143:G143" si="45">A111</f>
        <v>9</v>
      </c>
      <c r="B143" s="133" t="str">
        <f t="shared" si="45"/>
        <v>CÓRREGO GUATAMBU</v>
      </c>
      <c r="C143" s="133" t="str">
        <f t="shared" si="45"/>
        <v>21°43'17.70"S</v>
      </c>
      <c r="D143" s="133" t="str">
        <f t="shared" si="45"/>
        <v>54°16'36.10"W</v>
      </c>
      <c r="E143" s="123" t="str">
        <f t="shared" si="45"/>
        <v>Simples</v>
      </c>
      <c r="F143" s="133">
        <f t="shared" si="45"/>
        <v>4.4000000000000004</v>
      </c>
      <c r="G143" s="133">
        <f t="shared" si="45"/>
        <v>10.6</v>
      </c>
      <c r="H143" s="141">
        <v>0</v>
      </c>
      <c r="I143" s="141">
        <v>0</v>
      </c>
      <c r="J143" s="141">
        <v>0</v>
      </c>
      <c r="K143" s="141">
        <v>0</v>
      </c>
      <c r="L143" s="141">
        <v>0</v>
      </c>
      <c r="M143" s="134">
        <v>0</v>
      </c>
      <c r="N143" s="134">
        <v>0</v>
      </c>
      <c r="O143" s="302">
        <v>0</v>
      </c>
      <c r="P143" s="302">
        <v>0</v>
      </c>
      <c r="Q143" s="141">
        <v>0</v>
      </c>
      <c r="R143" s="141">
        <v>0</v>
      </c>
      <c r="S143" s="141">
        <v>0</v>
      </c>
      <c r="T143" s="123">
        <v>1</v>
      </c>
      <c r="U143" s="436">
        <f>'2 - Serviços'!T150</f>
        <v>2</v>
      </c>
    </row>
    <row r="144" spans="1:22" ht="12.95" customHeight="1" x14ac:dyDescent="0.2">
      <c r="A144" s="324">
        <f t="shared" ref="A144:G144" si="46">A112</f>
        <v>10</v>
      </c>
      <c r="B144" s="133" t="str">
        <f t="shared" si="46"/>
        <v>CÓRREGO QUILOMBO</v>
      </c>
      <c r="C144" s="133" t="str">
        <f t="shared" si="46"/>
        <v>21°42'51.11''S</v>
      </c>
      <c r="D144" s="133" t="str">
        <f t="shared" si="46"/>
        <v>54°16'52.81''W</v>
      </c>
      <c r="E144" s="123" t="str">
        <f t="shared" si="46"/>
        <v>Simples</v>
      </c>
      <c r="F144" s="133">
        <f t="shared" si="46"/>
        <v>4.4000000000000004</v>
      </c>
      <c r="G144" s="133">
        <f t="shared" si="46"/>
        <v>5.8</v>
      </c>
      <c r="H144" s="141">
        <v>0</v>
      </c>
      <c r="I144" s="141">
        <v>0</v>
      </c>
      <c r="J144" s="141">
        <v>0</v>
      </c>
      <c r="K144" s="141">
        <v>0</v>
      </c>
      <c r="L144" s="141">
        <v>0</v>
      </c>
      <c r="M144" s="134">
        <v>0</v>
      </c>
      <c r="N144" s="134">
        <v>0</v>
      </c>
      <c r="O144" s="302">
        <v>0</v>
      </c>
      <c r="P144" s="302">
        <v>0</v>
      </c>
      <c r="Q144" s="141">
        <v>0</v>
      </c>
      <c r="R144" s="141">
        <v>0</v>
      </c>
      <c r="S144" s="141">
        <v>0</v>
      </c>
      <c r="T144" s="123">
        <v>1</v>
      </c>
      <c r="U144" s="436">
        <f>'2 - Serviços'!T151</f>
        <v>2</v>
      </c>
    </row>
    <row r="145" spans="1:21" ht="12.95" customHeight="1" x14ac:dyDescent="0.2">
      <c r="A145" s="324">
        <f t="shared" ref="A145:G145" si="47">A113</f>
        <v>11</v>
      </c>
      <c r="B145" s="133" t="str">
        <f t="shared" si="47"/>
        <v>CÓRREGO SAPÉ</v>
      </c>
      <c r="C145" s="133" t="str">
        <f t="shared" si="47"/>
        <v>21°44'57.50"S</v>
      </c>
      <c r="D145" s="133" t="str">
        <f t="shared" si="47"/>
        <v>54°18'00.40"W</v>
      </c>
      <c r="E145" s="123" t="str">
        <f t="shared" si="47"/>
        <v>Simples</v>
      </c>
      <c r="F145" s="133">
        <f t="shared" si="47"/>
        <v>4.4000000000000004</v>
      </c>
      <c r="G145" s="133">
        <f t="shared" si="47"/>
        <v>10.8</v>
      </c>
      <c r="H145" s="141">
        <v>0</v>
      </c>
      <c r="I145" s="141">
        <v>0</v>
      </c>
      <c r="J145" s="141">
        <v>0</v>
      </c>
      <c r="K145" s="141">
        <v>0</v>
      </c>
      <c r="L145" s="141">
        <v>0</v>
      </c>
      <c r="M145" s="134">
        <v>0</v>
      </c>
      <c r="N145" s="134">
        <v>0</v>
      </c>
      <c r="O145" s="302">
        <v>0</v>
      </c>
      <c r="P145" s="302">
        <v>0</v>
      </c>
      <c r="Q145" s="141">
        <v>0</v>
      </c>
      <c r="R145" s="141">
        <v>0</v>
      </c>
      <c r="S145" s="141">
        <v>0</v>
      </c>
      <c r="T145" s="123">
        <v>1</v>
      </c>
      <c r="U145" s="436">
        <f>'2 - Serviços'!T152</f>
        <v>2</v>
      </c>
    </row>
    <row r="146" spans="1:21" ht="12.95" customHeight="1" x14ac:dyDescent="0.2">
      <c r="A146" s="324">
        <f t="shared" ref="A146:G146" si="48">A114</f>
        <v>12</v>
      </c>
      <c r="B146" s="133" t="str">
        <f t="shared" si="48"/>
        <v>CÓRREGO JUREMA</v>
      </c>
      <c r="C146" s="133" t="str">
        <f t="shared" si="48"/>
        <v>21°47'02.84''S</v>
      </c>
      <c r="D146" s="133" t="str">
        <f t="shared" si="48"/>
        <v>54°14'35.61''W</v>
      </c>
      <c r="E146" s="123" t="str">
        <f t="shared" si="48"/>
        <v>Simples</v>
      </c>
      <c r="F146" s="133">
        <f t="shared" si="48"/>
        <v>4.4000000000000004</v>
      </c>
      <c r="G146" s="133">
        <f t="shared" si="48"/>
        <v>7.1</v>
      </c>
      <c r="H146" s="141">
        <v>0</v>
      </c>
      <c r="I146" s="141">
        <v>0</v>
      </c>
      <c r="J146" s="141">
        <v>0</v>
      </c>
      <c r="K146" s="141">
        <v>0</v>
      </c>
      <c r="L146" s="141">
        <v>0</v>
      </c>
      <c r="M146" s="134">
        <v>0</v>
      </c>
      <c r="N146" s="134">
        <v>0</v>
      </c>
      <c r="O146" s="302">
        <v>0</v>
      </c>
      <c r="P146" s="302">
        <v>0</v>
      </c>
      <c r="Q146" s="141">
        <v>0</v>
      </c>
      <c r="R146" s="141">
        <v>0</v>
      </c>
      <c r="S146" s="141">
        <v>0</v>
      </c>
      <c r="T146" s="123">
        <v>1</v>
      </c>
      <c r="U146" s="436">
        <f>'2 - Serviços'!T153</f>
        <v>2</v>
      </c>
    </row>
    <row r="147" spans="1:21" ht="12.95" customHeight="1" x14ac:dyDescent="0.2">
      <c r="A147" s="324">
        <f t="shared" ref="A147:G147" si="49">A115</f>
        <v>13</v>
      </c>
      <c r="B147" s="133" t="str">
        <f t="shared" si="49"/>
        <v>CÓRREGO ARACI</v>
      </c>
      <c r="C147" s="133" t="str">
        <f t="shared" si="49"/>
        <v>21°45'04.33''S</v>
      </c>
      <c r="D147" s="133" t="str">
        <f t="shared" si="49"/>
        <v>54°12'41.25''W</v>
      </c>
      <c r="E147" s="123" t="str">
        <f t="shared" si="49"/>
        <v>Simples</v>
      </c>
      <c r="F147" s="133">
        <f t="shared" si="49"/>
        <v>4.4000000000000004</v>
      </c>
      <c r="G147" s="133">
        <f t="shared" si="49"/>
        <v>6.4</v>
      </c>
      <c r="H147" s="141">
        <v>0</v>
      </c>
      <c r="I147" s="141">
        <v>0</v>
      </c>
      <c r="J147" s="141">
        <v>0</v>
      </c>
      <c r="K147" s="141">
        <v>0</v>
      </c>
      <c r="L147" s="141">
        <v>0</v>
      </c>
      <c r="M147" s="134">
        <v>0</v>
      </c>
      <c r="N147" s="134">
        <v>0</v>
      </c>
      <c r="O147" s="302">
        <v>0</v>
      </c>
      <c r="P147" s="302">
        <v>0</v>
      </c>
      <c r="Q147" s="141">
        <v>0</v>
      </c>
      <c r="R147" s="141">
        <v>0</v>
      </c>
      <c r="S147" s="141">
        <v>0</v>
      </c>
      <c r="T147" s="123">
        <v>1</v>
      </c>
      <c r="U147" s="436">
        <f>'2 - Serviços'!T154</f>
        <v>2</v>
      </c>
    </row>
    <row r="148" spans="1:21" ht="12.95" customHeight="1" x14ac:dyDescent="0.2">
      <c r="A148" s="324">
        <f t="shared" ref="A148:G148" si="50">A116</f>
        <v>14</v>
      </c>
      <c r="B148" s="133" t="str">
        <f t="shared" si="50"/>
        <v>CÓRREGO ANHUMAS</v>
      </c>
      <c r="C148" s="133" t="str">
        <f t="shared" si="50"/>
        <v>21°51'40.49''S</v>
      </c>
      <c r="D148" s="133" t="str">
        <f t="shared" si="50"/>
        <v>54°08'14.26''W</v>
      </c>
      <c r="E148" s="123" t="str">
        <f t="shared" si="50"/>
        <v>Simples</v>
      </c>
      <c r="F148" s="133">
        <f t="shared" si="50"/>
        <v>4.4000000000000004</v>
      </c>
      <c r="G148" s="133">
        <f t="shared" si="50"/>
        <v>11.8</v>
      </c>
      <c r="H148" s="141">
        <v>0</v>
      </c>
      <c r="I148" s="141">
        <v>0</v>
      </c>
      <c r="J148" s="141">
        <v>0</v>
      </c>
      <c r="K148" s="141">
        <v>0</v>
      </c>
      <c r="L148" s="141">
        <v>0</v>
      </c>
      <c r="M148" s="134">
        <v>0</v>
      </c>
      <c r="N148" s="134">
        <v>0</v>
      </c>
      <c r="O148" s="302">
        <v>0</v>
      </c>
      <c r="P148" s="302">
        <v>0</v>
      </c>
      <c r="Q148" s="141">
        <v>0</v>
      </c>
      <c r="R148" s="141">
        <v>0</v>
      </c>
      <c r="S148" s="141">
        <v>0</v>
      </c>
      <c r="T148" s="123">
        <v>1</v>
      </c>
      <c r="U148" s="436">
        <f>'2 - Serviços'!T155</f>
        <v>2</v>
      </c>
    </row>
    <row r="149" spans="1:21" ht="12.95" customHeight="1" x14ac:dyDescent="0.2">
      <c r="A149" s="324">
        <f t="shared" ref="A149:G149" si="51">A117</f>
        <v>15</v>
      </c>
      <c r="B149" s="133" t="str">
        <f t="shared" si="51"/>
        <v>CÓRREGO CHIFRE DO VIADO</v>
      </c>
      <c r="C149" s="133" t="str">
        <f t="shared" si="51"/>
        <v>21°40'35.65''S</v>
      </c>
      <c r="D149" s="133" t="str">
        <f t="shared" si="51"/>
        <v>54°56'15.44''W</v>
      </c>
      <c r="E149" s="123" t="str">
        <f t="shared" si="51"/>
        <v>Simples</v>
      </c>
      <c r="F149" s="133">
        <f t="shared" si="51"/>
        <v>5</v>
      </c>
      <c r="G149" s="133">
        <f t="shared" si="51"/>
        <v>12</v>
      </c>
      <c r="H149" s="141">
        <v>0</v>
      </c>
      <c r="I149" s="141">
        <v>0</v>
      </c>
      <c r="J149" s="141">
        <v>0</v>
      </c>
      <c r="K149" s="141">
        <v>0</v>
      </c>
      <c r="L149" s="141">
        <v>0</v>
      </c>
      <c r="M149" s="134">
        <v>0</v>
      </c>
      <c r="N149" s="134">
        <v>0</v>
      </c>
      <c r="O149" s="302">
        <v>0</v>
      </c>
      <c r="P149" s="302">
        <v>0</v>
      </c>
      <c r="Q149" s="141">
        <v>0</v>
      </c>
      <c r="R149" s="141">
        <v>0</v>
      </c>
      <c r="S149" s="141">
        <v>0</v>
      </c>
      <c r="T149" s="123">
        <v>1</v>
      </c>
      <c r="U149" s="436">
        <f>'2 - Serviços'!T156</f>
        <v>2</v>
      </c>
    </row>
    <row r="150" spans="1:21" ht="12.95" customHeight="1" x14ac:dyDescent="0.2">
      <c r="A150" s="324">
        <f t="shared" ref="A150:G150" si="52">A118</f>
        <v>16</v>
      </c>
      <c r="B150" s="133" t="str">
        <f t="shared" si="52"/>
        <v>CÓRREGO SANTA RITA</v>
      </c>
      <c r="C150" s="133" t="str">
        <f t="shared" si="52"/>
        <v>21°33'23.75''S</v>
      </c>
      <c r="D150" s="133" t="str">
        <f t="shared" si="52"/>
        <v>54°35'26.66''W</v>
      </c>
      <c r="E150" s="123" t="str">
        <f t="shared" si="52"/>
        <v>Simples</v>
      </c>
      <c r="F150" s="133">
        <f t="shared" si="52"/>
        <v>4.4000000000000004</v>
      </c>
      <c r="G150" s="133">
        <f t="shared" si="52"/>
        <v>22.1</v>
      </c>
      <c r="H150" s="141">
        <v>0</v>
      </c>
      <c r="I150" s="141">
        <v>0</v>
      </c>
      <c r="J150" s="141">
        <v>0</v>
      </c>
      <c r="K150" s="141">
        <v>0</v>
      </c>
      <c r="L150" s="141">
        <v>0</v>
      </c>
      <c r="M150" s="134">
        <v>0</v>
      </c>
      <c r="N150" s="134">
        <v>0</v>
      </c>
      <c r="O150" s="302">
        <v>0</v>
      </c>
      <c r="P150" s="302">
        <v>0</v>
      </c>
      <c r="Q150" s="141">
        <v>0</v>
      </c>
      <c r="R150" s="141">
        <v>0</v>
      </c>
      <c r="S150" s="141">
        <v>0</v>
      </c>
      <c r="T150" s="123">
        <v>1</v>
      </c>
      <c r="U150" s="436">
        <f>'2 - Serviços'!T157</f>
        <v>4</v>
      </c>
    </row>
    <row r="151" spans="1:21" ht="12.95" customHeight="1" x14ac:dyDescent="0.2">
      <c r="A151" s="324">
        <f t="shared" ref="A151:G151" si="53">A119</f>
        <v>17</v>
      </c>
      <c r="B151" s="133" t="str">
        <f t="shared" si="53"/>
        <v>RIO SERROTE</v>
      </c>
      <c r="C151" s="133" t="str">
        <f t="shared" si="53"/>
        <v>21°25'01.14''S</v>
      </c>
      <c r="D151" s="133" t="str">
        <f t="shared" si="53"/>
        <v>54°43'16.96''W</v>
      </c>
      <c r="E151" s="123" t="str">
        <f t="shared" si="53"/>
        <v>Simples</v>
      </c>
      <c r="F151" s="133">
        <f t="shared" si="53"/>
        <v>4.4000000000000004</v>
      </c>
      <c r="G151" s="133">
        <f t="shared" si="53"/>
        <v>24.6</v>
      </c>
      <c r="H151" s="141">
        <v>0</v>
      </c>
      <c r="I151" s="141">
        <v>0</v>
      </c>
      <c r="J151" s="141">
        <v>0</v>
      </c>
      <c r="K151" s="141">
        <v>0</v>
      </c>
      <c r="L151" s="141">
        <v>0</v>
      </c>
      <c r="M151" s="134">
        <v>0</v>
      </c>
      <c r="N151" s="134">
        <v>0</v>
      </c>
      <c r="O151" s="302">
        <v>0</v>
      </c>
      <c r="P151" s="302">
        <v>0</v>
      </c>
      <c r="Q151" s="141">
        <v>0</v>
      </c>
      <c r="R151" s="141">
        <v>0</v>
      </c>
      <c r="S151" s="141">
        <v>0</v>
      </c>
      <c r="T151" s="123">
        <v>1</v>
      </c>
      <c r="U151" s="436">
        <f>'2 - Serviços'!T158</f>
        <v>5</v>
      </c>
    </row>
    <row r="152" spans="1:21" ht="12.95" customHeight="1" x14ac:dyDescent="0.2">
      <c r="A152" s="324">
        <f t="shared" ref="A152:G152" si="54">A120</f>
        <v>18</v>
      </c>
      <c r="B152" s="133" t="str">
        <f t="shared" si="54"/>
        <v>CÓRREGO PASSATEMPO 1</v>
      </c>
      <c r="C152" s="133" t="str">
        <f t="shared" si="54"/>
        <v>21°29'34.92''S</v>
      </c>
      <c r="D152" s="133" t="str">
        <f t="shared" si="54"/>
        <v>54°49'18.44''W</v>
      </c>
      <c r="E152" s="123" t="str">
        <f t="shared" si="54"/>
        <v>Simples</v>
      </c>
      <c r="F152" s="133">
        <f t="shared" si="54"/>
        <v>4.4000000000000004</v>
      </c>
      <c r="G152" s="133">
        <f t="shared" si="54"/>
        <v>16.399999999999999</v>
      </c>
      <c r="H152" s="141">
        <v>0</v>
      </c>
      <c r="I152" s="141">
        <v>0</v>
      </c>
      <c r="J152" s="141">
        <v>0</v>
      </c>
      <c r="K152" s="141">
        <v>0</v>
      </c>
      <c r="L152" s="141">
        <v>0</v>
      </c>
      <c r="M152" s="134">
        <v>0</v>
      </c>
      <c r="N152" s="134">
        <v>0</v>
      </c>
      <c r="O152" s="302">
        <v>0</v>
      </c>
      <c r="P152" s="302">
        <v>0</v>
      </c>
      <c r="Q152" s="141">
        <v>0</v>
      </c>
      <c r="R152" s="141">
        <v>0</v>
      </c>
      <c r="S152" s="141">
        <v>0</v>
      </c>
      <c r="T152" s="123">
        <v>1</v>
      </c>
      <c r="U152" s="436">
        <f>'2 - Serviços'!T159</f>
        <v>2</v>
      </c>
    </row>
    <row r="153" spans="1:21" ht="12.95" customHeight="1" x14ac:dyDescent="0.2">
      <c r="A153" s="324">
        <f t="shared" ref="A153:G153" si="55">A121</f>
        <v>19</v>
      </c>
      <c r="B153" s="133" t="str">
        <f t="shared" si="55"/>
        <v>CÓRREGO PASSATEMPO 2</v>
      </c>
      <c r="C153" s="133" t="str">
        <f t="shared" si="55"/>
        <v>21°29'33.39''S</v>
      </c>
      <c r="D153" s="133" t="str">
        <f t="shared" si="55"/>
        <v>54°49'17.44''W</v>
      </c>
      <c r="E153" s="123" t="str">
        <f t="shared" si="55"/>
        <v>Simples</v>
      </c>
      <c r="F153" s="133">
        <f t="shared" si="55"/>
        <v>4.4000000000000004</v>
      </c>
      <c r="G153" s="133">
        <f t="shared" si="55"/>
        <v>19.600000000000001</v>
      </c>
      <c r="H153" s="141">
        <v>0</v>
      </c>
      <c r="I153" s="141">
        <v>0</v>
      </c>
      <c r="J153" s="141">
        <v>0</v>
      </c>
      <c r="K153" s="141">
        <v>0</v>
      </c>
      <c r="L153" s="141">
        <v>0</v>
      </c>
      <c r="M153" s="134">
        <v>0</v>
      </c>
      <c r="N153" s="134">
        <v>0</v>
      </c>
      <c r="O153" s="302">
        <v>0</v>
      </c>
      <c r="P153" s="302">
        <v>0</v>
      </c>
      <c r="Q153" s="141">
        <v>0</v>
      </c>
      <c r="R153" s="141">
        <v>0</v>
      </c>
      <c r="S153" s="141">
        <v>0</v>
      </c>
      <c r="T153" s="123">
        <v>1</v>
      </c>
      <c r="U153" s="436">
        <f>'2 - Serviços'!T160</f>
        <v>4</v>
      </c>
    </row>
    <row r="154" spans="1:21" ht="12.95" customHeight="1" x14ac:dyDescent="0.2">
      <c r="A154" s="324">
        <f t="shared" ref="A154:G154" si="56">A122</f>
        <v>20</v>
      </c>
      <c r="B154" s="133" t="str">
        <f t="shared" si="56"/>
        <v>CÓRREGO PASSATEMPO 3</v>
      </c>
      <c r="C154" s="133" t="str">
        <f t="shared" si="56"/>
        <v>21°28'09.42''S</v>
      </c>
      <c r="D154" s="133" t="str">
        <f t="shared" si="56"/>
        <v>54°48'01.11''W</v>
      </c>
      <c r="E154" s="123" t="str">
        <f t="shared" si="56"/>
        <v>Simples</v>
      </c>
      <c r="F154" s="133">
        <f t="shared" si="56"/>
        <v>5</v>
      </c>
      <c r="G154" s="133">
        <f t="shared" si="56"/>
        <v>6</v>
      </c>
      <c r="H154" s="141">
        <v>0</v>
      </c>
      <c r="I154" s="141">
        <v>0</v>
      </c>
      <c r="J154" s="141">
        <v>0</v>
      </c>
      <c r="K154" s="141">
        <v>0</v>
      </c>
      <c r="L154" s="141">
        <v>0</v>
      </c>
      <c r="M154" s="134">
        <v>0</v>
      </c>
      <c r="N154" s="134">
        <v>0</v>
      </c>
      <c r="O154" s="302">
        <v>0</v>
      </c>
      <c r="P154" s="302">
        <v>0</v>
      </c>
      <c r="Q154" s="141">
        <v>0</v>
      </c>
      <c r="R154" s="141">
        <v>0</v>
      </c>
      <c r="S154" s="141">
        <v>0</v>
      </c>
      <c r="T154" s="123">
        <v>1</v>
      </c>
      <c r="U154" s="436">
        <f>'2 - Serviços'!T161</f>
        <v>2</v>
      </c>
    </row>
    <row r="155" spans="1:21" ht="12.95" customHeight="1" x14ac:dyDescent="0.2">
      <c r="A155" s="324">
        <f t="shared" ref="A155:G155" si="57">A123</f>
        <v>21</v>
      </c>
      <c r="B155" s="133" t="str">
        <f t="shared" si="57"/>
        <v>CÓRREGO TAQUARA</v>
      </c>
      <c r="C155" s="133" t="str">
        <f t="shared" si="57"/>
        <v>21°21'07.90''S</v>
      </c>
      <c r="D155" s="133" t="str">
        <f t="shared" si="57"/>
        <v>54°50'07.01''W</v>
      </c>
      <c r="E155" s="123" t="str">
        <f t="shared" si="57"/>
        <v>Simples</v>
      </c>
      <c r="F155" s="133">
        <f t="shared" si="57"/>
        <v>4.8</v>
      </c>
      <c r="G155" s="133">
        <f t="shared" si="57"/>
        <v>24</v>
      </c>
      <c r="H155" s="141">
        <v>0</v>
      </c>
      <c r="I155" s="141">
        <v>0</v>
      </c>
      <c r="J155" s="141">
        <v>0</v>
      </c>
      <c r="K155" s="141">
        <v>0</v>
      </c>
      <c r="L155" s="141">
        <v>0</v>
      </c>
      <c r="M155" s="134">
        <v>0</v>
      </c>
      <c r="N155" s="134">
        <v>0</v>
      </c>
      <c r="O155" s="302">
        <v>0</v>
      </c>
      <c r="P155" s="302">
        <v>0</v>
      </c>
      <c r="Q155" s="141">
        <v>0</v>
      </c>
      <c r="R155" s="141">
        <v>0</v>
      </c>
      <c r="S155" s="141">
        <v>0</v>
      </c>
      <c r="T155" s="123">
        <v>1</v>
      </c>
      <c r="U155" s="436">
        <f>'2 - Serviços'!T162</f>
        <v>6</v>
      </c>
    </row>
    <row r="156" spans="1:21" ht="12.95" customHeight="1" x14ac:dyDescent="0.2">
      <c r="A156" s="324">
        <f t="shared" ref="A156:G156" si="58">A124</f>
        <v>22</v>
      </c>
      <c r="B156" s="133" t="str">
        <f t="shared" si="58"/>
        <v>CÓRREGO PASSATEMPO 4</v>
      </c>
      <c r="C156" s="133" t="str">
        <f t="shared" si="58"/>
        <v>21°29'23.36''S</v>
      </c>
      <c r="D156" s="133" t="str">
        <f t="shared" si="58"/>
        <v>54°52'56.83''W</v>
      </c>
      <c r="E156" s="123" t="str">
        <f t="shared" si="58"/>
        <v>Simples</v>
      </c>
      <c r="F156" s="133">
        <f t="shared" si="58"/>
        <v>4.4000000000000004</v>
      </c>
      <c r="G156" s="133">
        <f t="shared" si="58"/>
        <v>14.3</v>
      </c>
      <c r="H156" s="141">
        <v>0</v>
      </c>
      <c r="I156" s="141">
        <v>0</v>
      </c>
      <c r="J156" s="141">
        <v>0</v>
      </c>
      <c r="K156" s="141">
        <v>0</v>
      </c>
      <c r="L156" s="141">
        <v>0</v>
      </c>
      <c r="M156" s="134">
        <v>0</v>
      </c>
      <c r="N156" s="134">
        <v>0</v>
      </c>
      <c r="O156" s="302">
        <v>0</v>
      </c>
      <c r="P156" s="302">
        <v>0</v>
      </c>
      <c r="Q156" s="141">
        <v>0</v>
      </c>
      <c r="R156" s="141">
        <v>0</v>
      </c>
      <c r="S156" s="141">
        <v>0</v>
      </c>
      <c r="T156" s="123">
        <v>1</v>
      </c>
      <c r="U156" s="436">
        <f>'2 - Serviços'!T163</f>
        <v>2</v>
      </c>
    </row>
    <row r="157" spans="1:21" ht="12.95" customHeight="1" x14ac:dyDescent="0.2">
      <c r="A157" s="324">
        <f t="shared" ref="A157:G157" si="59">A125</f>
        <v>23</v>
      </c>
      <c r="B157" s="133" t="str">
        <f t="shared" si="59"/>
        <v>CÓRREGO DO COQUEIRO</v>
      </c>
      <c r="C157" s="133" t="str">
        <f t="shared" si="59"/>
        <v>21°30'51.74''S</v>
      </c>
      <c r="D157" s="133" t="str">
        <f t="shared" si="59"/>
        <v>54°52'00.30''W</v>
      </c>
      <c r="E157" s="123" t="str">
        <f t="shared" si="59"/>
        <v>Simples</v>
      </c>
      <c r="F157" s="133">
        <f t="shared" si="59"/>
        <v>4.4000000000000004</v>
      </c>
      <c r="G157" s="133">
        <f t="shared" si="59"/>
        <v>22.3</v>
      </c>
      <c r="H157" s="141">
        <v>0</v>
      </c>
      <c r="I157" s="141">
        <v>0</v>
      </c>
      <c r="J157" s="141">
        <v>0</v>
      </c>
      <c r="K157" s="141">
        <v>0</v>
      </c>
      <c r="L157" s="141">
        <v>0</v>
      </c>
      <c r="M157" s="134">
        <v>0</v>
      </c>
      <c r="N157" s="134">
        <v>0</v>
      </c>
      <c r="O157" s="302">
        <v>0</v>
      </c>
      <c r="P157" s="302">
        <v>0</v>
      </c>
      <c r="Q157" s="141">
        <v>0</v>
      </c>
      <c r="R157" s="141">
        <v>0</v>
      </c>
      <c r="S157" s="141">
        <v>0</v>
      </c>
      <c r="T157" s="123">
        <v>1</v>
      </c>
      <c r="U157" s="436">
        <f>'2 - Serviços'!T164</f>
        <v>2</v>
      </c>
    </row>
    <row r="158" spans="1:21" ht="12.95" customHeight="1" x14ac:dyDescent="0.2">
      <c r="A158" s="324">
        <f t="shared" ref="A158:G158" si="60">A126</f>
        <v>24</v>
      </c>
      <c r="B158" s="133" t="str">
        <f t="shared" si="60"/>
        <v>CÓRREGO CARRAPATO</v>
      </c>
      <c r="C158" s="133" t="str">
        <f t="shared" si="60"/>
        <v>21°32'42.64''S</v>
      </c>
      <c r="D158" s="133" t="str">
        <f t="shared" si="60"/>
        <v>55°00'59.87''W</v>
      </c>
      <c r="E158" s="123" t="str">
        <f t="shared" si="60"/>
        <v>Simples</v>
      </c>
      <c r="F158" s="133">
        <f t="shared" si="60"/>
        <v>4.4000000000000004</v>
      </c>
      <c r="G158" s="133">
        <f t="shared" si="60"/>
        <v>18</v>
      </c>
      <c r="H158" s="141">
        <v>0</v>
      </c>
      <c r="I158" s="141">
        <v>0</v>
      </c>
      <c r="J158" s="141">
        <v>0</v>
      </c>
      <c r="K158" s="141">
        <v>0</v>
      </c>
      <c r="L158" s="141">
        <v>0</v>
      </c>
      <c r="M158" s="134">
        <v>0</v>
      </c>
      <c r="N158" s="134">
        <v>0</v>
      </c>
      <c r="O158" s="302">
        <v>0</v>
      </c>
      <c r="P158" s="302">
        <v>0</v>
      </c>
      <c r="Q158" s="141">
        <v>0</v>
      </c>
      <c r="R158" s="141">
        <v>0</v>
      </c>
      <c r="S158" s="141">
        <v>0</v>
      </c>
      <c r="T158" s="123">
        <v>1</v>
      </c>
      <c r="U158" s="436">
        <f>'2 - Serviços'!T165</f>
        <v>4</v>
      </c>
    </row>
    <row r="159" spans="1:21" ht="12.95" customHeight="1" x14ac:dyDescent="0.2">
      <c r="A159" s="324">
        <f t="shared" ref="A159:G160" si="61">A127</f>
        <v>25</v>
      </c>
      <c r="B159" s="133" t="str">
        <f t="shared" si="61"/>
        <v>CÓRREGO BARRA MANSA</v>
      </c>
      <c r="C159" s="133" t="str">
        <f t="shared" si="61"/>
        <v>21°45'26.00"S</v>
      </c>
      <c r="D159" s="133" t="str">
        <f t="shared" si="61"/>
        <v>54°10'16.90"W</v>
      </c>
      <c r="E159" s="123" t="str">
        <f t="shared" si="61"/>
        <v>Simples</v>
      </c>
      <c r="F159" s="133">
        <f t="shared" si="61"/>
        <v>5</v>
      </c>
      <c r="G159" s="133">
        <f t="shared" si="61"/>
        <v>5.6</v>
      </c>
      <c r="H159" s="141">
        <v>0</v>
      </c>
      <c r="I159" s="141">
        <v>0</v>
      </c>
      <c r="J159" s="141">
        <v>0</v>
      </c>
      <c r="K159" s="141">
        <v>0</v>
      </c>
      <c r="L159" s="141">
        <v>0</v>
      </c>
      <c r="M159" s="134">
        <v>0</v>
      </c>
      <c r="N159" s="134">
        <v>0</v>
      </c>
      <c r="O159" s="302">
        <v>0</v>
      </c>
      <c r="P159" s="302">
        <v>0</v>
      </c>
      <c r="Q159" s="141">
        <v>0</v>
      </c>
      <c r="R159" s="141">
        <v>0</v>
      </c>
      <c r="S159" s="141">
        <v>0</v>
      </c>
      <c r="T159" s="123">
        <v>1</v>
      </c>
      <c r="U159" s="436">
        <f>'2 - Serviços'!T166</f>
        <v>2</v>
      </c>
    </row>
    <row r="160" spans="1:21" ht="12.95" customHeight="1" x14ac:dyDescent="0.2">
      <c r="A160" s="324">
        <f t="shared" si="61"/>
        <v>26</v>
      </c>
      <c r="B160" s="133" t="str">
        <f t="shared" si="61"/>
        <v>CÓRREGO PASSATEMPO 5</v>
      </c>
      <c r="C160" s="133" t="str">
        <f t="shared" si="61"/>
        <v>21°29'57.99''S</v>
      </c>
      <c r="D160" s="133" t="str">
        <f t="shared" si="61"/>
        <v>54°43'07.39''W</v>
      </c>
      <c r="E160" s="123" t="str">
        <f t="shared" si="61"/>
        <v>Simples</v>
      </c>
      <c r="F160" s="133">
        <f t="shared" si="61"/>
        <v>4.4000000000000004</v>
      </c>
      <c r="G160" s="133">
        <f t="shared" si="61"/>
        <v>22.3</v>
      </c>
      <c r="H160" s="141">
        <v>0</v>
      </c>
      <c r="I160" s="141">
        <v>0</v>
      </c>
      <c r="J160" s="141">
        <v>0</v>
      </c>
      <c r="K160" s="141">
        <v>0</v>
      </c>
      <c r="L160" s="141">
        <v>0</v>
      </c>
      <c r="M160" s="134">
        <v>0</v>
      </c>
      <c r="N160" s="134">
        <v>0</v>
      </c>
      <c r="O160" s="302">
        <v>0</v>
      </c>
      <c r="P160" s="302">
        <v>0</v>
      </c>
      <c r="Q160" s="141">
        <v>0</v>
      </c>
      <c r="R160" s="141">
        <v>0</v>
      </c>
      <c r="S160" s="141">
        <v>0</v>
      </c>
      <c r="T160" s="123">
        <v>1</v>
      </c>
      <c r="U160" s="436">
        <f>'2 - Serviços'!T167</f>
        <v>2</v>
      </c>
    </row>
    <row r="161" spans="1:21" ht="12.95" customHeight="1" x14ac:dyDescent="0.2">
      <c r="A161" s="324"/>
      <c r="B161" s="135"/>
      <c r="C161" s="133"/>
      <c r="D161" s="133"/>
      <c r="E161" s="123"/>
      <c r="F161" s="133"/>
      <c r="G161" s="123"/>
      <c r="H161" s="141"/>
      <c r="I161" s="141"/>
      <c r="J161" s="141"/>
      <c r="K161" s="141"/>
      <c r="L161" s="141"/>
      <c r="M161" s="134"/>
      <c r="N161" s="134"/>
      <c r="O161" s="302"/>
      <c r="P161" s="302"/>
      <c r="Q161" s="141"/>
      <c r="R161" s="141"/>
      <c r="S161" s="141"/>
      <c r="T161" s="437"/>
      <c r="U161" s="436"/>
    </row>
    <row r="162" spans="1:21" ht="12.95" customHeight="1" x14ac:dyDescent="0.2">
      <c r="A162" s="521" t="s">
        <v>81</v>
      </c>
      <c r="B162" s="522"/>
      <c r="C162" s="522"/>
      <c r="D162" s="522"/>
      <c r="E162" s="522"/>
      <c r="F162" s="522"/>
      <c r="G162" s="78">
        <f t="shared" ref="G162" si="62">TRUNC(SUM(G135:G161),3)</f>
        <v>335.7</v>
      </c>
      <c r="H162" s="79">
        <v>0</v>
      </c>
      <c r="I162" s="79">
        <v>0</v>
      </c>
      <c r="J162" s="79">
        <v>0</v>
      </c>
      <c r="K162" s="79">
        <v>0</v>
      </c>
      <c r="L162" s="295">
        <v>0</v>
      </c>
      <c r="M162" s="78">
        <v>0</v>
      </c>
      <c r="N162" s="78">
        <v>0</v>
      </c>
      <c r="O162" s="89">
        <v>0</v>
      </c>
      <c r="P162" s="89">
        <v>0</v>
      </c>
      <c r="Q162" s="79">
        <v>0</v>
      </c>
      <c r="R162" s="79">
        <v>0</v>
      </c>
      <c r="S162" s="295">
        <v>0</v>
      </c>
      <c r="T162" s="78">
        <f>SUM(T135:T160)</f>
        <v>26</v>
      </c>
      <c r="U162" s="78">
        <f>SUM(U135:U160)</f>
        <v>65</v>
      </c>
    </row>
    <row r="163" spans="1:21" s="68" customFormat="1" ht="12.95" customHeight="1" thickBot="1" x14ac:dyDescent="0.3">
      <c r="A163" s="518"/>
      <c r="B163" s="519"/>
      <c r="C163" s="519"/>
      <c r="D163" s="519"/>
      <c r="E163" s="519"/>
      <c r="F163" s="519"/>
      <c r="G163" s="519"/>
      <c r="H163" s="519"/>
      <c r="I163" s="519"/>
      <c r="J163" s="519"/>
      <c r="K163" s="519"/>
      <c r="L163" s="519"/>
      <c r="M163" s="519"/>
      <c r="N163" s="519"/>
      <c r="O163" s="519"/>
      <c r="P163" s="519"/>
      <c r="Q163" s="519"/>
      <c r="R163" s="519"/>
      <c r="S163" s="519"/>
      <c r="T163" s="520"/>
    </row>
    <row r="164" spans="1:21" x14ac:dyDescent="0.2">
      <c r="N164" s="87"/>
      <c r="O164" s="87"/>
    </row>
    <row r="165" spans="1:21" x14ac:dyDescent="0.2">
      <c r="P165" s="285"/>
    </row>
  </sheetData>
  <mergeCells count="30">
    <mergeCell ref="V2:AH2"/>
    <mergeCell ref="A7:T7"/>
    <mergeCell ref="A6:T6"/>
    <mergeCell ref="H8:T8"/>
    <mergeCell ref="H39:T39"/>
    <mergeCell ref="A8:A9"/>
    <mergeCell ref="B8:G8"/>
    <mergeCell ref="A37:F37"/>
    <mergeCell ref="A39:A40"/>
    <mergeCell ref="B39:G39"/>
    <mergeCell ref="A38:T38"/>
    <mergeCell ref="A68:F68"/>
    <mergeCell ref="A100:T100"/>
    <mergeCell ref="A70:A71"/>
    <mergeCell ref="B70:G70"/>
    <mergeCell ref="A99:F99"/>
    <mergeCell ref="H70:T70"/>
    <mergeCell ref="A69:T69"/>
    <mergeCell ref="H133:N133"/>
    <mergeCell ref="O133:S133"/>
    <mergeCell ref="A163:T163"/>
    <mergeCell ref="A162:F162"/>
    <mergeCell ref="A101:A102"/>
    <mergeCell ref="H101:T101"/>
    <mergeCell ref="B101:G101"/>
    <mergeCell ref="A130:F130"/>
    <mergeCell ref="A133:A134"/>
    <mergeCell ref="B133:G133"/>
    <mergeCell ref="A132:T132"/>
    <mergeCell ref="A131:S131"/>
  </mergeCells>
  <printOptions horizontalCentered="1"/>
  <pageMargins left="0.23622047244094491" right="0.23622047244094491" top="0.78740157480314965" bottom="1.3385826771653544" header="0.31496062992125984" footer="0.31496062992125984"/>
  <pageSetup paperSize="9" scale="59" fitToHeight="0" orientation="landscape" r:id="rId1"/>
  <rowBreaks count="4" manualBreakCount="4">
    <brk id="38" max="20" man="1"/>
    <brk id="69" max="20" man="1"/>
    <brk id="100" max="20" man="1"/>
    <brk id="132" max="20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00B0F0"/>
    <pageSetUpPr fitToPage="1"/>
  </sheetPr>
  <dimension ref="A1:AK44"/>
  <sheetViews>
    <sheetView view="pageBreakPreview" zoomScaleNormal="100" zoomScaleSheetLayoutView="100" workbookViewId="0">
      <selection activeCell="I23" sqref="I23"/>
    </sheetView>
  </sheetViews>
  <sheetFormatPr defaultColWidth="9.140625" defaultRowHeight="12" x14ac:dyDescent="0.2"/>
  <cols>
    <col min="1" max="1" width="5" style="1" customWidth="1"/>
    <col min="2" max="2" width="30" style="1" customWidth="1"/>
    <col min="3" max="3" width="13.140625" style="1" customWidth="1"/>
    <col min="4" max="5" width="13.28515625" style="1" customWidth="1"/>
    <col min="6" max="6" width="10.28515625" style="1" customWidth="1"/>
    <col min="7" max="7" width="10.140625" style="1" customWidth="1"/>
    <col min="8" max="8" width="9.42578125" style="1" customWidth="1"/>
    <col min="9" max="9" width="9.5703125" style="1" customWidth="1"/>
    <col min="10" max="10" width="9.28515625" style="1" customWidth="1"/>
    <col min="11" max="13" width="8.5703125" style="1" customWidth="1"/>
    <col min="14" max="14" width="10.28515625" style="1" customWidth="1"/>
    <col min="15" max="15" width="9.28515625" style="1" customWidth="1"/>
    <col min="16" max="16" width="9.85546875" style="1" customWidth="1"/>
    <col min="17" max="17" width="10" style="1" customWidth="1"/>
    <col min="18" max="18" width="9.7109375" style="1" customWidth="1"/>
    <col min="19" max="19" width="9.42578125" style="1" customWidth="1"/>
    <col min="20" max="21" width="25.7109375" style="1" customWidth="1"/>
    <col min="22" max="16384" width="9.140625" style="1"/>
  </cols>
  <sheetData>
    <row r="1" spans="1:37" ht="15" customHeight="1" x14ac:dyDescent="0.2">
      <c r="A1" s="507" t="str">
        <f>'1 - Inventário'!A1:M1</f>
        <v>OBJETO: MANUTENÇÃO E CONSERVAÇÃO DAS PONTES DE MADEIRA NAS RODOVIAS QUE FAZEM PARTE DA MALHA RODOVIÁRIA NÃO PAVIMENTADA DO MUNICÍPIO DE RIO BRILHANTE/MS</v>
      </c>
      <c r="B1" s="508"/>
      <c r="C1" s="508"/>
      <c r="D1" s="508"/>
      <c r="E1" s="508"/>
      <c r="F1" s="508"/>
      <c r="G1" s="508"/>
      <c r="H1" s="508"/>
      <c r="I1" s="508"/>
      <c r="J1" s="508"/>
      <c r="K1" s="508"/>
      <c r="L1" s="508"/>
      <c r="M1" s="508"/>
      <c r="N1" s="508"/>
      <c r="O1" s="508"/>
      <c r="P1" s="508"/>
      <c r="Q1" s="508"/>
      <c r="R1" s="508"/>
      <c r="S1" s="509"/>
      <c r="T1" s="9"/>
      <c r="U1" s="9"/>
      <c r="V1" s="9"/>
      <c r="W1" s="9"/>
      <c r="X1" s="9"/>
      <c r="Y1" s="9"/>
    </row>
    <row r="2" spans="1:37" ht="15" customHeight="1" x14ac:dyDescent="0.2">
      <c r="A2" s="510" t="str">
        <f>'1 - Inventário'!A2:M2</f>
        <v>LOCAL: RIO BRILHANTE/MS</v>
      </c>
      <c r="B2" s="511"/>
      <c r="C2" s="511"/>
      <c r="D2" s="511"/>
      <c r="E2" s="511"/>
      <c r="F2" s="511"/>
      <c r="G2" s="511"/>
      <c r="H2" s="511"/>
      <c r="I2" s="511"/>
      <c r="J2" s="511"/>
      <c r="K2" s="511"/>
      <c r="L2" s="511"/>
      <c r="M2" s="511"/>
      <c r="N2" s="511"/>
      <c r="O2" s="511"/>
      <c r="P2" s="511"/>
      <c r="Q2" s="511"/>
      <c r="R2" s="511"/>
      <c r="S2" s="512"/>
      <c r="T2" s="9"/>
      <c r="U2" s="9"/>
      <c r="V2" s="9"/>
      <c r="W2" s="9"/>
      <c r="X2" s="9"/>
      <c r="Y2" s="9"/>
    </row>
    <row r="3" spans="1:37" ht="15" customHeight="1" x14ac:dyDescent="0.2">
      <c r="A3" s="510" t="str">
        <f>'1 - Inventário'!A3:M3</f>
        <v>PRAZO: 365 (dias)</v>
      </c>
      <c r="B3" s="511"/>
      <c r="C3" s="511"/>
      <c r="D3" s="511"/>
      <c r="E3" s="511"/>
      <c r="F3" s="511"/>
      <c r="G3" s="511"/>
      <c r="H3" s="511"/>
      <c r="I3" s="511"/>
      <c r="J3" s="511"/>
      <c r="K3" s="511"/>
      <c r="L3" s="511"/>
      <c r="M3" s="511"/>
      <c r="N3" s="511"/>
      <c r="O3" s="511"/>
      <c r="P3" s="511"/>
      <c r="Q3" s="511"/>
      <c r="R3" s="511"/>
      <c r="S3" s="512"/>
      <c r="T3" s="9"/>
      <c r="U3" s="9"/>
      <c r="V3" s="9"/>
      <c r="W3" s="9"/>
      <c r="X3" s="9"/>
      <c r="Y3" s="9"/>
    </row>
    <row r="4" spans="1:37" ht="20.100000000000001" customHeight="1" x14ac:dyDescent="0.2">
      <c r="A4" s="510" t="str">
        <f>'1 - Inventário'!A4:M4</f>
        <v>PROCESSO:</v>
      </c>
      <c r="B4" s="511"/>
      <c r="C4" s="511"/>
      <c r="D4" s="511"/>
      <c r="E4" s="511"/>
      <c r="F4" s="511"/>
      <c r="G4" s="511"/>
      <c r="H4" s="511"/>
      <c r="I4" s="511"/>
      <c r="J4" s="511"/>
      <c r="K4" s="511"/>
      <c r="L4" s="511"/>
      <c r="M4" s="511"/>
      <c r="N4" s="511"/>
      <c r="O4" s="511"/>
      <c r="P4" s="511"/>
      <c r="Q4" s="511"/>
      <c r="R4" s="511"/>
      <c r="S4" s="512"/>
      <c r="T4" s="9"/>
      <c r="U4" s="9"/>
      <c r="V4" s="9"/>
      <c r="W4" s="9"/>
      <c r="X4" s="9"/>
      <c r="Y4" s="9"/>
    </row>
    <row r="5" spans="1:37" ht="12" customHeight="1" x14ac:dyDescent="0.2">
      <c r="A5" s="504"/>
      <c r="B5" s="505"/>
      <c r="C5" s="505"/>
      <c r="D5" s="505"/>
      <c r="E5" s="505"/>
      <c r="F5" s="505"/>
      <c r="G5" s="505"/>
      <c r="H5" s="505"/>
      <c r="I5" s="505"/>
      <c r="J5" s="505"/>
      <c r="K5" s="505"/>
      <c r="L5" s="505"/>
      <c r="M5" s="505"/>
      <c r="N5" s="505"/>
      <c r="O5" s="505"/>
      <c r="P5" s="505"/>
      <c r="Q5" s="505"/>
      <c r="R5" s="505"/>
      <c r="S5" s="506"/>
    </row>
    <row r="6" spans="1:37" x14ac:dyDescent="0.2">
      <c r="A6" s="558" t="str">
        <f>'2 - Serviços'!A7:S7</f>
        <v>MANUTENÇÃO E CONSERVAÇÃO DAS PONTES DE MADEIRA</v>
      </c>
      <c r="B6" s="559"/>
      <c r="C6" s="559"/>
      <c r="D6" s="559"/>
      <c r="E6" s="559"/>
      <c r="F6" s="559"/>
      <c r="G6" s="559"/>
      <c r="H6" s="559"/>
      <c r="I6" s="559"/>
      <c r="J6" s="559"/>
      <c r="K6" s="559"/>
      <c r="L6" s="559"/>
      <c r="M6" s="559"/>
      <c r="N6" s="559"/>
      <c r="O6" s="559"/>
      <c r="P6" s="559"/>
      <c r="Q6" s="559"/>
      <c r="R6" s="559"/>
      <c r="S6" s="560"/>
      <c r="T6" s="10"/>
    </row>
    <row r="7" spans="1:37" x14ac:dyDescent="0.2">
      <c r="A7" s="553" t="s">
        <v>502</v>
      </c>
      <c r="B7" s="554"/>
      <c r="C7" s="554"/>
      <c r="D7" s="554"/>
      <c r="E7" s="554"/>
      <c r="F7" s="554"/>
      <c r="G7" s="554"/>
      <c r="H7" s="554"/>
      <c r="I7" s="554"/>
      <c r="J7" s="554"/>
      <c r="K7" s="554"/>
      <c r="L7" s="554"/>
      <c r="M7" s="554"/>
      <c r="N7" s="554"/>
      <c r="O7" s="554"/>
      <c r="P7" s="554"/>
      <c r="Q7" s="554"/>
      <c r="R7" s="554"/>
      <c r="S7" s="555"/>
      <c r="T7" s="10"/>
    </row>
    <row r="8" spans="1:37" x14ac:dyDescent="0.2">
      <c r="A8" s="556" t="s">
        <v>0</v>
      </c>
      <c r="B8" s="553" t="s">
        <v>1</v>
      </c>
      <c r="C8" s="554"/>
      <c r="D8" s="554"/>
      <c r="E8" s="554"/>
      <c r="F8" s="554"/>
      <c r="G8" s="555"/>
      <c r="H8" s="554" t="s">
        <v>34</v>
      </c>
      <c r="I8" s="554"/>
      <c r="J8" s="554"/>
      <c r="K8" s="554"/>
      <c r="L8" s="554"/>
      <c r="M8" s="554"/>
      <c r="N8" s="555"/>
      <c r="O8" s="553" t="s">
        <v>478</v>
      </c>
      <c r="P8" s="554"/>
      <c r="Q8" s="554"/>
      <c r="R8" s="554"/>
      <c r="S8" s="555"/>
      <c r="T8" s="10"/>
    </row>
    <row r="9" spans="1:37" ht="33.75" customHeight="1" x14ac:dyDescent="0.2">
      <c r="A9" s="557"/>
      <c r="B9" s="318" t="str">
        <f>'2 - Serviços'!$B$9</f>
        <v>Ponte</v>
      </c>
      <c r="C9" s="319" t="str">
        <f>'2 - Serviços'!$C$9</f>
        <v>Latitude</v>
      </c>
      <c r="D9" s="319" t="str">
        <f>'2 - Serviços'!$D$9</f>
        <v>Longitude</v>
      </c>
      <c r="E9" s="319" t="str">
        <f>'2 - Serviços'!$E$9</f>
        <v>Vigamento</v>
      </c>
      <c r="F9" s="319" t="str">
        <f>'2 - Serviços'!$F$9</f>
        <v>Largura (m)</v>
      </c>
      <c r="G9" s="320" t="str">
        <f>'2 - Serviços'!$G$9</f>
        <v>Extensão (m)</v>
      </c>
      <c r="H9" s="322" t="s">
        <v>63</v>
      </c>
      <c r="I9" s="322" t="s">
        <v>64</v>
      </c>
      <c r="J9" s="322" t="s">
        <v>65</v>
      </c>
      <c r="K9" s="322" t="s">
        <v>66</v>
      </c>
      <c r="L9" s="322" t="s">
        <v>76</v>
      </c>
      <c r="M9" s="322" t="s">
        <v>77</v>
      </c>
      <c r="N9" s="322" t="s">
        <v>145</v>
      </c>
      <c r="O9" s="322" t="s">
        <v>67</v>
      </c>
      <c r="P9" s="322" t="s">
        <v>68</v>
      </c>
      <c r="Q9" s="322" t="s">
        <v>69</v>
      </c>
      <c r="R9" s="340" t="s">
        <v>497</v>
      </c>
      <c r="S9" s="322" t="s">
        <v>145</v>
      </c>
      <c r="T9" s="11"/>
      <c r="U9" s="548" t="s">
        <v>70</v>
      </c>
      <c r="V9" s="548"/>
      <c r="W9" s="548"/>
      <c r="X9" s="548"/>
      <c r="Y9" s="548"/>
      <c r="Z9" s="548"/>
      <c r="AA9" s="548"/>
      <c r="AB9" s="548"/>
      <c r="AC9" s="548"/>
      <c r="AD9" s="548"/>
      <c r="AE9" s="548"/>
      <c r="AF9" s="548"/>
      <c r="AG9" s="548"/>
      <c r="AH9" s="548"/>
      <c r="AI9" s="548"/>
      <c r="AJ9" s="548"/>
      <c r="AK9" s="548"/>
    </row>
    <row r="10" spans="1:37" x14ac:dyDescent="0.2">
      <c r="A10" s="132">
        <f>'3 - Memoria de Cálculo'!A10</f>
        <v>1</v>
      </c>
      <c r="B10" s="133" t="str">
        <f>'3 - Memoria de Cálculo'!B10</f>
        <v>CÓRREGO DO CHINELO</v>
      </c>
      <c r="C10" s="133" t="str">
        <f>'3 - Memoria de Cálculo'!C10</f>
        <v>21°53'30.35''S</v>
      </c>
      <c r="D10" s="133" t="str">
        <f>'3 - Memoria de Cálculo'!D10</f>
        <v>54°35'16.91''W</v>
      </c>
      <c r="E10" s="123" t="str">
        <f>'3 - Memoria de Cálculo'!E10</f>
        <v>Simples</v>
      </c>
      <c r="F10" s="133">
        <f>'3 - Memoria de Cálculo'!F10</f>
        <v>5</v>
      </c>
      <c r="G10" s="123">
        <f>'3 - Memoria de Cálculo'!G10</f>
        <v>13</v>
      </c>
      <c r="H10" s="123">
        <v>94.293797551200015</v>
      </c>
      <c r="I10" s="123">
        <v>33.780096</v>
      </c>
      <c r="J10" s="123">
        <v>1.1633013600000002</v>
      </c>
      <c r="K10" s="123">
        <v>22.000000000000004</v>
      </c>
      <c r="L10" s="123">
        <v>21.608123999999997</v>
      </c>
      <c r="M10" s="123">
        <v>4.4553599999999998</v>
      </c>
      <c r="N10" s="123">
        <v>177.3</v>
      </c>
      <c r="O10" s="123">
        <v>73</v>
      </c>
      <c r="P10" s="123">
        <v>17</v>
      </c>
      <c r="Q10" s="123">
        <v>8</v>
      </c>
      <c r="R10" s="341">
        <v>98</v>
      </c>
      <c r="S10" s="123">
        <v>12.25</v>
      </c>
      <c r="T10" s="55"/>
      <c r="U10" s="549"/>
      <c r="V10" s="550"/>
      <c r="W10" s="550"/>
      <c r="X10" s="551"/>
      <c r="Y10" s="7" t="s">
        <v>8</v>
      </c>
      <c r="Z10" s="7" t="s">
        <v>9</v>
      </c>
      <c r="AA10" s="7" t="s">
        <v>18</v>
      </c>
      <c r="AB10" s="7" t="s">
        <v>72</v>
      </c>
      <c r="AC10" s="7" t="s">
        <v>11</v>
      </c>
      <c r="AD10" s="7" t="s">
        <v>19</v>
      </c>
      <c r="AE10" s="7" t="s">
        <v>20</v>
      </c>
      <c r="AF10" s="7" t="s">
        <v>14</v>
      </c>
      <c r="AG10" s="7" t="s">
        <v>21</v>
      </c>
      <c r="AH10" s="7" t="s">
        <v>22</v>
      </c>
      <c r="AI10" s="7" t="s">
        <v>23</v>
      </c>
      <c r="AJ10" s="7" t="s">
        <v>24</v>
      </c>
      <c r="AK10" s="7" t="s">
        <v>508</v>
      </c>
    </row>
    <row r="11" spans="1:37" x14ac:dyDescent="0.2">
      <c r="A11" s="132">
        <f>'3 - Memoria de Cálculo'!A11</f>
        <v>2</v>
      </c>
      <c r="B11" s="133" t="str">
        <f>'3 - Memoria de Cálculo'!B11</f>
        <v>CÓRREGO AREIAS</v>
      </c>
      <c r="C11" s="133" t="str">
        <f>'3 - Memoria de Cálculo'!C11</f>
        <v>21°48'55.89''S</v>
      </c>
      <c r="D11" s="133" t="str">
        <f>'3 - Memoria de Cálculo'!D11</f>
        <v>54°32'36.89''W</v>
      </c>
      <c r="E11" s="123" t="str">
        <f>'3 - Memoria de Cálculo'!E11</f>
        <v>Simples</v>
      </c>
      <c r="F11" s="133">
        <f>'3 - Memoria de Cálculo'!F11</f>
        <v>4.4000000000000004</v>
      </c>
      <c r="G11" s="123">
        <f>'3 - Memoria de Cálculo'!G11</f>
        <v>6</v>
      </c>
      <c r="H11" s="123">
        <v>49.585443804000008</v>
      </c>
      <c r="I11" s="123">
        <v>28.436351999999999</v>
      </c>
      <c r="J11" s="123">
        <v>0.53690832000000011</v>
      </c>
      <c r="K11" s="123">
        <v>22.000000000000004</v>
      </c>
      <c r="L11" s="123">
        <v>12.486888000000002</v>
      </c>
      <c r="M11" s="123">
        <v>2.0563199999999999</v>
      </c>
      <c r="N11" s="123">
        <v>115.101</v>
      </c>
      <c r="O11" s="123">
        <v>39</v>
      </c>
      <c r="P11" s="123">
        <v>8</v>
      </c>
      <c r="Q11" s="123">
        <v>3</v>
      </c>
      <c r="R11" s="341">
        <v>50</v>
      </c>
      <c r="S11" s="123">
        <v>6.25</v>
      </c>
      <c r="T11" s="55"/>
      <c r="U11" s="552" t="s">
        <v>25</v>
      </c>
      <c r="V11" s="552"/>
      <c r="W11" s="552"/>
      <c r="X11" s="552"/>
      <c r="Y11" s="4"/>
      <c r="Z11" s="4"/>
      <c r="AA11" s="4"/>
      <c r="AB11" s="4"/>
      <c r="AC11" s="4"/>
      <c r="AD11" s="2">
        <v>5.0917604400000007</v>
      </c>
      <c r="AE11" s="4"/>
      <c r="AF11" s="34"/>
      <c r="AG11" s="2">
        <v>1.145664</v>
      </c>
      <c r="AH11" s="2">
        <v>1.145664</v>
      </c>
      <c r="AI11" s="2">
        <v>1.1934</v>
      </c>
      <c r="AJ11" s="2">
        <v>1.8805796100000001</v>
      </c>
      <c r="AK11" s="34">
        <v>7.9560000000000004</v>
      </c>
    </row>
    <row r="12" spans="1:37" x14ac:dyDescent="0.2">
      <c r="A12" s="132">
        <f>'3 - Memoria de Cálculo'!A12</f>
        <v>3</v>
      </c>
      <c r="B12" s="133" t="str">
        <f>'3 - Memoria de Cálculo'!B12</f>
        <v>CÓRREGO ARARAS</v>
      </c>
      <c r="C12" s="133" t="str">
        <f>'3 - Memoria de Cálculo'!C12</f>
        <v>21°47'42.63''S</v>
      </c>
      <c r="D12" s="133" t="str">
        <f>'3 - Memoria de Cálculo'!D12</f>
        <v>54°31'56.42''W</v>
      </c>
      <c r="E12" s="123" t="str">
        <f>'3 - Memoria de Cálculo'!E12</f>
        <v>Simples</v>
      </c>
      <c r="F12" s="133">
        <f>'3 - Memoria de Cálculo'!F12</f>
        <v>4.8</v>
      </c>
      <c r="G12" s="123">
        <f>'3 - Memoria de Cálculo'!G12</f>
        <v>12</v>
      </c>
      <c r="H12" s="123">
        <v>92.642618858400013</v>
      </c>
      <c r="I12" s="123">
        <v>33.016704000000004</v>
      </c>
      <c r="J12" s="123">
        <v>1.0738166400000002</v>
      </c>
      <c r="K12" s="123">
        <v>22.000000000000004</v>
      </c>
      <c r="L12" s="123">
        <v>20.167776000000003</v>
      </c>
      <c r="M12" s="123">
        <v>4.1126399999999999</v>
      </c>
      <c r="N12" s="123">
        <v>173.01300000000001</v>
      </c>
      <c r="O12" s="123">
        <v>72</v>
      </c>
      <c r="P12" s="123">
        <v>16</v>
      </c>
      <c r="Q12" s="123">
        <v>7</v>
      </c>
      <c r="R12" s="341">
        <v>95</v>
      </c>
      <c r="S12" s="123">
        <v>11.875</v>
      </c>
      <c r="T12" s="55"/>
      <c r="U12" s="552" t="s">
        <v>26</v>
      </c>
      <c r="V12" s="552"/>
      <c r="W12" s="552"/>
      <c r="X12" s="552"/>
      <c r="Y12" s="4"/>
      <c r="Z12" s="34">
        <v>0.26506666666666662</v>
      </c>
      <c r="AA12" s="32"/>
      <c r="AB12" s="32"/>
      <c r="AC12" s="32"/>
      <c r="AD12" s="32"/>
      <c r="AE12" s="33">
        <v>11.928000000000001</v>
      </c>
      <c r="AF12" s="33"/>
      <c r="AG12" s="32"/>
      <c r="AH12" s="32"/>
      <c r="AI12" s="32"/>
      <c r="AJ12" s="32"/>
      <c r="AK12" s="32"/>
    </row>
    <row r="13" spans="1:37" x14ac:dyDescent="0.2">
      <c r="A13" s="132">
        <f>'3 - Memoria de Cálculo'!A13</f>
        <v>4</v>
      </c>
      <c r="B13" s="133" t="str">
        <f>'3 - Memoria de Cálculo'!B13</f>
        <v>CÓRREGO FORMIGA</v>
      </c>
      <c r="C13" s="133" t="str">
        <f>'3 - Memoria de Cálculo'!C13</f>
        <v>21°39'27.48''S</v>
      </c>
      <c r="D13" s="133" t="str">
        <f>'3 - Memoria de Cálculo'!D13</f>
        <v>54°25'31.76''W</v>
      </c>
      <c r="E13" s="123" t="str">
        <f>'3 - Memoria de Cálculo'!E13</f>
        <v>Simples</v>
      </c>
      <c r="F13" s="133">
        <f>'3 - Memoria de Cálculo'!F13</f>
        <v>4.4000000000000004</v>
      </c>
      <c r="G13" s="123">
        <f>'3 - Memoria de Cálculo'!G13</f>
        <v>13.2</v>
      </c>
      <c r="H13" s="123">
        <v>89.942046948000012</v>
      </c>
      <c r="I13" s="123">
        <v>33.907328</v>
      </c>
      <c r="J13" s="123">
        <v>1.1782154800000002</v>
      </c>
      <c r="K13" s="123">
        <v>22.000000000000004</v>
      </c>
      <c r="L13" s="123">
        <v>21.087232</v>
      </c>
      <c r="M13" s="123">
        <v>4.51248</v>
      </c>
      <c r="N13" s="123">
        <v>172.62700000000001</v>
      </c>
      <c r="O13" s="123">
        <v>70</v>
      </c>
      <c r="P13" s="123">
        <v>17</v>
      </c>
      <c r="Q13" s="123">
        <v>8</v>
      </c>
      <c r="R13" s="341">
        <v>95</v>
      </c>
      <c r="S13" s="123">
        <v>11.875</v>
      </c>
      <c r="T13" s="55"/>
      <c r="U13" s="552" t="s">
        <v>27</v>
      </c>
      <c r="V13" s="552"/>
      <c r="W13" s="552"/>
      <c r="X13" s="552"/>
      <c r="Y13" s="4"/>
      <c r="Z13" s="32"/>
      <c r="AA13" s="34">
        <v>9.3213250000000011E-2</v>
      </c>
      <c r="AB13" s="34">
        <v>0.16317210000000001</v>
      </c>
      <c r="AC13" s="32"/>
      <c r="AD13" s="32"/>
      <c r="AE13" s="32"/>
      <c r="AF13" s="33"/>
      <c r="AG13" s="32"/>
      <c r="AH13" s="32"/>
      <c r="AI13" s="32"/>
      <c r="AJ13" s="32"/>
      <c r="AK13" s="32"/>
    </row>
    <row r="14" spans="1:37" x14ac:dyDescent="0.2">
      <c r="A14" s="132">
        <f>'3 - Memoria de Cálculo'!A14</f>
        <v>5</v>
      </c>
      <c r="B14" s="133" t="str">
        <f>'3 - Memoria de Cálculo'!B14</f>
        <v>CÓRREGO ANTINHA</v>
      </c>
      <c r="C14" s="133" t="str">
        <f>'3 - Memoria de Cálculo'!C14</f>
        <v>21°38'42.22''S</v>
      </c>
      <c r="D14" s="133" t="str">
        <f>'3 - Memoria de Cálculo'!D14</f>
        <v>54°27'12.82''W</v>
      </c>
      <c r="E14" s="123" t="str">
        <f>'3 - Memoria de Cálculo'!E14</f>
        <v>Simples</v>
      </c>
      <c r="F14" s="133">
        <f>'3 - Memoria de Cálculo'!F14</f>
        <v>4.4000000000000004</v>
      </c>
      <c r="G14" s="123">
        <f>'3 - Memoria de Cálculo'!G14</f>
        <v>7.2</v>
      </c>
      <c r="H14" s="123">
        <v>49.585443804000008</v>
      </c>
      <c r="I14" s="123">
        <v>29.326976000000002</v>
      </c>
      <c r="J14" s="123">
        <v>0.6413071600000001</v>
      </c>
      <c r="K14" s="123">
        <v>22.000000000000004</v>
      </c>
      <c r="L14" s="123">
        <v>13.886944</v>
      </c>
      <c r="M14" s="123">
        <v>2.4561600000000001</v>
      </c>
      <c r="N14" s="123">
        <v>117.896</v>
      </c>
      <c r="O14" s="123">
        <v>39</v>
      </c>
      <c r="P14" s="123">
        <v>10</v>
      </c>
      <c r="Q14" s="123">
        <v>4</v>
      </c>
      <c r="R14" s="341">
        <v>53</v>
      </c>
      <c r="S14" s="123">
        <v>6.625</v>
      </c>
      <c r="T14" s="55"/>
      <c r="U14" s="552" t="s">
        <v>29</v>
      </c>
      <c r="V14" s="552"/>
      <c r="W14" s="552"/>
      <c r="X14" s="552"/>
      <c r="Y14" s="4"/>
      <c r="Z14" s="32"/>
      <c r="AA14" s="32"/>
      <c r="AB14" s="32"/>
      <c r="AC14" s="32"/>
      <c r="AD14" s="32"/>
      <c r="AE14" s="32"/>
      <c r="AF14" s="33"/>
      <c r="AG14" s="32"/>
      <c r="AH14" s="32"/>
      <c r="AI14" s="32"/>
      <c r="AJ14" s="32"/>
      <c r="AK14" s="34">
        <v>22.000000000000004</v>
      </c>
    </row>
    <row r="15" spans="1:37" x14ac:dyDescent="0.2">
      <c r="A15" s="132">
        <f>'3 - Memoria de Cálculo'!A15</f>
        <v>6</v>
      </c>
      <c r="B15" s="133" t="str">
        <f>'3 - Memoria de Cálculo'!B15</f>
        <v>CÓRREGO FORMIGA</v>
      </c>
      <c r="C15" s="133" t="str">
        <f>'3 - Memoria de Cálculo'!C15</f>
        <v>21°38'56.23''S</v>
      </c>
      <c r="D15" s="133" t="str">
        <f>'3 - Memoria de Cálculo'!D15</f>
        <v>54°25'01.82''W</v>
      </c>
      <c r="E15" s="123" t="str">
        <f>'3 - Memoria de Cálculo'!E15</f>
        <v>Simples</v>
      </c>
      <c r="F15" s="133">
        <f>'3 - Memoria de Cálculo'!F15</f>
        <v>4.4000000000000004</v>
      </c>
      <c r="G15" s="123">
        <f>'3 - Memoria de Cálculo'!G15</f>
        <v>12</v>
      </c>
      <c r="H15" s="123">
        <v>89.942046948000012</v>
      </c>
      <c r="I15" s="123">
        <v>33.016704000000004</v>
      </c>
      <c r="J15" s="123">
        <v>1.0738166400000002</v>
      </c>
      <c r="K15" s="123">
        <v>22.000000000000004</v>
      </c>
      <c r="L15" s="123">
        <v>19.687176000000004</v>
      </c>
      <c r="M15" s="123">
        <v>4.1126399999999999</v>
      </c>
      <c r="N15" s="123">
        <v>169.83199999999999</v>
      </c>
      <c r="O15" s="123">
        <v>70</v>
      </c>
      <c r="P15" s="123">
        <v>16</v>
      </c>
      <c r="Q15" s="123">
        <v>7</v>
      </c>
      <c r="R15" s="341">
        <v>93</v>
      </c>
      <c r="S15" s="123">
        <v>11.625</v>
      </c>
      <c r="T15" s="55"/>
      <c r="U15" s="552" t="s">
        <v>30</v>
      </c>
      <c r="V15" s="552"/>
      <c r="W15" s="552"/>
      <c r="X15" s="552"/>
      <c r="Y15" s="4"/>
      <c r="Z15" s="32"/>
      <c r="AA15" s="32"/>
      <c r="AB15" s="32"/>
      <c r="AC15" s="32"/>
      <c r="AD15" s="34">
        <v>0.5</v>
      </c>
      <c r="AE15" s="32"/>
      <c r="AF15" s="34"/>
      <c r="AG15" s="34">
        <v>0.1</v>
      </c>
      <c r="AH15" s="34">
        <v>0.1</v>
      </c>
      <c r="AI15" s="34">
        <v>0.1</v>
      </c>
      <c r="AJ15" s="34">
        <v>0.17874999999999999</v>
      </c>
      <c r="AK15" s="34">
        <v>1.25</v>
      </c>
    </row>
    <row r="16" spans="1:37" x14ac:dyDescent="0.2">
      <c r="A16" s="132">
        <f>'3 - Memoria de Cálculo'!A16</f>
        <v>7</v>
      </c>
      <c r="B16" s="133" t="str">
        <f>'3 - Memoria de Cálculo'!B16</f>
        <v>CÓRREGO QUILOMBO</v>
      </c>
      <c r="C16" s="133" t="str">
        <f>'3 - Memoria de Cálculo'!C16</f>
        <v>21°42'14.33''S</v>
      </c>
      <c r="D16" s="133" t="str">
        <f>'3 - Memoria de Cálculo'!D16</f>
        <v>54°20'39.58''W</v>
      </c>
      <c r="E16" s="123" t="str">
        <f>'3 - Memoria de Cálculo'!E16</f>
        <v>Simples</v>
      </c>
      <c r="F16" s="133">
        <f>'3 - Memoria de Cálculo'!F16</f>
        <v>4.4000000000000004</v>
      </c>
      <c r="G16" s="123">
        <f>'3 - Memoria de Cálculo'!G16</f>
        <v>6.8</v>
      </c>
      <c r="H16" s="123">
        <v>49.585443804000008</v>
      </c>
      <c r="I16" s="123">
        <v>29.072512</v>
      </c>
      <c r="J16" s="123">
        <v>0.61147892000000004</v>
      </c>
      <c r="K16" s="123">
        <v>22.000000000000004</v>
      </c>
      <c r="L16" s="123">
        <v>13.486927999999999</v>
      </c>
      <c r="M16" s="123">
        <v>2.34192</v>
      </c>
      <c r="N16" s="123">
        <v>117.098</v>
      </c>
      <c r="O16" s="123">
        <v>39</v>
      </c>
      <c r="P16" s="123">
        <v>9</v>
      </c>
      <c r="Q16" s="123">
        <v>4</v>
      </c>
      <c r="R16" s="341">
        <v>52</v>
      </c>
      <c r="S16" s="123">
        <v>6.5</v>
      </c>
      <c r="T16" s="55"/>
      <c r="U16" s="552" t="s">
        <v>31</v>
      </c>
      <c r="V16" s="552"/>
      <c r="W16" s="552"/>
      <c r="X16" s="552"/>
      <c r="Y16" s="4"/>
      <c r="Z16" s="34">
        <v>5.5500000000000001E-2</v>
      </c>
      <c r="AA16" s="32"/>
      <c r="AB16" s="32"/>
      <c r="AC16" s="32"/>
      <c r="AD16" s="32"/>
      <c r="AE16" s="32"/>
      <c r="AF16" s="33"/>
      <c r="AG16" s="32"/>
      <c r="AH16" s="32"/>
      <c r="AI16" s="32"/>
      <c r="AJ16" s="32"/>
      <c r="AK16" s="32"/>
    </row>
    <row r="17" spans="1:37" x14ac:dyDescent="0.2">
      <c r="A17" s="132">
        <f>'3 - Memoria de Cálculo'!A17</f>
        <v>8</v>
      </c>
      <c r="B17" s="133" t="str">
        <f>'3 - Memoria de Cálculo'!B17</f>
        <v>ARROIO CORREGUINHO</v>
      </c>
      <c r="C17" s="133" t="str">
        <f>'3 - Memoria de Cálculo'!C17</f>
        <v>21°42'39.87''S</v>
      </c>
      <c r="D17" s="133" t="str">
        <f>'3 - Memoria de Cálculo'!D17</f>
        <v>54°18'52.81''W</v>
      </c>
      <c r="E17" s="123" t="str">
        <f>'3 - Memoria de Cálculo'!E17</f>
        <v>Simples</v>
      </c>
      <c r="F17" s="133">
        <f>'3 - Memoria de Cálculo'!F17</f>
        <v>4.4000000000000004</v>
      </c>
      <c r="G17" s="123">
        <f>'3 - Memoria de Cálculo'!G17</f>
        <v>5.8</v>
      </c>
      <c r="H17" s="123">
        <v>49.585443804000008</v>
      </c>
      <c r="I17" s="123">
        <v>28.30912</v>
      </c>
      <c r="J17" s="123">
        <v>0.52199420000000007</v>
      </c>
      <c r="K17" s="123">
        <v>22.000000000000004</v>
      </c>
      <c r="L17" s="123">
        <v>12.286880000000002</v>
      </c>
      <c r="M17" s="123">
        <v>1.9992000000000001</v>
      </c>
      <c r="N17" s="123">
        <v>114.702</v>
      </c>
      <c r="O17" s="123">
        <v>39</v>
      </c>
      <c r="P17" s="123">
        <v>8</v>
      </c>
      <c r="Q17" s="123">
        <v>3</v>
      </c>
      <c r="R17" s="341">
        <v>50</v>
      </c>
      <c r="S17" s="123">
        <v>6.25</v>
      </c>
      <c r="T17" s="55"/>
      <c r="U17" s="552" t="s">
        <v>32</v>
      </c>
      <c r="V17" s="552"/>
      <c r="W17" s="552"/>
      <c r="X17" s="552"/>
      <c r="Y17" s="4"/>
      <c r="Z17" s="32"/>
      <c r="AA17" s="34">
        <v>8.3375000000000005E-2</v>
      </c>
      <c r="AB17" s="34">
        <v>0.20850000000000002</v>
      </c>
      <c r="AC17" s="32"/>
      <c r="AD17" s="32"/>
      <c r="AE17" s="32"/>
      <c r="AF17" s="33"/>
      <c r="AG17" s="32"/>
      <c r="AH17" s="32"/>
      <c r="AI17" s="32"/>
      <c r="AJ17" s="32"/>
      <c r="AK17" s="32"/>
    </row>
    <row r="18" spans="1:37" x14ac:dyDescent="0.2">
      <c r="A18" s="132">
        <f>'3 - Memoria de Cálculo'!A18</f>
        <v>9</v>
      </c>
      <c r="B18" s="133" t="str">
        <f>'3 - Memoria de Cálculo'!B18</f>
        <v>CÓRREGO GUATAMBU</v>
      </c>
      <c r="C18" s="133" t="str">
        <f>'3 - Memoria de Cálculo'!C18</f>
        <v>21°43'17.70"S</v>
      </c>
      <c r="D18" s="133" t="str">
        <f>'3 - Memoria de Cálculo'!D18</f>
        <v>54°16'36.10"W</v>
      </c>
      <c r="E18" s="123" t="str">
        <f>'3 - Memoria de Cálculo'!E18</f>
        <v>Simples</v>
      </c>
      <c r="F18" s="133">
        <f>'3 - Memoria de Cálculo'!F18</f>
        <v>4.4000000000000004</v>
      </c>
      <c r="G18" s="123">
        <f>'3 - Memoria de Cálculo'!G18</f>
        <v>10.6</v>
      </c>
      <c r="H18" s="123">
        <v>89.942046948000012</v>
      </c>
      <c r="I18" s="123">
        <v>31.998848000000002</v>
      </c>
      <c r="J18" s="123">
        <v>0.9545036800000003</v>
      </c>
      <c r="K18" s="123">
        <v>22.000000000000004</v>
      </c>
      <c r="L18" s="123">
        <v>18.087112000000005</v>
      </c>
      <c r="M18" s="123">
        <v>3.6556800000000007</v>
      </c>
      <c r="N18" s="123">
        <v>166.63800000000001</v>
      </c>
      <c r="O18" s="123">
        <v>70</v>
      </c>
      <c r="P18" s="123">
        <v>14</v>
      </c>
      <c r="Q18" s="123">
        <v>6</v>
      </c>
      <c r="R18" s="341">
        <v>90</v>
      </c>
      <c r="S18" s="123">
        <v>11.25</v>
      </c>
      <c r="T18" s="55"/>
      <c r="U18" s="552" t="s">
        <v>76</v>
      </c>
      <c r="V18" s="552"/>
      <c r="W18" s="552"/>
      <c r="X18" s="552"/>
      <c r="Y18" s="2">
        <v>0.1087</v>
      </c>
      <c r="Z18" s="32"/>
      <c r="AA18" s="34"/>
      <c r="AB18" s="34"/>
      <c r="AC18" s="32"/>
      <c r="AD18" s="32"/>
      <c r="AE18" s="33">
        <v>0.26700000000000002</v>
      </c>
      <c r="AF18" s="33"/>
      <c r="AG18" s="32"/>
      <c r="AH18" s="32"/>
      <c r="AI18" s="32"/>
      <c r="AJ18" s="32"/>
      <c r="AK18" s="32"/>
    </row>
    <row r="19" spans="1:37" x14ac:dyDescent="0.2">
      <c r="A19" s="132">
        <f>'3 - Memoria de Cálculo'!A19</f>
        <v>10</v>
      </c>
      <c r="B19" s="133" t="str">
        <f>'3 - Memoria de Cálculo'!B19</f>
        <v>CÓRREGO QUILOMBO</v>
      </c>
      <c r="C19" s="133" t="str">
        <f>'3 - Memoria de Cálculo'!C19</f>
        <v>21°42'51.11''S</v>
      </c>
      <c r="D19" s="133" t="str">
        <f>'3 - Memoria de Cálculo'!D19</f>
        <v>54°16'52.81''W</v>
      </c>
      <c r="E19" s="123" t="str">
        <f>'3 - Memoria de Cálculo'!E19</f>
        <v>Simples</v>
      </c>
      <c r="F19" s="133">
        <f>'3 - Memoria de Cálculo'!F19</f>
        <v>4.4000000000000004</v>
      </c>
      <c r="G19" s="123">
        <f>'3 - Memoria de Cálculo'!G19</f>
        <v>5.8</v>
      </c>
      <c r="H19" s="123">
        <v>49.585443804000008</v>
      </c>
      <c r="I19" s="123">
        <v>28.30912</v>
      </c>
      <c r="J19" s="123">
        <v>0.52199420000000007</v>
      </c>
      <c r="K19" s="123">
        <v>22.000000000000004</v>
      </c>
      <c r="L19" s="123">
        <v>12.286880000000002</v>
      </c>
      <c r="M19" s="123">
        <v>1.9992000000000001</v>
      </c>
      <c r="N19" s="123">
        <v>114.702</v>
      </c>
      <c r="O19" s="123">
        <v>39</v>
      </c>
      <c r="P19" s="123">
        <v>8</v>
      </c>
      <c r="Q19" s="123">
        <v>3</v>
      </c>
      <c r="R19" s="341">
        <v>50</v>
      </c>
      <c r="S19" s="123">
        <v>6.25</v>
      </c>
      <c r="T19" s="55"/>
      <c r="U19" s="552" t="s">
        <v>77</v>
      </c>
      <c r="V19" s="552"/>
      <c r="W19" s="552"/>
      <c r="X19" s="552"/>
      <c r="Y19" s="4"/>
      <c r="Z19" s="33">
        <v>0.11899999999999999</v>
      </c>
      <c r="AA19" s="34"/>
      <c r="AB19" s="34">
        <v>2.3800000000000002E-2</v>
      </c>
      <c r="AC19" s="32"/>
      <c r="AD19" s="32"/>
      <c r="AE19" s="32"/>
      <c r="AF19" s="33"/>
      <c r="AG19" s="32"/>
      <c r="AH19" s="32"/>
      <c r="AI19" s="32"/>
      <c r="AJ19" s="32"/>
      <c r="AK19" s="32"/>
    </row>
    <row r="20" spans="1:37" x14ac:dyDescent="0.2">
      <c r="A20" s="132">
        <f>'3 - Memoria de Cálculo'!A20</f>
        <v>11</v>
      </c>
      <c r="B20" s="133" t="str">
        <f>'3 - Memoria de Cálculo'!B20</f>
        <v>CÓRREGO SAPÉ</v>
      </c>
      <c r="C20" s="133" t="str">
        <f>'3 - Memoria de Cálculo'!C20</f>
        <v>21°44'57.50"S</v>
      </c>
      <c r="D20" s="133" t="str">
        <f>'3 - Memoria de Cálculo'!D20</f>
        <v>54°18'00.40"W</v>
      </c>
      <c r="E20" s="123" t="str">
        <f>'3 - Memoria de Cálculo'!E20</f>
        <v>Simples</v>
      </c>
      <c r="F20" s="133">
        <f>'3 - Memoria de Cálculo'!F20</f>
        <v>4.4000000000000004</v>
      </c>
      <c r="G20" s="123">
        <f>'3 - Memoria de Cálculo'!G20</f>
        <v>10.8</v>
      </c>
      <c r="H20" s="123">
        <v>89.942046948000012</v>
      </c>
      <c r="I20" s="123">
        <v>32.126080000000002</v>
      </c>
      <c r="J20" s="123">
        <v>0.96941780000000011</v>
      </c>
      <c r="K20" s="123">
        <v>22.000000000000004</v>
      </c>
      <c r="L20" s="123">
        <v>18.287120000000002</v>
      </c>
      <c r="M20" s="123">
        <v>3.7128000000000001</v>
      </c>
      <c r="N20" s="123">
        <v>167.03700000000001</v>
      </c>
      <c r="O20" s="123">
        <v>70</v>
      </c>
      <c r="P20" s="123">
        <v>14</v>
      </c>
      <c r="Q20" s="123">
        <v>6</v>
      </c>
      <c r="R20" s="341">
        <v>90</v>
      </c>
      <c r="S20" s="123">
        <v>11.25</v>
      </c>
      <c r="T20" s="55"/>
    </row>
    <row r="21" spans="1:37" x14ac:dyDescent="0.2">
      <c r="A21" s="132">
        <f>'3 - Memoria de Cálculo'!A21</f>
        <v>12</v>
      </c>
      <c r="B21" s="133" t="str">
        <f>'3 - Memoria de Cálculo'!B21</f>
        <v>CÓRREGO JUREMA</v>
      </c>
      <c r="C21" s="133" t="str">
        <f>'3 - Memoria de Cálculo'!C21</f>
        <v>21°47'02.84''S</v>
      </c>
      <c r="D21" s="133" t="str">
        <f>'3 - Memoria de Cálculo'!D21</f>
        <v>54°14'35.61''W</v>
      </c>
      <c r="E21" s="123" t="str">
        <f>'3 - Memoria de Cálculo'!E21</f>
        <v>Simples</v>
      </c>
      <c r="F21" s="133">
        <f>'3 - Memoria de Cálculo'!F21</f>
        <v>4.4000000000000004</v>
      </c>
      <c r="G21" s="123">
        <f>'3 - Memoria de Cálculo'!G21</f>
        <v>7.1</v>
      </c>
      <c r="H21" s="123">
        <v>49.585443804000008</v>
      </c>
      <c r="I21" s="123">
        <v>29.326976000000002</v>
      </c>
      <c r="J21" s="123">
        <v>0.6413071600000001</v>
      </c>
      <c r="K21" s="123">
        <v>22.000000000000004</v>
      </c>
      <c r="L21" s="123">
        <v>13.886944</v>
      </c>
      <c r="M21" s="123">
        <v>2.4561600000000001</v>
      </c>
      <c r="N21" s="123">
        <v>117.896</v>
      </c>
      <c r="O21" s="123">
        <v>39</v>
      </c>
      <c r="P21" s="123">
        <v>10</v>
      </c>
      <c r="Q21" s="123">
        <v>4</v>
      </c>
      <c r="R21" s="341">
        <v>53</v>
      </c>
      <c r="S21" s="123">
        <v>6.625</v>
      </c>
      <c r="T21" s="55"/>
      <c r="U21" s="548" t="s">
        <v>71</v>
      </c>
      <c r="V21" s="548"/>
      <c r="W21" s="548"/>
      <c r="X21" s="548"/>
      <c r="Y21" s="548"/>
      <c r="Z21" s="548"/>
      <c r="AA21" s="548"/>
      <c r="AB21" s="548"/>
      <c r="AC21" s="548"/>
      <c r="AD21" s="548"/>
      <c r="AE21" s="548"/>
      <c r="AF21" s="548"/>
      <c r="AG21" s="548"/>
      <c r="AH21" s="548"/>
      <c r="AI21" s="548"/>
      <c r="AJ21" s="548"/>
      <c r="AK21" s="548"/>
    </row>
    <row r="22" spans="1:37" x14ac:dyDescent="0.2">
      <c r="A22" s="132">
        <f>'3 - Memoria de Cálculo'!A22</f>
        <v>13</v>
      </c>
      <c r="B22" s="133" t="str">
        <f>'3 - Memoria de Cálculo'!B22</f>
        <v>CÓRREGO ARACI</v>
      </c>
      <c r="C22" s="133" t="str">
        <f>'3 - Memoria de Cálculo'!C22</f>
        <v>21°45'04.33''S</v>
      </c>
      <c r="D22" s="133" t="str">
        <f>'3 - Memoria de Cálculo'!D22</f>
        <v>54°12'41.25''W</v>
      </c>
      <c r="E22" s="123" t="str">
        <f>'3 - Memoria de Cálculo'!E22</f>
        <v>Simples</v>
      </c>
      <c r="F22" s="133">
        <f>'3 - Memoria de Cálculo'!F22</f>
        <v>4.4000000000000004</v>
      </c>
      <c r="G22" s="123">
        <f>'3 - Memoria de Cálculo'!G22</f>
        <v>6.4</v>
      </c>
      <c r="H22" s="123">
        <v>49.585443804000008</v>
      </c>
      <c r="I22" s="123">
        <v>28.690816000000002</v>
      </c>
      <c r="J22" s="123">
        <v>0.56673656000000006</v>
      </c>
      <c r="K22" s="123">
        <v>22.000000000000004</v>
      </c>
      <c r="L22" s="123">
        <v>12.886903999999999</v>
      </c>
      <c r="M22" s="123">
        <v>2.17056</v>
      </c>
      <c r="N22" s="123">
        <v>115.9</v>
      </c>
      <c r="O22" s="123">
        <v>39</v>
      </c>
      <c r="P22" s="123">
        <v>9</v>
      </c>
      <c r="Q22" s="123">
        <v>4</v>
      </c>
      <c r="R22" s="341">
        <v>52</v>
      </c>
      <c r="S22" s="123">
        <v>6.5</v>
      </c>
      <c r="T22" s="55"/>
      <c r="U22" s="549"/>
      <c r="V22" s="550"/>
      <c r="W22" s="550"/>
      <c r="X22" s="551"/>
      <c r="Y22" s="7" t="s">
        <v>8</v>
      </c>
      <c r="Z22" s="7" t="s">
        <v>9</v>
      </c>
      <c r="AA22" s="7" t="s">
        <v>18</v>
      </c>
      <c r="AB22" s="7" t="s">
        <v>72</v>
      </c>
      <c r="AC22" s="7" t="s">
        <v>11</v>
      </c>
      <c r="AD22" s="7" t="s">
        <v>19</v>
      </c>
      <c r="AE22" s="7" t="s">
        <v>20</v>
      </c>
      <c r="AF22" s="7" t="s">
        <v>14</v>
      </c>
      <c r="AG22" s="7" t="s">
        <v>21</v>
      </c>
      <c r="AH22" s="7" t="s">
        <v>22</v>
      </c>
      <c r="AI22" s="7" t="s">
        <v>23</v>
      </c>
      <c r="AJ22" s="7" t="s">
        <v>24</v>
      </c>
      <c r="AK22" s="7" t="s">
        <v>16</v>
      </c>
    </row>
    <row r="23" spans="1:37" x14ac:dyDescent="0.2">
      <c r="A23" s="132">
        <f>'3 - Memoria de Cálculo'!A23</f>
        <v>14</v>
      </c>
      <c r="B23" s="133" t="str">
        <f>'3 - Memoria de Cálculo'!B23</f>
        <v>CÓRREGO ANHUMAS</v>
      </c>
      <c r="C23" s="133" t="str">
        <f>'3 - Memoria de Cálculo'!C23</f>
        <v>21°51'40.49''S</v>
      </c>
      <c r="D23" s="133" t="str">
        <f>'3 - Memoria de Cálculo'!D23</f>
        <v>54°08'14.26''W</v>
      </c>
      <c r="E23" s="123" t="str">
        <f>'3 - Memoria de Cálculo'!E23</f>
        <v>Simples</v>
      </c>
      <c r="F23" s="133">
        <f>'3 - Memoria de Cálculo'!F23</f>
        <v>4.4000000000000004</v>
      </c>
      <c r="G23" s="123">
        <f>'3 - Memoria de Cálculo'!G23</f>
        <v>11.8</v>
      </c>
      <c r="H23" s="123">
        <v>89.942046948000012</v>
      </c>
      <c r="I23" s="123">
        <v>32.889471999999998</v>
      </c>
      <c r="J23" s="123">
        <v>1.0589025200000002</v>
      </c>
      <c r="K23" s="123">
        <v>22.000000000000004</v>
      </c>
      <c r="L23" s="123">
        <v>19.487168</v>
      </c>
      <c r="M23" s="123">
        <v>4.0555199999999996</v>
      </c>
      <c r="N23" s="123">
        <v>169.43299999999999</v>
      </c>
      <c r="O23" s="123">
        <v>70</v>
      </c>
      <c r="P23" s="123">
        <v>16</v>
      </c>
      <c r="Q23" s="123">
        <v>7</v>
      </c>
      <c r="R23" s="341">
        <v>93</v>
      </c>
      <c r="S23" s="123">
        <v>11.625</v>
      </c>
      <c r="T23" s="55"/>
      <c r="U23" s="552" t="s">
        <v>25</v>
      </c>
      <c r="V23" s="552"/>
      <c r="W23" s="552"/>
      <c r="X23" s="552"/>
      <c r="Y23" s="4"/>
      <c r="Z23" s="4"/>
      <c r="AA23" s="4"/>
      <c r="AB23" s="4"/>
      <c r="AC23" s="4"/>
      <c r="AD23" s="2">
        <v>2</v>
      </c>
      <c r="AE23" s="4"/>
      <c r="AF23" s="4"/>
      <c r="AG23" s="2">
        <v>0.4</v>
      </c>
      <c r="AH23" s="2">
        <v>0.4</v>
      </c>
      <c r="AI23" s="2">
        <v>0.4</v>
      </c>
      <c r="AJ23" s="2">
        <v>0.72729999999999995</v>
      </c>
      <c r="AK23" s="2">
        <v>5</v>
      </c>
    </row>
    <row r="24" spans="1:37" x14ac:dyDescent="0.2">
      <c r="A24" s="132">
        <f>'3 - Memoria de Cálculo'!A24</f>
        <v>15</v>
      </c>
      <c r="B24" s="133" t="str">
        <f>'3 - Memoria de Cálculo'!B24</f>
        <v>CÓRREGO CHIFRE DO VIADO</v>
      </c>
      <c r="C24" s="133" t="str">
        <f>'3 - Memoria de Cálculo'!C24</f>
        <v>21°40'35.65''S</v>
      </c>
      <c r="D24" s="133" t="str">
        <f>'3 - Memoria de Cálculo'!D24</f>
        <v>54°56'15.44''W</v>
      </c>
      <c r="E24" s="123" t="str">
        <f>'3 - Memoria de Cálculo'!E24</f>
        <v>Simples</v>
      </c>
      <c r="F24" s="133">
        <f>'3 - Memoria de Cálculo'!F24</f>
        <v>5</v>
      </c>
      <c r="G24" s="123">
        <f>'3 - Memoria de Cálculo'!G24</f>
        <v>12</v>
      </c>
      <c r="H24" s="123">
        <v>94.293797551200015</v>
      </c>
      <c r="I24" s="123">
        <v>33.016704000000004</v>
      </c>
      <c r="J24" s="123">
        <v>1.0738166400000002</v>
      </c>
      <c r="K24" s="123">
        <v>22.000000000000004</v>
      </c>
      <c r="L24" s="123">
        <v>20.408076000000001</v>
      </c>
      <c r="M24" s="123">
        <v>4.1126399999999999</v>
      </c>
      <c r="N24" s="123">
        <v>174.905</v>
      </c>
      <c r="O24" s="123">
        <v>73</v>
      </c>
      <c r="P24" s="123">
        <v>16</v>
      </c>
      <c r="Q24" s="123">
        <v>7</v>
      </c>
      <c r="R24" s="341">
        <v>96</v>
      </c>
      <c r="S24" s="123">
        <v>12</v>
      </c>
      <c r="T24" s="55"/>
      <c r="U24" s="552" t="s">
        <v>26</v>
      </c>
      <c r="V24" s="552"/>
      <c r="W24" s="552"/>
      <c r="X24" s="552"/>
      <c r="Y24" s="4"/>
      <c r="Z24" s="4">
        <v>0.222</v>
      </c>
      <c r="AA24" s="4"/>
      <c r="AB24" s="4"/>
      <c r="AC24" s="4"/>
      <c r="AD24" s="4"/>
      <c r="AE24" s="2">
        <v>1</v>
      </c>
      <c r="AF24" s="4"/>
      <c r="AG24" s="4"/>
      <c r="AH24" s="4"/>
      <c r="AI24" s="4"/>
      <c r="AJ24" s="4"/>
      <c r="AK24" s="4"/>
    </row>
    <row r="25" spans="1:37" x14ac:dyDescent="0.2">
      <c r="A25" s="132">
        <f>'3 - Memoria de Cálculo'!A25</f>
        <v>16</v>
      </c>
      <c r="B25" s="133" t="str">
        <f>'3 - Memoria de Cálculo'!B25</f>
        <v>CÓRREGO SANTA RITA</v>
      </c>
      <c r="C25" s="133" t="str">
        <f>'3 - Memoria de Cálculo'!C25</f>
        <v>21°33'23.75''S</v>
      </c>
      <c r="D25" s="133" t="str">
        <f>'3 - Memoria de Cálculo'!D25</f>
        <v>54°35'26.66''W</v>
      </c>
      <c r="E25" s="123" t="str">
        <f>'3 - Memoria de Cálculo'!E25</f>
        <v>Simples</v>
      </c>
      <c r="F25" s="133">
        <f>'3 - Memoria de Cálculo'!F25</f>
        <v>4.4000000000000004</v>
      </c>
      <c r="G25" s="123">
        <f>'3 - Memoria de Cálculo'!G25</f>
        <v>22.1</v>
      </c>
      <c r="H25" s="123">
        <v>160.84921273200004</v>
      </c>
      <c r="I25" s="123">
        <v>40.777856</v>
      </c>
      <c r="J25" s="123">
        <v>1.9835779600000003</v>
      </c>
      <c r="K25" s="123">
        <v>22.000000000000004</v>
      </c>
      <c r="L25" s="123">
        <v>31.887663999999997</v>
      </c>
      <c r="M25" s="123">
        <v>7.5969600000000002</v>
      </c>
      <c r="N25" s="123">
        <v>265.09500000000003</v>
      </c>
      <c r="O25" s="123">
        <v>124</v>
      </c>
      <c r="P25" s="123">
        <v>29</v>
      </c>
      <c r="Q25" s="123">
        <v>14</v>
      </c>
      <c r="R25" s="341">
        <v>167</v>
      </c>
      <c r="S25" s="123">
        <v>20.875</v>
      </c>
      <c r="T25" s="55"/>
      <c r="U25" s="552" t="s">
        <v>27</v>
      </c>
      <c r="V25" s="552"/>
      <c r="W25" s="552"/>
      <c r="X25" s="552"/>
      <c r="Y25" s="4"/>
      <c r="Z25" s="4"/>
      <c r="AA25" s="4">
        <v>0.66700000000000004</v>
      </c>
      <c r="AB25" s="4">
        <v>0.83400000000000007</v>
      </c>
      <c r="AC25" s="4"/>
      <c r="AD25" s="4"/>
      <c r="AE25" s="4"/>
      <c r="AF25" s="4"/>
      <c r="AG25" s="4"/>
      <c r="AH25" s="4"/>
      <c r="AI25" s="4"/>
      <c r="AJ25" s="4"/>
      <c r="AK25" s="4"/>
    </row>
    <row r="26" spans="1:37" x14ac:dyDescent="0.2">
      <c r="A26" s="132">
        <f>'3 - Memoria de Cálculo'!A26</f>
        <v>17</v>
      </c>
      <c r="B26" s="133" t="str">
        <f>'3 - Memoria de Cálculo'!B26</f>
        <v>RIO SERROTE</v>
      </c>
      <c r="C26" s="133" t="str">
        <f>'3 - Memoria de Cálculo'!C26</f>
        <v>21°25'01.14''S</v>
      </c>
      <c r="D26" s="133" t="str">
        <f>'3 - Memoria de Cálculo'!D26</f>
        <v>54°43'16.96''W</v>
      </c>
      <c r="E26" s="123" t="str">
        <f>'3 - Memoria de Cálculo'!E26</f>
        <v>Simples</v>
      </c>
      <c r="F26" s="133">
        <f>'3 - Memoria de Cálculo'!F26</f>
        <v>4.4000000000000004</v>
      </c>
      <c r="G26" s="123">
        <f>'3 - Memoria de Cálculo'!G26</f>
        <v>24.6</v>
      </c>
      <c r="H26" s="123">
        <v>160.84921273200004</v>
      </c>
      <c r="I26" s="123">
        <v>42.686335999999997</v>
      </c>
      <c r="J26" s="123">
        <v>2.2072897600000005</v>
      </c>
      <c r="K26" s="123">
        <v>22.000000000000004</v>
      </c>
      <c r="L26" s="123">
        <v>34.887784000000011</v>
      </c>
      <c r="M26" s="123">
        <v>8.4537600000000008</v>
      </c>
      <c r="N26" s="123">
        <v>271.084</v>
      </c>
      <c r="O26" s="123">
        <v>124</v>
      </c>
      <c r="P26" s="123">
        <v>32</v>
      </c>
      <c r="Q26" s="123">
        <v>15</v>
      </c>
      <c r="R26" s="341">
        <v>171</v>
      </c>
      <c r="S26" s="123">
        <v>21.375</v>
      </c>
      <c r="T26" s="55"/>
      <c r="U26" s="552" t="s">
        <v>29</v>
      </c>
      <c r="V26" s="552"/>
      <c r="W26" s="552"/>
      <c r="X26" s="552"/>
      <c r="Y26" s="4"/>
      <c r="Z26" s="4"/>
      <c r="AA26" s="4"/>
      <c r="AB26" s="4"/>
      <c r="AC26" s="4"/>
      <c r="AD26" s="4"/>
      <c r="AE26" s="4"/>
      <c r="AF26" s="2"/>
      <c r="AG26" s="4"/>
      <c r="AH26" s="4"/>
      <c r="AI26" s="4"/>
      <c r="AJ26" s="4"/>
      <c r="AK26" s="2">
        <v>2</v>
      </c>
    </row>
    <row r="27" spans="1:37" x14ac:dyDescent="0.2">
      <c r="A27" s="132">
        <f>'3 - Memoria de Cálculo'!A27</f>
        <v>18</v>
      </c>
      <c r="B27" s="133" t="str">
        <f>'3 - Memoria de Cálculo'!B27</f>
        <v>CÓRREGO PASSATEMPO 1</v>
      </c>
      <c r="C27" s="133" t="str">
        <f>'3 - Memoria de Cálculo'!C27</f>
        <v>21°29'34.92''S</v>
      </c>
      <c r="D27" s="133" t="str">
        <f>'3 - Memoria de Cálculo'!D27</f>
        <v>54°49'18.44''W</v>
      </c>
      <c r="E27" s="123" t="str">
        <f>'3 - Memoria de Cálculo'!E27</f>
        <v>Simples</v>
      </c>
      <c r="F27" s="133">
        <f>'3 - Memoria de Cálculo'!F27</f>
        <v>4.4000000000000004</v>
      </c>
      <c r="G27" s="123">
        <f>'3 - Memoria de Cálculo'!G27</f>
        <v>16.399999999999999</v>
      </c>
      <c r="H27" s="123">
        <v>129.21445016999999</v>
      </c>
      <c r="I27" s="123">
        <v>36.324736000000001</v>
      </c>
      <c r="J27" s="123">
        <v>1.4615837600000003</v>
      </c>
      <c r="K27" s="123">
        <v>22.000000000000004</v>
      </c>
      <c r="L27" s="123">
        <v>24.887384000000001</v>
      </c>
      <c r="M27" s="123">
        <v>5.5977600000000001</v>
      </c>
      <c r="N27" s="123">
        <v>219.48500000000001</v>
      </c>
      <c r="O27" s="123">
        <v>100</v>
      </c>
      <c r="P27" s="123">
        <v>21</v>
      </c>
      <c r="Q27" s="123">
        <v>10</v>
      </c>
      <c r="R27" s="341">
        <v>131</v>
      </c>
      <c r="S27" s="123">
        <v>16.375</v>
      </c>
      <c r="T27" s="55"/>
      <c r="U27" s="552" t="s">
        <v>30</v>
      </c>
      <c r="V27" s="552"/>
      <c r="W27" s="552"/>
      <c r="X27" s="552"/>
      <c r="Y27" s="4"/>
      <c r="Z27" s="4"/>
      <c r="AA27" s="4"/>
      <c r="AB27" s="4"/>
      <c r="AC27" s="4"/>
      <c r="AD27" s="34">
        <v>4</v>
      </c>
      <c r="AE27" s="4"/>
      <c r="AF27" s="2"/>
      <c r="AG27" s="2">
        <v>0.8</v>
      </c>
      <c r="AH27" s="2">
        <v>0.8</v>
      </c>
      <c r="AI27" s="2">
        <v>0.8</v>
      </c>
      <c r="AJ27" s="2">
        <v>1.43</v>
      </c>
      <c r="AK27" s="2">
        <v>10</v>
      </c>
    </row>
    <row r="28" spans="1:37" x14ac:dyDescent="0.2">
      <c r="A28" s="132">
        <f>'3 - Memoria de Cálculo'!A28</f>
        <v>19</v>
      </c>
      <c r="B28" s="133" t="str">
        <f>'3 - Memoria de Cálculo'!B28</f>
        <v>CÓRREGO PASSATEMPO 2</v>
      </c>
      <c r="C28" s="133" t="str">
        <f>'3 - Memoria de Cálculo'!C28</f>
        <v>21°29'33.39''S</v>
      </c>
      <c r="D28" s="133" t="str">
        <f>'3 - Memoria de Cálculo'!D28</f>
        <v>54°49'17.44''W</v>
      </c>
      <c r="E28" s="123" t="str">
        <f>'3 - Memoria de Cálculo'!E28</f>
        <v>Simples</v>
      </c>
      <c r="F28" s="133">
        <f>'3 - Memoria de Cálculo'!F28</f>
        <v>4.4000000000000004</v>
      </c>
      <c r="G28" s="123">
        <f>'3 - Memoria de Cálculo'!G28</f>
        <v>19.600000000000001</v>
      </c>
      <c r="H28" s="123">
        <v>129.21445016999999</v>
      </c>
      <c r="I28" s="123">
        <v>38.869376000000003</v>
      </c>
      <c r="J28" s="123">
        <v>1.7598661600000005</v>
      </c>
      <c r="K28" s="123">
        <v>22.000000000000004</v>
      </c>
      <c r="L28" s="123">
        <v>28.887544000000002</v>
      </c>
      <c r="M28" s="123">
        <v>6.7401600000000004</v>
      </c>
      <c r="N28" s="123">
        <v>227.471</v>
      </c>
      <c r="O28" s="123">
        <v>100</v>
      </c>
      <c r="P28" s="123">
        <v>26</v>
      </c>
      <c r="Q28" s="123">
        <v>12</v>
      </c>
      <c r="R28" s="341">
        <v>138</v>
      </c>
      <c r="S28" s="123">
        <v>17.25</v>
      </c>
      <c r="T28" s="55"/>
      <c r="U28" s="552" t="s">
        <v>31</v>
      </c>
      <c r="V28" s="552"/>
      <c r="W28" s="552"/>
      <c r="X28" s="552"/>
      <c r="Y28" s="4"/>
      <c r="Z28" s="34">
        <v>0.44400000000000001</v>
      </c>
      <c r="AA28" s="4"/>
      <c r="AB28" s="4"/>
      <c r="AC28" s="4"/>
      <c r="AD28" s="4"/>
      <c r="AE28" s="4"/>
      <c r="AF28" s="4"/>
      <c r="AG28" s="4"/>
      <c r="AH28" s="4"/>
      <c r="AI28" s="4"/>
      <c r="AJ28" s="4"/>
      <c r="AK28" s="4"/>
    </row>
    <row r="29" spans="1:37" x14ac:dyDescent="0.2">
      <c r="A29" s="132">
        <f>'3 - Memoria de Cálculo'!A29</f>
        <v>20</v>
      </c>
      <c r="B29" s="133" t="str">
        <f>'3 - Memoria de Cálculo'!B29</f>
        <v>CÓRREGO PASSATEMPO 3</v>
      </c>
      <c r="C29" s="133" t="str">
        <f>'3 - Memoria de Cálculo'!C29</f>
        <v>21°28'09.42''S</v>
      </c>
      <c r="D29" s="133" t="str">
        <f>'3 - Memoria de Cálculo'!D29</f>
        <v>54°48'01.11''W</v>
      </c>
      <c r="E29" s="123" t="str">
        <f>'3 - Memoria de Cálculo'!E29</f>
        <v>Simples</v>
      </c>
      <c r="F29" s="133">
        <f>'3 - Memoria de Cálculo'!F29</f>
        <v>5</v>
      </c>
      <c r="G29" s="123">
        <f>'3 - Memoria de Cálculo'!G29</f>
        <v>6</v>
      </c>
      <c r="H29" s="123">
        <v>51.761319105600002</v>
      </c>
      <c r="I29" s="123">
        <v>28.436351999999999</v>
      </c>
      <c r="J29" s="123">
        <v>0.53690832000000011</v>
      </c>
      <c r="K29" s="123">
        <v>22.000000000000004</v>
      </c>
      <c r="L29" s="123">
        <v>13.207788000000001</v>
      </c>
      <c r="M29" s="123">
        <v>2.0563199999999999</v>
      </c>
      <c r="N29" s="123">
        <v>117.998</v>
      </c>
      <c r="O29" s="123">
        <v>41</v>
      </c>
      <c r="P29" s="123">
        <v>8</v>
      </c>
      <c r="Q29" s="123">
        <v>3</v>
      </c>
      <c r="R29" s="341">
        <v>52</v>
      </c>
      <c r="S29" s="123">
        <v>6.5</v>
      </c>
      <c r="T29" s="55"/>
      <c r="U29" s="552" t="s">
        <v>32</v>
      </c>
      <c r="V29" s="552"/>
      <c r="W29" s="552"/>
      <c r="X29" s="552"/>
      <c r="Y29" s="4"/>
      <c r="Z29" s="4"/>
      <c r="AA29" s="34">
        <v>0.66700000000000004</v>
      </c>
      <c r="AB29" s="34">
        <v>1.6680000000000001</v>
      </c>
      <c r="AC29" s="4"/>
      <c r="AD29" s="4"/>
      <c r="AE29" s="4"/>
      <c r="AF29" s="4"/>
      <c r="AG29" s="4"/>
      <c r="AH29" s="4"/>
      <c r="AI29" s="4"/>
      <c r="AJ29" s="4"/>
      <c r="AK29" s="4"/>
    </row>
    <row r="30" spans="1:37" x14ac:dyDescent="0.2">
      <c r="A30" s="132">
        <f>'3 - Memoria de Cálculo'!A30</f>
        <v>21</v>
      </c>
      <c r="B30" s="133" t="str">
        <f>'3 - Memoria de Cálculo'!B30</f>
        <v>CÓRREGO TAQUARA</v>
      </c>
      <c r="C30" s="133" t="str">
        <f>'3 - Memoria de Cálculo'!C30</f>
        <v>21°21'07.90''S</v>
      </c>
      <c r="D30" s="133" t="str">
        <f>'3 - Memoria de Cálculo'!D30</f>
        <v>54°50'07.01''W</v>
      </c>
      <c r="E30" s="123" t="str">
        <f>'3 - Memoria de Cálculo'!E30</f>
        <v>Simples</v>
      </c>
      <c r="F30" s="133">
        <f>'3 - Memoria de Cálculo'!F30</f>
        <v>4.8</v>
      </c>
      <c r="G30" s="123">
        <f>'3 - Memoria de Cálculo'!G30</f>
        <v>24</v>
      </c>
      <c r="H30" s="123">
        <v>164.90007059760003</v>
      </c>
      <c r="I30" s="123">
        <v>42.177408</v>
      </c>
      <c r="J30" s="123">
        <v>2.1476332800000004</v>
      </c>
      <c r="K30" s="123">
        <v>22.000000000000004</v>
      </c>
      <c r="L30" s="123">
        <v>34.568352000000004</v>
      </c>
      <c r="M30" s="123">
        <v>8.2252799999999997</v>
      </c>
      <c r="N30" s="123">
        <v>274.01799999999997</v>
      </c>
      <c r="O30" s="123">
        <v>127</v>
      </c>
      <c r="P30" s="123">
        <v>31</v>
      </c>
      <c r="Q30" s="123">
        <v>15</v>
      </c>
      <c r="R30" s="341">
        <v>173</v>
      </c>
      <c r="S30" s="123">
        <v>21.625</v>
      </c>
      <c r="T30" s="55"/>
      <c r="U30" s="552" t="s">
        <v>76</v>
      </c>
      <c r="V30" s="552"/>
      <c r="W30" s="552"/>
      <c r="X30" s="552"/>
      <c r="Y30" s="2">
        <v>1.3046</v>
      </c>
      <c r="Z30" s="32"/>
      <c r="AA30" s="34"/>
      <c r="AB30" s="34"/>
      <c r="AC30" s="32"/>
      <c r="AD30" s="32"/>
      <c r="AE30" s="34">
        <v>1.1944444444444444</v>
      </c>
      <c r="AF30" s="33"/>
      <c r="AG30" s="32"/>
      <c r="AH30" s="32"/>
      <c r="AI30" s="32"/>
      <c r="AJ30" s="32"/>
      <c r="AK30" s="32"/>
    </row>
    <row r="31" spans="1:37" x14ac:dyDescent="0.2">
      <c r="A31" s="132">
        <f>'3 - Memoria de Cálculo'!A31</f>
        <v>22</v>
      </c>
      <c r="B31" s="133" t="str">
        <f>'3 - Memoria de Cálculo'!B31</f>
        <v>CÓRREGO PASSATEMPO 4</v>
      </c>
      <c r="C31" s="133" t="str">
        <f>'3 - Memoria de Cálculo'!C31</f>
        <v>21°29'23.36''S</v>
      </c>
      <c r="D31" s="133" t="str">
        <f>'3 - Memoria de Cálculo'!D31</f>
        <v>54°52'56.83''W</v>
      </c>
      <c r="E31" s="123" t="str">
        <f>'3 - Memoria de Cálculo'!E31</f>
        <v>Simples</v>
      </c>
      <c r="F31" s="133">
        <f>'3 - Memoria de Cálculo'!F31</f>
        <v>4.4000000000000004</v>
      </c>
      <c r="G31" s="123">
        <f>'3 - Memoria de Cálculo'!G31</f>
        <v>14.3</v>
      </c>
      <c r="H31" s="123">
        <v>89.942046948000012</v>
      </c>
      <c r="I31" s="123">
        <v>34.797952000000002</v>
      </c>
      <c r="J31" s="123">
        <v>1.2826143200000002</v>
      </c>
      <c r="K31" s="123">
        <v>22.000000000000004</v>
      </c>
      <c r="L31" s="123">
        <v>22.487287999999999</v>
      </c>
      <c r="M31" s="123">
        <v>4.9123200000000002</v>
      </c>
      <c r="N31" s="123">
        <v>175.422</v>
      </c>
      <c r="O31" s="123">
        <v>70</v>
      </c>
      <c r="P31" s="123">
        <v>19</v>
      </c>
      <c r="Q31" s="123">
        <v>9</v>
      </c>
      <c r="R31" s="341">
        <v>98</v>
      </c>
      <c r="S31" s="123">
        <v>12.25</v>
      </c>
      <c r="T31" s="55"/>
      <c r="U31" s="552" t="s">
        <v>77</v>
      </c>
      <c r="V31" s="552"/>
      <c r="W31" s="552"/>
      <c r="X31" s="552"/>
      <c r="Y31" s="4"/>
      <c r="Z31" s="34">
        <v>3.3333333333333335</v>
      </c>
      <c r="AA31" s="34"/>
      <c r="AB31" s="34">
        <v>0.66666666666666663</v>
      </c>
      <c r="AC31" s="32"/>
      <c r="AD31" s="32"/>
      <c r="AE31" s="32"/>
      <c r="AF31" s="33"/>
      <c r="AG31" s="32"/>
      <c r="AH31" s="32"/>
      <c r="AI31" s="32"/>
      <c r="AJ31" s="32"/>
      <c r="AK31" s="32"/>
    </row>
    <row r="32" spans="1:37" x14ac:dyDescent="0.2">
      <c r="A32" s="132">
        <f>'3 - Memoria de Cálculo'!A32</f>
        <v>23</v>
      </c>
      <c r="B32" s="133" t="str">
        <f>'3 - Memoria de Cálculo'!B32</f>
        <v>CÓRREGO DO COQUEIRO</v>
      </c>
      <c r="C32" s="133" t="str">
        <f>'3 - Memoria de Cálculo'!C32</f>
        <v>21°30'51.74''S</v>
      </c>
      <c r="D32" s="133" t="str">
        <f>'3 - Memoria de Cálculo'!D32</f>
        <v>54°52'00.30''W</v>
      </c>
      <c r="E32" s="123" t="str">
        <f>'3 - Memoria de Cálculo'!E32</f>
        <v>Simples</v>
      </c>
      <c r="F32" s="133">
        <f>'3 - Memoria de Cálculo'!F32</f>
        <v>4.4000000000000004</v>
      </c>
      <c r="G32" s="123">
        <f>'3 - Memoria de Cálculo'!G32</f>
        <v>22.3</v>
      </c>
      <c r="H32" s="123">
        <v>160.84921273200004</v>
      </c>
      <c r="I32" s="123">
        <v>40.905087999999999</v>
      </c>
      <c r="J32" s="123">
        <v>1.9984920800000003</v>
      </c>
      <c r="K32" s="123">
        <v>22.000000000000004</v>
      </c>
      <c r="L32" s="123">
        <v>32.087672000000005</v>
      </c>
      <c r="M32" s="123">
        <v>7.6540800000000004</v>
      </c>
      <c r="N32" s="123">
        <v>265.49400000000003</v>
      </c>
      <c r="O32" s="123">
        <v>124</v>
      </c>
      <c r="P32" s="123">
        <v>29</v>
      </c>
      <c r="Q32" s="123">
        <v>14</v>
      </c>
      <c r="R32" s="341">
        <v>167</v>
      </c>
      <c r="S32" s="123">
        <v>20.875</v>
      </c>
      <c r="T32" s="55"/>
    </row>
    <row r="33" spans="1:20" x14ac:dyDescent="0.2">
      <c r="A33" s="132">
        <f>'3 - Memoria de Cálculo'!A33</f>
        <v>24</v>
      </c>
      <c r="B33" s="133" t="str">
        <f>'3 - Memoria de Cálculo'!B33</f>
        <v>CÓRREGO CARRAPATO</v>
      </c>
      <c r="C33" s="133" t="str">
        <f>'3 - Memoria de Cálculo'!C33</f>
        <v>21°32'42.64''S</v>
      </c>
      <c r="D33" s="133" t="str">
        <f>'3 - Memoria de Cálculo'!D33</f>
        <v>55°00'59.87''W</v>
      </c>
      <c r="E33" s="123" t="str">
        <f>'3 - Memoria de Cálculo'!E33</f>
        <v>Simples</v>
      </c>
      <c r="F33" s="133">
        <f>'3 - Memoria de Cálculo'!F33</f>
        <v>4.4000000000000004</v>
      </c>
      <c r="G33" s="123">
        <f>'3 - Memoria de Cálculo'!G33</f>
        <v>18</v>
      </c>
      <c r="H33" s="123">
        <v>129.21445016999999</v>
      </c>
      <c r="I33" s="123">
        <v>37.597056000000002</v>
      </c>
      <c r="J33" s="123">
        <v>1.6107249600000002</v>
      </c>
      <c r="K33" s="123">
        <v>22.000000000000004</v>
      </c>
      <c r="L33" s="123">
        <v>26.887464000000001</v>
      </c>
      <c r="M33" s="123">
        <v>6.1689600000000002</v>
      </c>
      <c r="N33" s="123">
        <v>223.47800000000001</v>
      </c>
      <c r="O33" s="123">
        <v>100</v>
      </c>
      <c r="P33" s="123">
        <v>24</v>
      </c>
      <c r="Q33" s="123">
        <v>11</v>
      </c>
      <c r="R33" s="341">
        <v>135</v>
      </c>
      <c r="S33" s="123">
        <v>16.875</v>
      </c>
      <c r="T33" s="55"/>
    </row>
    <row r="34" spans="1:20" x14ac:dyDescent="0.2">
      <c r="A34" s="132">
        <f>'3 - Memoria de Cálculo'!A34</f>
        <v>25</v>
      </c>
      <c r="B34" s="133" t="str">
        <f>'3 - Memoria de Cálculo'!B34</f>
        <v>CÓRREGO BARRA MANSA</v>
      </c>
      <c r="C34" s="133" t="str">
        <f>'3 - Memoria de Cálculo'!C34</f>
        <v>21°45'26.00"S</v>
      </c>
      <c r="D34" s="133" t="str">
        <f>'3 - Memoria de Cálculo'!D34</f>
        <v>54°10'16.90"W</v>
      </c>
      <c r="E34" s="123" t="str">
        <f>'3 - Memoria de Cálculo'!E34</f>
        <v>Simples</v>
      </c>
      <c r="F34" s="133">
        <f>'3 - Memoria de Cálculo'!F34</f>
        <v>5</v>
      </c>
      <c r="G34" s="123">
        <f>'3 - Memoria de Cálculo'!G34</f>
        <v>5.6</v>
      </c>
      <c r="H34" s="123">
        <v>51.761319105600002</v>
      </c>
      <c r="I34" s="123">
        <v>28.181888000000001</v>
      </c>
      <c r="J34" s="123">
        <v>0.50708008000000004</v>
      </c>
      <c r="K34" s="123">
        <v>22.000000000000004</v>
      </c>
      <c r="L34" s="123">
        <v>12.807772</v>
      </c>
      <c r="M34" s="123">
        <v>1.94208</v>
      </c>
      <c r="N34" s="123">
        <v>117.2</v>
      </c>
      <c r="O34" s="123">
        <v>41</v>
      </c>
      <c r="P34" s="123">
        <v>8</v>
      </c>
      <c r="Q34" s="123">
        <v>3</v>
      </c>
      <c r="R34" s="341">
        <v>52</v>
      </c>
      <c r="S34" s="123">
        <v>6.5</v>
      </c>
      <c r="T34" s="55"/>
    </row>
    <row r="35" spans="1:20" x14ac:dyDescent="0.2">
      <c r="A35" s="132">
        <f>'3 - Memoria de Cálculo'!A35</f>
        <v>26</v>
      </c>
      <c r="B35" s="133" t="str">
        <f>'3 - Memoria de Cálculo'!B35</f>
        <v>CÓRREGO PASSATEMPO 5</v>
      </c>
      <c r="C35" s="133" t="str">
        <f>'3 - Memoria de Cálculo'!C35</f>
        <v>21°29'57.99''S</v>
      </c>
      <c r="D35" s="133" t="str">
        <f>'3 - Memoria de Cálculo'!D35</f>
        <v>54°43'07.39''W</v>
      </c>
      <c r="E35" s="123" t="str">
        <f>'3 - Memoria de Cálculo'!E35</f>
        <v>Simples</v>
      </c>
      <c r="F35" s="133">
        <f>'3 - Memoria de Cálculo'!F35</f>
        <v>4.4000000000000004</v>
      </c>
      <c r="G35" s="123">
        <f>'3 - Memoria de Cálculo'!G35</f>
        <v>22.3</v>
      </c>
      <c r="H35" s="123">
        <v>160.84921273200004</v>
      </c>
      <c r="I35" s="123">
        <v>40.905087999999999</v>
      </c>
      <c r="J35" s="123">
        <v>1.9984920800000003</v>
      </c>
      <c r="K35" s="123">
        <v>22.000000000000004</v>
      </c>
      <c r="L35" s="123">
        <v>32.087672000000005</v>
      </c>
      <c r="M35" s="123">
        <v>7.6540800000000004</v>
      </c>
      <c r="N35" s="123">
        <v>265.49400000000003</v>
      </c>
      <c r="O35" s="123">
        <v>124</v>
      </c>
      <c r="P35" s="123">
        <v>29</v>
      </c>
      <c r="Q35" s="123">
        <v>14</v>
      </c>
      <c r="R35" s="341">
        <v>167</v>
      </c>
      <c r="S35" s="123">
        <v>20.875</v>
      </c>
      <c r="T35" s="55"/>
    </row>
    <row r="36" spans="1:20" x14ac:dyDescent="0.2">
      <c r="A36" s="137"/>
      <c r="B36" s="137"/>
      <c r="C36" s="137"/>
      <c r="D36" s="137"/>
      <c r="E36" s="130"/>
      <c r="F36" s="137"/>
      <c r="G36" s="130"/>
      <c r="H36" s="137"/>
      <c r="I36" s="137"/>
      <c r="J36" s="137"/>
      <c r="K36" s="137"/>
      <c r="L36" s="137"/>
      <c r="M36" s="137"/>
      <c r="N36" s="137"/>
      <c r="O36" s="137"/>
      <c r="P36" s="137"/>
      <c r="Q36" s="137"/>
      <c r="R36" s="342"/>
      <c r="S36" s="137"/>
      <c r="T36" s="11"/>
    </row>
    <row r="37" spans="1:20" ht="15.75" customHeight="1" x14ac:dyDescent="0.2">
      <c r="A37" s="564" t="s">
        <v>241</v>
      </c>
      <c r="B37" s="564"/>
      <c r="C37" s="564"/>
      <c r="D37" s="564"/>
      <c r="E37" s="564"/>
      <c r="F37" s="564"/>
      <c r="G37" s="564"/>
      <c r="H37" s="36">
        <v>2467.4430000000002</v>
      </c>
      <c r="I37" s="36">
        <v>876.88199999999995</v>
      </c>
      <c r="J37" s="36">
        <v>30.081</v>
      </c>
      <c r="K37" s="36">
        <v>572</v>
      </c>
      <c r="L37" s="36">
        <v>544.71199999999999</v>
      </c>
      <c r="M37" s="36">
        <v>115.211</v>
      </c>
      <c r="N37" s="18">
        <v>4606.3190000000004</v>
      </c>
      <c r="O37" s="36">
        <v>1916</v>
      </c>
      <c r="P37" s="36">
        <v>444</v>
      </c>
      <c r="Q37" s="36">
        <v>201</v>
      </c>
      <c r="R37" s="343">
        <v>2561</v>
      </c>
      <c r="S37" s="18">
        <v>320.125</v>
      </c>
      <c r="T37" s="11"/>
    </row>
    <row r="38" spans="1:20" ht="16.5" customHeight="1" x14ac:dyDescent="0.2">
      <c r="A38" s="561" t="s">
        <v>242</v>
      </c>
      <c r="B38" s="562"/>
      <c r="C38" s="562"/>
      <c r="D38" s="562"/>
      <c r="E38" s="562"/>
      <c r="F38" s="562"/>
      <c r="G38" s="562"/>
      <c r="H38" s="562"/>
      <c r="I38" s="562"/>
      <c r="J38" s="562"/>
      <c r="K38" s="562"/>
      <c r="L38" s="562"/>
      <c r="M38" s="562"/>
      <c r="N38" s="562"/>
      <c r="O38" s="562"/>
      <c r="P38" s="562"/>
      <c r="Q38" s="562"/>
      <c r="R38" s="563"/>
      <c r="S38" s="18">
        <v>4926.4440000000004</v>
      </c>
      <c r="T38" s="11"/>
    </row>
    <row r="39" spans="1:20" x14ac:dyDescent="0.2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  <c r="T39" s="8"/>
    </row>
    <row r="40" spans="1:20" x14ac:dyDescent="0.2">
      <c r="A40" s="8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  <c r="O40" s="271"/>
      <c r="P40" s="8"/>
      <c r="Q40" s="8"/>
      <c r="R40" s="8"/>
      <c r="S40" s="271"/>
      <c r="T40" s="8"/>
    </row>
    <row r="41" spans="1:20" x14ac:dyDescent="0.2">
      <c r="A41" s="8"/>
      <c r="B41" s="8"/>
      <c r="C41" s="8"/>
      <c r="D41" s="8"/>
      <c r="E41" s="8"/>
      <c r="F41" s="8"/>
      <c r="G41" s="8"/>
      <c r="H41" s="271"/>
      <c r="I41" s="271"/>
      <c r="J41" s="271"/>
      <c r="K41" s="8"/>
      <c r="L41" s="8"/>
      <c r="M41" s="8"/>
      <c r="N41" s="8"/>
      <c r="O41" s="8"/>
      <c r="P41" s="8"/>
      <c r="Q41" s="8"/>
      <c r="R41" s="8"/>
      <c r="S41" s="8"/>
      <c r="T41" s="8"/>
    </row>
    <row r="42" spans="1:20" x14ac:dyDescent="0.2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  <c r="T42" s="8"/>
    </row>
    <row r="44" spans="1:20" x14ac:dyDescent="0.2">
      <c r="B44" s="15"/>
      <c r="C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</row>
  </sheetData>
  <mergeCells count="35">
    <mergeCell ref="A38:R38"/>
    <mergeCell ref="U28:X28"/>
    <mergeCell ref="U29:X29"/>
    <mergeCell ref="U13:X13"/>
    <mergeCell ref="U18:X18"/>
    <mergeCell ref="U23:X23"/>
    <mergeCell ref="U24:X24"/>
    <mergeCell ref="U25:X25"/>
    <mergeCell ref="U21:AK21"/>
    <mergeCell ref="U19:X19"/>
    <mergeCell ref="U14:X14"/>
    <mergeCell ref="U15:X15"/>
    <mergeCell ref="U16:X16"/>
    <mergeCell ref="U31:X31"/>
    <mergeCell ref="U30:X30"/>
    <mergeCell ref="A37:G37"/>
    <mergeCell ref="A6:S6"/>
    <mergeCell ref="A1:S1"/>
    <mergeCell ref="A2:S2"/>
    <mergeCell ref="A3:S3"/>
    <mergeCell ref="A4:S4"/>
    <mergeCell ref="A5:S5"/>
    <mergeCell ref="A7:S7"/>
    <mergeCell ref="A8:A9"/>
    <mergeCell ref="B8:G8"/>
    <mergeCell ref="H8:N8"/>
    <mergeCell ref="O8:S8"/>
    <mergeCell ref="U9:AK9"/>
    <mergeCell ref="U10:X10"/>
    <mergeCell ref="U11:X11"/>
    <mergeCell ref="U12:X12"/>
    <mergeCell ref="U27:X27"/>
    <mergeCell ref="U17:X17"/>
    <mergeCell ref="U22:X22"/>
    <mergeCell ref="U26:X26"/>
  </mergeCells>
  <printOptions horizontalCentered="1"/>
  <pageMargins left="0.23622047244094491" right="0.23622047244094491" top="0.78740157480314965" bottom="1.3385826771653544" header="0.31496062992125984" footer="0.31496062992125984"/>
  <pageSetup paperSize="9" scale="69" fitToHeight="0" orientation="landscape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00B050"/>
  </sheetPr>
  <dimension ref="A1:AK365"/>
  <sheetViews>
    <sheetView zoomScaleNormal="100" zoomScaleSheetLayoutView="110" workbookViewId="0">
      <selection activeCell="Q31" sqref="Q31:R31"/>
    </sheetView>
  </sheetViews>
  <sheetFormatPr defaultColWidth="9.140625" defaultRowHeight="12" x14ac:dyDescent="0.2"/>
  <cols>
    <col min="1" max="1" width="6.5703125" style="1" customWidth="1"/>
    <col min="2" max="2" width="23.42578125" style="1" customWidth="1"/>
    <col min="3" max="3" width="10.7109375" style="1" customWidth="1"/>
    <col min="4" max="4" width="8.7109375" style="1" bestFit="1" customWidth="1"/>
    <col min="5" max="5" width="10" style="1" bestFit="1" customWidth="1"/>
    <col min="6" max="6" width="9.7109375" style="1" bestFit="1" customWidth="1"/>
    <col min="7" max="7" width="11.28515625" style="1" bestFit="1" customWidth="1"/>
    <col min="8" max="8" width="11.5703125" style="1" bestFit="1" customWidth="1"/>
    <col min="9" max="9" width="10.7109375" style="1" bestFit="1" customWidth="1"/>
    <col min="10" max="10" width="7.140625" style="1" bestFit="1" customWidth="1"/>
    <col min="11" max="11" width="9.5703125" style="1" customWidth="1"/>
    <col min="12" max="12" width="11.85546875" style="1" bestFit="1" customWidth="1"/>
    <col min="13" max="13" width="10.28515625" style="1" bestFit="1" customWidth="1"/>
    <col min="14" max="14" width="11.42578125" style="1" customWidth="1"/>
    <col min="15" max="15" width="10.7109375" style="1" customWidth="1"/>
    <col min="16" max="16" width="8.85546875" style="1" customWidth="1"/>
    <col min="17" max="17" width="9.28515625" style="1" customWidth="1"/>
    <col min="18" max="18" width="9.85546875" style="1" customWidth="1"/>
    <col min="19" max="20" width="25.7109375" style="1" customWidth="1"/>
    <col min="21" max="16384" width="9.140625" style="1"/>
  </cols>
  <sheetData>
    <row r="1" spans="1:36" ht="19.5" customHeight="1" x14ac:dyDescent="0.2">
      <c r="A1" s="577"/>
      <c r="B1" s="577"/>
      <c r="C1" s="576">
        <f>'2 - Serviços'!C1:K5</f>
        <v>0</v>
      </c>
      <c r="D1" s="576"/>
      <c r="E1" s="576"/>
      <c r="F1" s="576"/>
      <c r="G1" s="576"/>
      <c r="H1" s="576"/>
      <c r="I1" s="576"/>
      <c r="J1" s="576"/>
      <c r="K1" s="576"/>
      <c r="L1" s="576"/>
      <c r="M1" s="565">
        <f>'2 - Serviços'!M1</f>
        <v>0</v>
      </c>
      <c r="N1" s="565"/>
      <c r="O1" s="565"/>
      <c r="P1" s="565"/>
      <c r="Q1" s="565"/>
      <c r="R1" s="565"/>
      <c r="S1" s="9"/>
      <c r="T1" s="9"/>
      <c r="U1" s="9"/>
      <c r="V1" s="9"/>
      <c r="W1" s="9"/>
      <c r="X1" s="9"/>
    </row>
    <row r="2" spans="1:36" x14ac:dyDescent="0.2">
      <c r="A2" s="577"/>
      <c r="B2" s="577"/>
      <c r="C2" s="576"/>
      <c r="D2" s="576"/>
      <c r="E2" s="576"/>
      <c r="F2" s="576"/>
      <c r="G2" s="576"/>
      <c r="H2" s="576"/>
      <c r="I2" s="576"/>
      <c r="J2" s="576"/>
      <c r="K2" s="576"/>
      <c r="L2" s="576"/>
      <c r="M2" s="565"/>
      <c r="N2" s="565"/>
      <c r="O2" s="565"/>
      <c r="P2" s="565"/>
      <c r="Q2" s="565"/>
      <c r="R2" s="565"/>
      <c r="S2" s="9"/>
      <c r="T2" s="9"/>
      <c r="U2" s="9"/>
      <c r="V2" s="9"/>
      <c r="W2" s="9"/>
      <c r="X2" s="9"/>
    </row>
    <row r="3" spans="1:36" ht="17.25" customHeight="1" x14ac:dyDescent="0.2">
      <c r="A3" s="577"/>
      <c r="B3" s="577"/>
      <c r="C3" s="576"/>
      <c r="D3" s="576"/>
      <c r="E3" s="576"/>
      <c r="F3" s="576"/>
      <c r="G3" s="576"/>
      <c r="H3" s="576"/>
      <c r="I3" s="576"/>
      <c r="J3" s="576"/>
      <c r="K3" s="576"/>
      <c r="L3" s="576"/>
      <c r="M3" s="565"/>
      <c r="N3" s="565"/>
      <c r="O3" s="565"/>
      <c r="P3" s="565"/>
      <c r="Q3" s="565"/>
      <c r="R3" s="565"/>
      <c r="S3" s="9"/>
      <c r="T3" s="9"/>
      <c r="U3" s="9"/>
      <c r="V3" s="9"/>
      <c r="W3" s="9"/>
      <c r="X3" s="9"/>
    </row>
    <row r="4" spans="1:36" ht="25.5" customHeight="1" x14ac:dyDescent="0.2">
      <c r="A4" s="577"/>
      <c r="B4" s="577"/>
      <c r="C4" s="576"/>
      <c r="D4" s="576"/>
      <c r="E4" s="576"/>
      <c r="F4" s="576"/>
      <c r="G4" s="576"/>
      <c r="H4" s="576"/>
      <c r="I4" s="576"/>
      <c r="J4" s="576"/>
      <c r="K4" s="576"/>
      <c r="L4" s="576"/>
      <c r="M4" s="565"/>
      <c r="N4" s="565"/>
      <c r="O4" s="565"/>
      <c r="P4" s="565"/>
      <c r="Q4" s="565"/>
      <c r="R4" s="565"/>
      <c r="S4" s="9"/>
      <c r="T4" s="9"/>
      <c r="U4" s="9"/>
      <c r="V4" s="9"/>
      <c r="W4" s="9"/>
      <c r="X4" s="9"/>
    </row>
    <row r="5" spans="1:36" ht="10.5" customHeight="1" x14ac:dyDescent="0.2">
      <c r="A5" s="577"/>
      <c r="B5" s="577"/>
      <c r="C5" s="576"/>
      <c r="D5" s="576"/>
      <c r="E5" s="576"/>
      <c r="F5" s="576"/>
      <c r="G5" s="576"/>
      <c r="H5" s="576"/>
      <c r="I5" s="576"/>
      <c r="J5" s="576"/>
      <c r="K5" s="576"/>
      <c r="L5" s="576"/>
      <c r="M5" s="565"/>
      <c r="N5" s="565"/>
      <c r="O5" s="565"/>
      <c r="P5" s="565"/>
      <c r="Q5" s="565"/>
      <c r="R5" s="565"/>
      <c r="S5" s="9"/>
      <c r="T5" s="9"/>
      <c r="U5" s="9"/>
      <c r="V5" s="9"/>
      <c r="W5" s="9"/>
      <c r="X5" s="9"/>
    </row>
    <row r="6" spans="1:36" x14ac:dyDescent="0.2">
      <c r="A6" s="578" t="s">
        <v>223</v>
      </c>
      <c r="B6" s="579"/>
      <c r="C6" s="579"/>
      <c r="D6" s="579"/>
      <c r="E6" s="579"/>
      <c r="F6" s="579"/>
      <c r="G6" s="579"/>
      <c r="H6" s="579"/>
      <c r="I6" s="579"/>
      <c r="J6" s="579"/>
      <c r="K6" s="579"/>
      <c r="L6" s="579"/>
      <c r="M6" s="579"/>
      <c r="N6" s="579"/>
      <c r="O6" s="579"/>
      <c r="P6" s="579"/>
      <c r="Q6" s="579"/>
      <c r="R6" s="579"/>
      <c r="S6" s="10"/>
      <c r="T6" s="548" t="s">
        <v>70</v>
      </c>
      <c r="U6" s="548"/>
      <c r="V6" s="548"/>
      <c r="W6" s="548"/>
      <c r="X6" s="548"/>
      <c r="Y6" s="548"/>
      <c r="Z6" s="548"/>
      <c r="AA6" s="548"/>
      <c r="AB6" s="548"/>
      <c r="AC6" s="548"/>
      <c r="AD6" s="548"/>
      <c r="AE6" s="548"/>
      <c r="AF6" s="548"/>
      <c r="AG6" s="548"/>
      <c r="AH6" s="548"/>
      <c r="AI6" s="548"/>
      <c r="AJ6" s="548"/>
    </row>
    <row r="7" spans="1:36" x14ac:dyDescent="0.2">
      <c r="A7" s="19"/>
      <c r="B7" s="20"/>
      <c r="C7" s="20"/>
      <c r="D7" s="20"/>
      <c r="E7" s="20"/>
      <c r="F7" s="20"/>
      <c r="G7" s="20"/>
      <c r="H7" s="20"/>
      <c r="I7" s="20"/>
      <c r="J7" s="20"/>
      <c r="K7" s="20"/>
      <c r="L7" s="20"/>
      <c r="M7" s="20"/>
      <c r="N7" s="20"/>
      <c r="O7" s="20"/>
      <c r="P7" s="20"/>
      <c r="Q7" s="20"/>
      <c r="R7" s="20"/>
      <c r="S7" s="10"/>
      <c r="T7" s="549"/>
      <c r="U7" s="550"/>
      <c r="V7" s="550"/>
      <c r="W7" s="551"/>
      <c r="X7" s="7" t="s">
        <v>8</v>
      </c>
      <c r="Y7" s="7" t="s">
        <v>9</v>
      </c>
      <c r="Z7" s="7" t="s">
        <v>18</v>
      </c>
      <c r="AA7" s="7" t="s">
        <v>72</v>
      </c>
      <c r="AB7" s="7" t="s">
        <v>11</v>
      </c>
      <c r="AC7" s="7" t="s">
        <v>19</v>
      </c>
      <c r="AD7" s="7" t="s">
        <v>20</v>
      </c>
      <c r="AE7" s="7" t="s">
        <v>14</v>
      </c>
      <c r="AF7" s="7" t="s">
        <v>21</v>
      </c>
      <c r="AG7" s="7" t="s">
        <v>22</v>
      </c>
      <c r="AH7" s="7" t="s">
        <v>23</v>
      </c>
      <c r="AI7" s="7" t="s">
        <v>24</v>
      </c>
      <c r="AJ7" s="7" t="s">
        <v>16</v>
      </c>
    </row>
    <row r="8" spans="1:36" x14ac:dyDescent="0.2">
      <c r="A8" s="558" t="str">
        <f>'2 - Serviços'!$A$7</f>
        <v>MANUTENÇÃO E CONSERVAÇÃO DAS PONTES DE MADEIRA</v>
      </c>
      <c r="B8" s="559"/>
      <c r="C8" s="559"/>
      <c r="D8" s="559"/>
      <c r="E8" s="559"/>
      <c r="F8" s="559"/>
      <c r="G8" s="559"/>
      <c r="H8" s="559"/>
      <c r="I8" s="559"/>
      <c r="J8" s="559"/>
      <c r="K8" s="559"/>
      <c r="L8" s="559"/>
      <c r="M8" s="559"/>
      <c r="N8" s="559"/>
      <c r="O8" s="559"/>
      <c r="P8" s="559"/>
      <c r="Q8" s="559"/>
      <c r="R8" s="559"/>
      <c r="S8" s="10"/>
      <c r="T8" s="552" t="s">
        <v>25</v>
      </c>
      <c r="U8" s="552"/>
      <c r="V8" s="552"/>
      <c r="W8" s="552"/>
      <c r="X8" s="4"/>
      <c r="Y8" s="4"/>
      <c r="Z8" s="4"/>
      <c r="AA8" s="4"/>
      <c r="AB8" s="4"/>
      <c r="AC8" s="2">
        <f>(1.333*3.978*0.66)+(0.667*3.978*0.6)</f>
        <v>5.0917604400000007</v>
      </c>
      <c r="AD8" s="4"/>
      <c r="AE8" s="34"/>
      <c r="AF8" s="2">
        <f>0.4*3.978*0.72</f>
        <v>1.145664</v>
      </c>
      <c r="AG8" s="2">
        <f>AF8</f>
        <v>1.145664</v>
      </c>
      <c r="AH8" s="2">
        <f>0.4*3.978*0.75</f>
        <v>1.1934</v>
      </c>
      <c r="AI8" s="2">
        <f>0.7273*3.978*0.65</f>
        <v>1.8805796100000001</v>
      </c>
      <c r="AJ8" s="34">
        <f>5*3.978*0.4</f>
        <v>7.9560000000000004</v>
      </c>
    </row>
    <row r="9" spans="1:36" ht="15" customHeight="1" x14ac:dyDescent="0.2">
      <c r="A9" s="46" t="s">
        <v>80</v>
      </c>
      <c r="B9" s="548" t="s">
        <v>236</v>
      </c>
      <c r="C9" s="548"/>
      <c r="D9" s="548"/>
      <c r="E9" s="548"/>
      <c r="F9" s="46" t="s">
        <v>220</v>
      </c>
      <c r="G9" s="548" t="s">
        <v>216</v>
      </c>
      <c r="H9" s="548"/>
      <c r="I9" s="548"/>
      <c r="J9" s="548" t="s">
        <v>217</v>
      </c>
      <c r="K9" s="548"/>
      <c r="L9" s="548"/>
      <c r="M9" s="548" t="s">
        <v>218</v>
      </c>
      <c r="N9" s="548"/>
      <c r="O9" s="548"/>
      <c r="P9" s="548" t="s">
        <v>219</v>
      </c>
      <c r="Q9" s="548"/>
      <c r="R9" s="548"/>
      <c r="S9" s="10"/>
      <c r="T9" s="552" t="s">
        <v>26</v>
      </c>
      <c r="U9" s="552"/>
      <c r="V9" s="552"/>
      <c r="W9" s="552"/>
      <c r="X9" s="4"/>
      <c r="Y9" s="34">
        <f>(8*1.2*0.994)/36</f>
        <v>0.26506666666666662</v>
      </c>
      <c r="Z9" s="32"/>
      <c r="AA9" s="32"/>
      <c r="AB9" s="32"/>
      <c r="AC9" s="32"/>
      <c r="AD9" s="33">
        <f>12*1*0.994</f>
        <v>11.928000000000001</v>
      </c>
      <c r="AE9" s="33"/>
      <c r="AF9" s="32"/>
      <c r="AG9" s="32"/>
      <c r="AH9" s="32"/>
      <c r="AI9" s="32"/>
      <c r="AJ9" s="32"/>
    </row>
    <row r="10" spans="1:36" ht="15" customHeight="1" x14ac:dyDescent="0.2">
      <c r="A10" s="7" t="e">
        <f>'4 - Resumo de Ferragem'!#REF!</f>
        <v>#REF!</v>
      </c>
      <c r="B10" s="552" t="e">
        <f>'4 - Resumo de Ferragem'!#REF!</f>
        <v>#REF!</v>
      </c>
      <c r="C10" s="552"/>
      <c r="D10" s="552"/>
      <c r="E10" s="552"/>
      <c r="F10" s="7" t="e">
        <f>'4 - Resumo de Ferragem'!#REF!</f>
        <v>#REF!</v>
      </c>
      <c r="G10" s="552" t="e">
        <f>'4 - Resumo de Ferragem'!#REF!</f>
        <v>#REF!</v>
      </c>
      <c r="H10" s="552"/>
      <c r="I10" s="552"/>
      <c r="J10" s="552" t="e">
        <f>'4 - Resumo de Ferragem'!#REF!</f>
        <v>#REF!</v>
      </c>
      <c r="K10" s="552"/>
      <c r="L10" s="552"/>
      <c r="M10" s="552" t="e">
        <f>'4 - Resumo de Ferragem'!#REF!</f>
        <v>#REF!</v>
      </c>
      <c r="N10" s="552"/>
      <c r="O10" s="552"/>
      <c r="P10" s="568" t="e">
        <f>'4 - Resumo de Ferragem'!#REF!</f>
        <v>#REF!</v>
      </c>
      <c r="Q10" s="568"/>
      <c r="R10" s="568"/>
      <c r="S10" s="11"/>
      <c r="T10" s="552" t="s">
        <v>27</v>
      </c>
      <c r="U10" s="552"/>
      <c r="V10" s="552"/>
      <c r="W10" s="552"/>
      <c r="X10" s="4"/>
      <c r="Y10" s="32"/>
      <c r="Z10" s="34">
        <f>0.667*0.559*0.25</f>
        <v>9.3213250000000011E-2</v>
      </c>
      <c r="AA10" s="34">
        <f>(0.167*0.559*0.35)+(0.667*0.559*0.35)</f>
        <v>0.16317210000000001</v>
      </c>
      <c r="AB10" s="32"/>
      <c r="AC10" s="32"/>
      <c r="AD10" s="32"/>
      <c r="AE10" s="33"/>
      <c r="AF10" s="32"/>
      <c r="AG10" s="32"/>
      <c r="AH10" s="32"/>
      <c r="AI10" s="32"/>
      <c r="AJ10" s="32"/>
    </row>
    <row r="11" spans="1:36" ht="15" customHeight="1" x14ac:dyDescent="0.2">
      <c r="A11" s="548" t="s">
        <v>169</v>
      </c>
      <c r="B11" s="548"/>
      <c r="C11" s="46" t="s">
        <v>8</v>
      </c>
      <c r="D11" s="46" t="s">
        <v>9</v>
      </c>
      <c r="E11" s="46" t="s">
        <v>18</v>
      </c>
      <c r="F11" s="46" t="s">
        <v>72</v>
      </c>
      <c r="G11" s="46" t="s">
        <v>11</v>
      </c>
      <c r="H11" s="46" t="s">
        <v>19</v>
      </c>
      <c r="I11" s="46" t="s">
        <v>20</v>
      </c>
      <c r="J11" s="46" t="s">
        <v>14</v>
      </c>
      <c r="K11" s="46" t="s">
        <v>21</v>
      </c>
      <c r="L11" s="46" t="s">
        <v>22</v>
      </c>
      <c r="M11" s="46" t="s">
        <v>23</v>
      </c>
      <c r="N11" s="46" t="s">
        <v>15</v>
      </c>
      <c r="O11" s="46" t="s">
        <v>16</v>
      </c>
      <c r="P11" s="46" t="s">
        <v>81</v>
      </c>
      <c r="Q11" s="548" t="s">
        <v>221</v>
      </c>
      <c r="R11" s="548"/>
      <c r="S11" s="11"/>
      <c r="T11" s="552" t="s">
        <v>73</v>
      </c>
      <c r="U11" s="552"/>
      <c r="V11" s="552"/>
      <c r="W11" s="552"/>
      <c r="X11" s="4"/>
      <c r="Y11" s="32"/>
      <c r="Z11" s="34"/>
      <c r="AA11" s="34">
        <f>0.167*0.248*0.12</f>
        <v>4.9699200000000001E-3</v>
      </c>
      <c r="AB11" s="32"/>
      <c r="AC11" s="32"/>
      <c r="AD11" s="32"/>
      <c r="AE11" s="33"/>
      <c r="AF11" s="32"/>
      <c r="AG11" s="32"/>
      <c r="AH11" s="32"/>
      <c r="AI11" s="32"/>
      <c r="AJ11" s="32"/>
    </row>
    <row r="12" spans="1:36" ht="15" customHeight="1" x14ac:dyDescent="0.2">
      <c r="A12" s="573" t="s">
        <v>224</v>
      </c>
      <c r="B12" s="574"/>
      <c r="C12" s="13"/>
      <c r="D12" s="5"/>
      <c r="E12" s="5"/>
      <c r="F12" s="5"/>
      <c r="G12" s="5"/>
      <c r="H12" s="5" t="e">
        <f>'3 - Memoria de Cálculo'!#REF!*$AC$8</f>
        <v>#REF!</v>
      </c>
      <c r="I12" s="5"/>
      <c r="J12" s="5"/>
      <c r="K12" s="5" t="e">
        <f>'3 - Memoria de Cálculo'!#REF!*$AF$8</f>
        <v>#REF!</v>
      </c>
      <c r="L12" s="5" t="e">
        <f>'3 - Memoria de Cálculo'!#REF!*$AG$8</f>
        <v>#REF!</v>
      </c>
      <c r="M12" s="5" t="e">
        <f>'3 - Memoria de Cálculo'!#REF!*$AH$8</f>
        <v>#REF!</v>
      </c>
      <c r="N12" s="5" t="e">
        <f>'3 - Memoria de Cálculo'!#REF!*$AI$8</f>
        <v>#REF!</v>
      </c>
      <c r="O12" s="5" t="e">
        <f>'2 - Serviços'!#REF!*$AJ$8</f>
        <v>#REF!</v>
      </c>
      <c r="P12" s="5" t="e">
        <f>SUM(C12:O12)</f>
        <v>#REF!</v>
      </c>
      <c r="Q12" s="573" t="e">
        <f>P12</f>
        <v>#REF!</v>
      </c>
      <c r="R12" s="574"/>
      <c r="S12" s="11"/>
      <c r="T12" s="552" t="s">
        <v>28</v>
      </c>
      <c r="U12" s="552"/>
      <c r="V12" s="552"/>
      <c r="W12" s="552"/>
      <c r="X12" s="4"/>
      <c r="Y12" s="32"/>
      <c r="Z12" s="32"/>
      <c r="AA12" s="32"/>
      <c r="AB12" s="32"/>
      <c r="AC12" s="32"/>
      <c r="AD12" s="32"/>
      <c r="AE12" s="33"/>
      <c r="AF12" s="32"/>
      <c r="AG12" s="32"/>
      <c r="AH12" s="32"/>
      <c r="AI12" s="32"/>
      <c r="AJ12" s="32"/>
    </row>
    <row r="13" spans="1:36" ht="15" customHeight="1" x14ac:dyDescent="0.2">
      <c r="A13" s="566" t="s">
        <v>225</v>
      </c>
      <c r="B13" s="567"/>
      <c r="C13" s="13"/>
      <c r="D13" s="5" t="e">
        <f>'3 - Memoria de Cálculo'!#REF!*$Y$9</f>
        <v>#REF!</v>
      </c>
      <c r="E13" s="5"/>
      <c r="F13" s="5"/>
      <c r="G13" s="5"/>
      <c r="H13" s="5"/>
      <c r="I13" s="5" t="e">
        <f>'2 - Serviços'!#REF!*$AD$9</f>
        <v>#REF!</v>
      </c>
      <c r="J13" s="5"/>
      <c r="K13" s="5"/>
      <c r="L13" s="5"/>
      <c r="M13" s="5"/>
      <c r="N13" s="5"/>
      <c r="O13" s="5"/>
      <c r="P13" s="5" t="e">
        <f t="shared" ref="P13:P23" si="0">SUM(C13:O13)</f>
        <v>#REF!</v>
      </c>
      <c r="Q13" s="566" t="e">
        <f t="shared" ref="Q13:Q19" si="1">P13</f>
        <v>#REF!</v>
      </c>
      <c r="R13" s="567"/>
      <c r="S13" s="11"/>
      <c r="T13" s="552" t="s">
        <v>29</v>
      </c>
      <c r="U13" s="552"/>
      <c r="V13" s="552"/>
      <c r="W13" s="552"/>
      <c r="X13" s="4"/>
      <c r="Y13" s="32"/>
      <c r="Z13" s="32"/>
      <c r="AA13" s="32"/>
      <c r="AB13" s="32"/>
      <c r="AC13" s="32"/>
      <c r="AD13" s="32"/>
      <c r="AE13" s="33"/>
      <c r="AF13" s="32"/>
      <c r="AG13" s="32"/>
      <c r="AH13" s="32"/>
      <c r="AI13" s="32"/>
      <c r="AJ13" s="34">
        <f>2*(0.55*0.2)*100</f>
        <v>22.000000000000004</v>
      </c>
    </row>
    <row r="14" spans="1:36" ht="14.25" customHeight="1" x14ac:dyDescent="0.2">
      <c r="A14" s="566" t="s">
        <v>226</v>
      </c>
      <c r="B14" s="567"/>
      <c r="C14" s="13"/>
      <c r="D14" s="5"/>
      <c r="E14" s="5" t="e">
        <f>'3 - Memoria de Cálculo'!#REF!*$Z$10</f>
        <v>#REF!</v>
      </c>
      <c r="F14" s="5" t="e">
        <f>'3 - Memoria de Cálculo'!#REF!*$AA$10</f>
        <v>#REF!</v>
      </c>
      <c r="G14" s="5"/>
      <c r="H14" s="5"/>
      <c r="I14" s="5"/>
      <c r="J14" s="5"/>
      <c r="K14" s="5"/>
      <c r="L14" s="5"/>
      <c r="M14" s="5"/>
      <c r="N14" s="5"/>
      <c r="O14" s="5"/>
      <c r="P14" s="5" t="e">
        <f t="shared" si="0"/>
        <v>#REF!</v>
      </c>
      <c r="Q14" s="566" t="e">
        <f t="shared" si="1"/>
        <v>#REF!</v>
      </c>
      <c r="R14" s="567"/>
      <c r="S14" s="11"/>
      <c r="T14" s="552" t="s">
        <v>30</v>
      </c>
      <c r="U14" s="552"/>
      <c r="V14" s="552"/>
      <c r="W14" s="552"/>
      <c r="X14" s="4"/>
      <c r="Y14" s="32"/>
      <c r="Z14" s="32"/>
      <c r="AA14" s="32"/>
      <c r="AB14" s="32"/>
      <c r="AC14" s="34">
        <f>((1.333*2)+(0.667*2))*0.125</f>
        <v>0.5</v>
      </c>
      <c r="AD14" s="32"/>
      <c r="AE14" s="34"/>
      <c r="AF14" s="34">
        <f>0.8*0.125</f>
        <v>0.1</v>
      </c>
      <c r="AG14" s="34">
        <f>AF14</f>
        <v>0.1</v>
      </c>
      <c r="AH14" s="34">
        <f>AF14</f>
        <v>0.1</v>
      </c>
      <c r="AI14" s="34">
        <f>1.43*0.125</f>
        <v>0.17874999999999999</v>
      </c>
      <c r="AJ14" s="34">
        <f>10*0.125</f>
        <v>1.25</v>
      </c>
    </row>
    <row r="15" spans="1:36" ht="15" customHeight="1" x14ac:dyDescent="0.2">
      <c r="A15" s="566" t="s">
        <v>227</v>
      </c>
      <c r="B15" s="567"/>
      <c r="C15" s="13"/>
      <c r="D15" s="5"/>
      <c r="E15" s="5"/>
      <c r="F15" s="5" t="e">
        <f>'3 - Memoria de Cálculo'!#REF!*$AA$11</f>
        <v>#REF!</v>
      </c>
      <c r="G15" s="5"/>
      <c r="H15" s="5"/>
      <c r="I15" s="5"/>
      <c r="J15" s="5"/>
      <c r="K15" s="5"/>
      <c r="L15" s="5"/>
      <c r="M15" s="5"/>
      <c r="N15" s="5"/>
      <c r="O15" s="5"/>
      <c r="P15" s="5" t="e">
        <f t="shared" si="0"/>
        <v>#REF!</v>
      </c>
      <c r="Q15" s="566" t="e">
        <f t="shared" si="1"/>
        <v>#REF!</v>
      </c>
      <c r="R15" s="567"/>
      <c r="S15" s="11"/>
      <c r="T15" s="552" t="s">
        <v>31</v>
      </c>
      <c r="U15" s="552"/>
      <c r="V15" s="552"/>
      <c r="W15" s="552"/>
      <c r="X15" s="4"/>
      <c r="Y15" s="34">
        <f>0.444*0.125</f>
        <v>5.5500000000000001E-2</v>
      </c>
      <c r="Z15" s="32"/>
      <c r="AA15" s="32"/>
      <c r="AB15" s="32"/>
      <c r="AC15" s="32"/>
      <c r="AD15" s="32"/>
      <c r="AE15" s="33"/>
      <c r="AF15" s="32"/>
      <c r="AG15" s="32"/>
      <c r="AH15" s="32"/>
      <c r="AI15" s="32"/>
      <c r="AJ15" s="32"/>
    </row>
    <row r="16" spans="1:36" ht="15" customHeight="1" x14ac:dyDescent="0.2">
      <c r="A16" s="566" t="s">
        <v>228</v>
      </c>
      <c r="B16" s="567"/>
      <c r="C16" s="13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>
        <f t="shared" si="0"/>
        <v>0</v>
      </c>
      <c r="Q16" s="566">
        <f t="shared" si="1"/>
        <v>0</v>
      </c>
      <c r="R16" s="567"/>
      <c r="S16" s="11"/>
      <c r="T16" s="552" t="s">
        <v>32</v>
      </c>
      <c r="U16" s="552"/>
      <c r="V16" s="552"/>
      <c r="W16" s="552"/>
      <c r="X16" s="4"/>
      <c r="Y16" s="32"/>
      <c r="Z16" s="34">
        <f>0.667*0.125</f>
        <v>8.3375000000000005E-2</v>
      </c>
      <c r="AA16" s="34">
        <f>(0.167*2*0.125)+(0.667*2*0.125)</f>
        <v>0.20850000000000002</v>
      </c>
      <c r="AB16" s="32"/>
      <c r="AC16" s="32"/>
      <c r="AD16" s="32"/>
      <c r="AE16" s="33"/>
      <c r="AF16" s="32"/>
      <c r="AG16" s="32"/>
      <c r="AH16" s="32"/>
      <c r="AI16" s="32"/>
      <c r="AJ16" s="32"/>
    </row>
    <row r="17" spans="1:36" ht="15" customHeight="1" x14ac:dyDescent="0.2">
      <c r="A17" s="566" t="s">
        <v>229</v>
      </c>
      <c r="B17" s="567"/>
      <c r="C17" s="13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 t="e">
        <f>'2 - Serviços'!#REF!*22</f>
        <v>#REF!</v>
      </c>
      <c r="P17" s="5" t="e">
        <f t="shared" si="0"/>
        <v>#REF!</v>
      </c>
      <c r="Q17" s="566" t="e">
        <f t="shared" si="1"/>
        <v>#REF!</v>
      </c>
      <c r="R17" s="567"/>
      <c r="S17" s="11"/>
      <c r="T17" s="552" t="s">
        <v>74</v>
      </c>
      <c r="U17" s="552"/>
      <c r="V17" s="552"/>
      <c r="W17" s="552"/>
      <c r="X17" s="4"/>
      <c r="Y17" s="32"/>
      <c r="Z17" s="34"/>
      <c r="AA17" s="34">
        <f>0.167*2*0.125</f>
        <v>4.1750000000000002E-2</v>
      </c>
      <c r="AB17" s="32"/>
      <c r="AC17" s="32"/>
      <c r="AD17" s="32"/>
      <c r="AE17" s="33"/>
      <c r="AF17" s="32"/>
      <c r="AG17" s="32"/>
      <c r="AH17" s="32"/>
      <c r="AI17" s="32"/>
      <c r="AJ17" s="32"/>
    </row>
    <row r="18" spans="1:36" ht="15" customHeight="1" x14ac:dyDescent="0.2">
      <c r="A18" s="566" t="s">
        <v>230</v>
      </c>
      <c r="B18" s="567"/>
      <c r="C18" s="13" t="e">
        <f>'3 - Memoria de Cálculo'!#REF!*$X$18</f>
        <v>#REF!</v>
      </c>
      <c r="D18" s="5"/>
      <c r="E18" s="5"/>
      <c r="F18" s="5"/>
      <c r="G18" s="5"/>
      <c r="H18" s="5"/>
      <c r="I18" s="5" t="e">
        <f>'2 - Serviços'!#REF!*$AD$18</f>
        <v>#REF!</v>
      </c>
      <c r="J18" s="5"/>
      <c r="K18" s="5"/>
      <c r="L18" s="5"/>
      <c r="M18" s="5"/>
      <c r="N18" s="5"/>
      <c r="O18" s="5"/>
      <c r="P18" s="5" t="e">
        <f t="shared" si="0"/>
        <v>#REF!</v>
      </c>
      <c r="Q18" s="566" t="e">
        <f t="shared" si="1"/>
        <v>#REF!</v>
      </c>
      <c r="R18" s="567"/>
      <c r="S18" s="11"/>
      <c r="T18" s="552" t="s">
        <v>76</v>
      </c>
      <c r="U18" s="552"/>
      <c r="V18" s="552"/>
      <c r="W18" s="552"/>
      <c r="X18" s="2">
        <v>0.1087</v>
      </c>
      <c r="Y18" s="32"/>
      <c r="Z18" s="34"/>
      <c r="AA18" s="34"/>
      <c r="AB18" s="32"/>
      <c r="AC18" s="32"/>
      <c r="AD18" s="33">
        <v>0.26700000000000002</v>
      </c>
      <c r="AE18" s="33"/>
      <c r="AF18" s="32"/>
      <c r="AG18" s="32"/>
      <c r="AH18" s="32"/>
      <c r="AI18" s="32"/>
      <c r="AJ18" s="32"/>
    </row>
    <row r="19" spans="1:36" ht="15" customHeight="1" x14ac:dyDescent="0.2">
      <c r="A19" s="566" t="s">
        <v>231</v>
      </c>
      <c r="B19" s="567"/>
      <c r="C19" s="13"/>
      <c r="D19" s="5" t="e">
        <f>'3 - Memoria de Cálculo'!#REF!*$Y$19</f>
        <v>#REF!</v>
      </c>
      <c r="E19" s="5"/>
      <c r="F19" s="5" t="e">
        <f>'3 - Memoria de Cálculo'!#REF!*$AA$19</f>
        <v>#REF!</v>
      </c>
      <c r="G19" s="5"/>
      <c r="H19" s="5"/>
      <c r="I19" s="5"/>
      <c r="J19" s="5"/>
      <c r="K19" s="5"/>
      <c r="L19" s="5"/>
      <c r="M19" s="5"/>
      <c r="N19" s="5"/>
      <c r="O19" s="5"/>
      <c r="P19" s="5" t="e">
        <f t="shared" si="0"/>
        <v>#REF!</v>
      </c>
      <c r="Q19" s="566" t="e">
        <f t="shared" si="1"/>
        <v>#REF!</v>
      </c>
      <c r="R19" s="567"/>
      <c r="S19" s="11"/>
      <c r="T19" s="552" t="s">
        <v>77</v>
      </c>
      <c r="U19" s="552"/>
      <c r="V19" s="552"/>
      <c r="W19" s="552"/>
      <c r="X19" s="4"/>
      <c r="Y19" s="33">
        <v>0.11899999999999999</v>
      </c>
      <c r="Z19" s="34"/>
      <c r="AA19" s="34">
        <v>2.3800000000000002E-2</v>
      </c>
      <c r="AB19" s="32"/>
      <c r="AC19" s="32"/>
      <c r="AD19" s="32"/>
      <c r="AE19" s="33"/>
      <c r="AF19" s="32"/>
      <c r="AG19" s="32"/>
      <c r="AH19" s="32"/>
      <c r="AI19" s="32"/>
      <c r="AJ19" s="32"/>
    </row>
    <row r="20" spans="1:36" ht="15" customHeight="1" x14ac:dyDescent="0.2">
      <c r="A20" s="566" t="s">
        <v>232</v>
      </c>
      <c r="B20" s="567"/>
      <c r="C20" s="13"/>
      <c r="D20" s="5"/>
      <c r="E20" s="5"/>
      <c r="F20" s="5"/>
      <c r="G20" s="5"/>
      <c r="H20" s="5" t="e">
        <f>'3 - Memoria de Cálculo'!#REF!*$AC$29</f>
        <v>#REF!</v>
      </c>
      <c r="I20" s="5"/>
      <c r="J20" s="5"/>
      <c r="K20" s="5" t="e">
        <f>'3 - Memoria de Cálculo'!#REF!*$AF$29</f>
        <v>#REF!</v>
      </c>
      <c r="L20" s="5" t="e">
        <f>'3 - Memoria de Cálculo'!#REF!*$AG$29</f>
        <v>#REF!</v>
      </c>
      <c r="M20" s="5" t="e">
        <f>'3 - Memoria de Cálculo'!#REF!*$AH$29</f>
        <v>#REF!</v>
      </c>
      <c r="N20" s="5" t="e">
        <f>'3 - Memoria de Cálculo'!#REF!*$AI$29</f>
        <v>#REF!</v>
      </c>
      <c r="O20" s="5" t="e">
        <f>'2 - Serviços'!#REF!*$AJ$29</f>
        <v>#REF!</v>
      </c>
      <c r="P20" s="5" t="e">
        <f t="shared" si="0"/>
        <v>#REF!</v>
      </c>
      <c r="Q20" s="566" t="e">
        <f>P20*0.125</f>
        <v>#REF!</v>
      </c>
      <c r="R20" s="567"/>
      <c r="S20" s="11"/>
    </row>
    <row r="21" spans="1:36" ht="15" customHeight="1" x14ac:dyDescent="0.2">
      <c r="A21" s="566" t="s">
        <v>233</v>
      </c>
      <c r="B21" s="567"/>
      <c r="C21" s="13"/>
      <c r="D21" s="5" t="e">
        <f>'3 - Memoria de Cálculo'!#REF!*$Y$30</f>
        <v>#REF!</v>
      </c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 t="e">
        <f t="shared" si="0"/>
        <v>#REF!</v>
      </c>
      <c r="Q21" s="566" t="e">
        <f>P21*0.125</f>
        <v>#REF!</v>
      </c>
      <c r="R21" s="567"/>
      <c r="S21" s="11"/>
      <c r="T21" s="548" t="s">
        <v>71</v>
      </c>
      <c r="U21" s="548"/>
      <c r="V21" s="548"/>
      <c r="W21" s="548"/>
      <c r="X21" s="548"/>
      <c r="Y21" s="548"/>
      <c r="Z21" s="548"/>
      <c r="AA21" s="548"/>
      <c r="AB21" s="548"/>
      <c r="AC21" s="548"/>
      <c r="AD21" s="548"/>
      <c r="AE21" s="548"/>
      <c r="AF21" s="548"/>
      <c r="AG21" s="548"/>
      <c r="AH21" s="548"/>
      <c r="AI21" s="548"/>
      <c r="AJ21" s="548"/>
    </row>
    <row r="22" spans="1:36" ht="15" customHeight="1" x14ac:dyDescent="0.2">
      <c r="A22" s="566" t="s">
        <v>234</v>
      </c>
      <c r="B22" s="567"/>
      <c r="C22" s="13"/>
      <c r="D22" s="5"/>
      <c r="E22" s="5" t="e">
        <f>'3 - Memoria de Cálculo'!#REF!*$Z$31</f>
        <v>#REF!</v>
      </c>
      <c r="F22" s="5" t="e">
        <f>'3 - Memoria de Cálculo'!#REF!*$AA$31</f>
        <v>#REF!</v>
      </c>
      <c r="G22" s="5"/>
      <c r="H22" s="5"/>
      <c r="I22" s="5"/>
      <c r="J22" s="5"/>
      <c r="K22" s="5"/>
      <c r="L22" s="5"/>
      <c r="M22" s="5"/>
      <c r="N22" s="5"/>
      <c r="O22" s="5"/>
      <c r="P22" s="5" t="e">
        <f t="shared" si="0"/>
        <v>#REF!</v>
      </c>
      <c r="Q22" s="566" t="e">
        <f>P22*0.125</f>
        <v>#REF!</v>
      </c>
      <c r="R22" s="567"/>
      <c r="S22" s="11"/>
      <c r="T22" s="549"/>
      <c r="U22" s="550"/>
      <c r="V22" s="550"/>
      <c r="W22" s="551"/>
      <c r="X22" s="7" t="s">
        <v>8</v>
      </c>
      <c r="Y22" s="7" t="s">
        <v>9</v>
      </c>
      <c r="Z22" s="7" t="s">
        <v>18</v>
      </c>
      <c r="AA22" s="7" t="s">
        <v>72</v>
      </c>
      <c r="AB22" s="7" t="s">
        <v>11</v>
      </c>
      <c r="AC22" s="7" t="s">
        <v>19</v>
      </c>
      <c r="AD22" s="7" t="s">
        <v>20</v>
      </c>
      <c r="AE22" s="7" t="s">
        <v>14</v>
      </c>
      <c r="AF22" s="7" t="s">
        <v>21</v>
      </c>
      <c r="AG22" s="7" t="s">
        <v>22</v>
      </c>
      <c r="AH22" s="7" t="s">
        <v>23</v>
      </c>
      <c r="AI22" s="7" t="s">
        <v>24</v>
      </c>
      <c r="AJ22" s="7" t="s">
        <v>16</v>
      </c>
    </row>
    <row r="23" spans="1:36" ht="15" customHeight="1" x14ac:dyDescent="0.2">
      <c r="A23" s="571" t="s">
        <v>235</v>
      </c>
      <c r="B23" s="572"/>
      <c r="C23" s="13"/>
      <c r="D23" s="5"/>
      <c r="E23" s="5"/>
      <c r="F23" s="5" t="e">
        <f>'3 - Memoria de Cálculo'!#REF!*$AA$32</f>
        <v>#REF!</v>
      </c>
      <c r="G23" s="5"/>
      <c r="H23" s="5"/>
      <c r="I23" s="5"/>
      <c r="J23" s="5"/>
      <c r="K23" s="5"/>
      <c r="L23" s="5"/>
      <c r="M23" s="5"/>
      <c r="N23" s="5"/>
      <c r="O23" s="5"/>
      <c r="P23" s="5" t="e">
        <f t="shared" si="0"/>
        <v>#REF!</v>
      </c>
      <c r="Q23" s="566" t="e">
        <f>P23*0.125</f>
        <v>#REF!</v>
      </c>
      <c r="R23" s="567"/>
      <c r="S23" s="11"/>
      <c r="T23" s="552" t="s">
        <v>25</v>
      </c>
      <c r="U23" s="552"/>
      <c r="V23" s="552"/>
      <c r="W23" s="552"/>
      <c r="X23" s="4"/>
      <c r="Y23" s="4"/>
      <c r="Z23" s="4"/>
      <c r="AA23" s="4"/>
      <c r="AB23" s="4"/>
      <c r="AC23" s="2">
        <f>1.333+0.667</f>
        <v>2</v>
      </c>
      <c r="AD23" s="4"/>
      <c r="AE23" s="4"/>
      <c r="AF23" s="2">
        <f>0.4</f>
        <v>0.4</v>
      </c>
      <c r="AG23" s="2">
        <f>AF23</f>
        <v>0.4</v>
      </c>
      <c r="AH23" s="2">
        <f>AF23</f>
        <v>0.4</v>
      </c>
      <c r="AI23" s="2">
        <v>0.72729999999999995</v>
      </c>
      <c r="AJ23" s="2">
        <v>5</v>
      </c>
    </row>
    <row r="24" spans="1:36" ht="15" customHeight="1" x14ac:dyDescent="0.2">
      <c r="A24" s="570"/>
      <c r="B24" s="570"/>
      <c r="C24" s="570"/>
      <c r="D24" s="570"/>
      <c r="E24" s="570"/>
      <c r="F24" s="570"/>
      <c r="G24" s="570"/>
      <c r="H24" s="570"/>
      <c r="I24" s="570"/>
      <c r="J24" s="570"/>
      <c r="K24" s="570"/>
      <c r="L24" s="570"/>
      <c r="M24" s="570"/>
      <c r="N24" s="570"/>
      <c r="O24" s="570"/>
      <c r="P24" s="570"/>
      <c r="Q24" s="569" t="e">
        <f>SUM(Q12:R23)</f>
        <v>#REF!</v>
      </c>
      <c r="R24" s="570"/>
      <c r="S24" s="11"/>
      <c r="T24" s="552" t="s">
        <v>26</v>
      </c>
      <c r="U24" s="552"/>
      <c r="V24" s="552"/>
      <c r="W24" s="552"/>
      <c r="X24" s="4"/>
      <c r="Y24" s="4">
        <v>0.222</v>
      </c>
      <c r="Z24" s="4"/>
      <c r="AA24" s="4"/>
      <c r="AB24" s="4"/>
      <c r="AC24" s="4"/>
      <c r="AD24" s="2">
        <v>1</v>
      </c>
      <c r="AE24" s="4"/>
      <c r="AF24" s="4"/>
      <c r="AG24" s="4"/>
      <c r="AH24" s="4"/>
      <c r="AI24" s="4"/>
      <c r="AJ24" s="4"/>
    </row>
    <row r="25" spans="1:36" ht="15" customHeight="1" x14ac:dyDescent="0.2">
      <c r="A25" s="575" t="s">
        <v>222</v>
      </c>
      <c r="B25" s="575"/>
      <c r="C25" s="575"/>
      <c r="D25" s="575"/>
      <c r="E25" s="575"/>
      <c r="F25" s="575"/>
      <c r="G25" s="575"/>
      <c r="H25" s="575"/>
      <c r="I25" s="575"/>
      <c r="J25" s="575"/>
      <c r="K25" s="575"/>
      <c r="L25" s="575"/>
      <c r="M25" s="575"/>
      <c r="N25" s="575"/>
      <c r="O25" s="575"/>
      <c r="P25" s="575"/>
      <c r="Q25" s="575"/>
      <c r="R25" s="575"/>
      <c r="S25" s="11"/>
      <c r="T25" s="552" t="s">
        <v>27</v>
      </c>
      <c r="U25" s="552"/>
      <c r="V25" s="552"/>
      <c r="W25" s="552"/>
      <c r="X25" s="4"/>
      <c r="Y25" s="4"/>
      <c r="Z25" s="4">
        <v>0.66700000000000004</v>
      </c>
      <c r="AA25" s="4">
        <f>0.167+0.667</f>
        <v>0.83400000000000007</v>
      </c>
      <c r="AB25" s="4"/>
      <c r="AC25" s="4"/>
      <c r="AD25" s="4"/>
      <c r="AE25" s="4"/>
      <c r="AF25" s="4"/>
      <c r="AG25" s="4"/>
      <c r="AH25" s="4"/>
      <c r="AI25" s="4"/>
      <c r="AJ25" s="4"/>
    </row>
    <row r="26" spans="1:36" ht="15" customHeight="1" x14ac:dyDescent="0.2">
      <c r="A26" s="575"/>
      <c r="B26" s="575"/>
      <c r="C26" s="575"/>
      <c r="D26" s="575"/>
      <c r="E26" s="575"/>
      <c r="F26" s="575"/>
      <c r="G26" s="575"/>
      <c r="H26" s="575"/>
      <c r="I26" s="575"/>
      <c r="J26" s="575"/>
      <c r="K26" s="575"/>
      <c r="L26" s="575"/>
      <c r="M26" s="575"/>
      <c r="N26" s="575"/>
      <c r="O26" s="575"/>
      <c r="P26" s="575"/>
      <c r="Q26" s="575"/>
      <c r="R26" s="575"/>
      <c r="S26" s="11"/>
      <c r="T26" s="552" t="s">
        <v>73</v>
      </c>
      <c r="U26" s="552"/>
      <c r="V26" s="552"/>
      <c r="W26" s="552"/>
      <c r="X26" s="4"/>
      <c r="Y26" s="4"/>
      <c r="Z26" s="4"/>
      <c r="AA26" s="4">
        <v>0.16700000000000001</v>
      </c>
      <c r="AB26" s="4"/>
      <c r="AC26" s="4"/>
      <c r="AD26" s="4"/>
      <c r="AE26" s="4"/>
      <c r="AF26" s="4"/>
      <c r="AG26" s="4"/>
      <c r="AH26" s="4"/>
      <c r="AI26" s="4"/>
      <c r="AJ26" s="4"/>
    </row>
    <row r="27" spans="1:36" ht="15" customHeight="1" x14ac:dyDescent="0.2">
      <c r="A27" s="558" t="str">
        <f>'2 - Serviços'!$A$7</f>
        <v>MANUTENÇÃO E CONSERVAÇÃO DAS PONTES DE MADEIRA</v>
      </c>
      <c r="B27" s="559"/>
      <c r="C27" s="559"/>
      <c r="D27" s="559"/>
      <c r="E27" s="559"/>
      <c r="F27" s="559"/>
      <c r="G27" s="559"/>
      <c r="H27" s="559"/>
      <c r="I27" s="559"/>
      <c r="J27" s="559"/>
      <c r="K27" s="559"/>
      <c r="L27" s="559"/>
      <c r="M27" s="559"/>
      <c r="N27" s="559"/>
      <c r="O27" s="559"/>
      <c r="P27" s="559"/>
      <c r="Q27" s="559"/>
      <c r="R27" s="559"/>
      <c r="S27" s="11"/>
      <c r="T27" s="552" t="s">
        <v>28</v>
      </c>
      <c r="U27" s="552"/>
      <c r="V27" s="552"/>
      <c r="W27" s="552"/>
      <c r="X27" s="4"/>
      <c r="Y27" s="4"/>
      <c r="Z27" s="4"/>
      <c r="AA27" s="4"/>
      <c r="AB27" s="4"/>
      <c r="AC27" s="4"/>
      <c r="AD27" s="4"/>
      <c r="AE27" s="4"/>
      <c r="AF27" s="4"/>
      <c r="AG27" s="4"/>
      <c r="AH27" s="4"/>
      <c r="AI27" s="4"/>
      <c r="AJ27" s="4"/>
    </row>
    <row r="28" spans="1:36" ht="15" customHeight="1" x14ac:dyDescent="0.2">
      <c r="A28" s="46" t="s">
        <v>80</v>
      </c>
      <c r="B28" s="548" t="s">
        <v>236</v>
      </c>
      <c r="C28" s="548"/>
      <c r="D28" s="548"/>
      <c r="E28" s="548"/>
      <c r="F28" s="46" t="s">
        <v>220</v>
      </c>
      <c r="G28" s="548" t="s">
        <v>216</v>
      </c>
      <c r="H28" s="548"/>
      <c r="I28" s="548"/>
      <c r="J28" s="548" t="s">
        <v>217</v>
      </c>
      <c r="K28" s="548"/>
      <c r="L28" s="548"/>
      <c r="M28" s="548" t="s">
        <v>218</v>
      </c>
      <c r="N28" s="548"/>
      <c r="O28" s="548"/>
      <c r="P28" s="548" t="s">
        <v>219</v>
      </c>
      <c r="Q28" s="548"/>
      <c r="R28" s="548"/>
      <c r="S28" s="11"/>
      <c r="T28" s="552" t="s">
        <v>29</v>
      </c>
      <c r="U28" s="552"/>
      <c r="V28" s="552"/>
      <c r="W28" s="552"/>
      <c r="X28" s="4"/>
      <c r="Y28" s="4"/>
      <c r="Z28" s="4"/>
      <c r="AA28" s="4"/>
      <c r="AB28" s="4"/>
      <c r="AC28" s="4"/>
      <c r="AD28" s="4"/>
      <c r="AE28" s="2"/>
      <c r="AF28" s="4"/>
      <c r="AG28" s="4"/>
      <c r="AH28" s="4"/>
      <c r="AI28" s="4"/>
      <c r="AJ28" s="2">
        <f>2</f>
        <v>2</v>
      </c>
    </row>
    <row r="29" spans="1:36" ht="15" customHeight="1" x14ac:dyDescent="0.2">
      <c r="A29" s="7">
        <f>'4 - Resumo de Ferragem'!A10</f>
        <v>1</v>
      </c>
      <c r="B29" s="552" t="str">
        <f>'4 - Resumo de Ferragem'!B10</f>
        <v>CÓRREGO DO CHINELO</v>
      </c>
      <c r="C29" s="552"/>
      <c r="D29" s="552"/>
      <c r="E29" s="552"/>
      <c r="F29" s="7" t="str">
        <f>'4 - Resumo de Ferragem'!C10</f>
        <v>21°53'30.35''S</v>
      </c>
      <c r="G29" s="552" t="str">
        <f>'4 - Resumo de Ferragem'!D10</f>
        <v>54°35'16.91''W</v>
      </c>
      <c r="H29" s="552"/>
      <c r="I29" s="552"/>
      <c r="J29" s="552" t="str">
        <f>'4 - Resumo de Ferragem'!E10</f>
        <v>Simples</v>
      </c>
      <c r="K29" s="552"/>
      <c r="L29" s="552"/>
      <c r="M29" s="552">
        <f>'4 - Resumo de Ferragem'!F10</f>
        <v>5</v>
      </c>
      <c r="N29" s="552"/>
      <c r="O29" s="552"/>
      <c r="P29" s="568">
        <f>'4 - Resumo de Ferragem'!G10</f>
        <v>13</v>
      </c>
      <c r="Q29" s="568"/>
      <c r="R29" s="568"/>
      <c r="S29" s="11"/>
      <c r="T29" s="552" t="s">
        <v>30</v>
      </c>
      <c r="U29" s="552"/>
      <c r="V29" s="552"/>
      <c r="W29" s="552"/>
      <c r="X29" s="4"/>
      <c r="Y29" s="4"/>
      <c r="Z29" s="4"/>
      <c r="AA29" s="4"/>
      <c r="AB29" s="4"/>
      <c r="AC29" s="34">
        <f>((1.333*2)+(0.667*2))</f>
        <v>4</v>
      </c>
      <c r="AD29" s="4"/>
      <c r="AE29" s="2"/>
      <c r="AF29" s="2">
        <v>0.8</v>
      </c>
      <c r="AG29" s="2">
        <v>0.8</v>
      </c>
      <c r="AH29" s="2">
        <v>0.8</v>
      </c>
      <c r="AI29" s="2">
        <v>1.43</v>
      </c>
      <c r="AJ29" s="2">
        <v>10</v>
      </c>
    </row>
    <row r="30" spans="1:36" ht="15" customHeight="1" x14ac:dyDescent="0.2">
      <c r="A30" s="548" t="s">
        <v>169</v>
      </c>
      <c r="B30" s="548"/>
      <c r="C30" s="46" t="s">
        <v>8</v>
      </c>
      <c r="D30" s="46" t="s">
        <v>9</v>
      </c>
      <c r="E30" s="46" t="s">
        <v>18</v>
      </c>
      <c r="F30" s="46" t="s">
        <v>72</v>
      </c>
      <c r="G30" s="46" t="s">
        <v>11</v>
      </c>
      <c r="H30" s="46" t="s">
        <v>19</v>
      </c>
      <c r="I30" s="46" t="s">
        <v>20</v>
      </c>
      <c r="J30" s="46" t="s">
        <v>14</v>
      </c>
      <c r="K30" s="46" t="s">
        <v>21</v>
      </c>
      <c r="L30" s="46" t="s">
        <v>22</v>
      </c>
      <c r="M30" s="46" t="s">
        <v>23</v>
      </c>
      <c r="N30" s="46" t="s">
        <v>24</v>
      </c>
      <c r="O30" s="46" t="s">
        <v>16</v>
      </c>
      <c r="P30" s="46" t="s">
        <v>81</v>
      </c>
      <c r="Q30" s="548" t="s">
        <v>221</v>
      </c>
      <c r="R30" s="548"/>
      <c r="S30" s="11"/>
      <c r="T30" s="552" t="s">
        <v>31</v>
      </c>
      <c r="U30" s="552"/>
      <c r="V30" s="552"/>
      <c r="W30" s="552"/>
      <c r="X30" s="4"/>
      <c r="Y30" s="34">
        <f>0.444</f>
        <v>0.44400000000000001</v>
      </c>
      <c r="Z30" s="4"/>
      <c r="AA30" s="4"/>
      <c r="AB30" s="4"/>
      <c r="AC30" s="4"/>
      <c r="AD30" s="4"/>
      <c r="AE30" s="4"/>
      <c r="AF30" s="4"/>
      <c r="AG30" s="4"/>
      <c r="AH30" s="4"/>
      <c r="AI30" s="4"/>
      <c r="AJ30" s="4"/>
    </row>
    <row r="31" spans="1:36" ht="15" customHeight="1" x14ac:dyDescent="0.2">
      <c r="A31" s="573" t="s">
        <v>224</v>
      </c>
      <c r="B31" s="574"/>
      <c r="C31" s="13"/>
      <c r="D31" s="5"/>
      <c r="E31" s="5"/>
      <c r="F31" s="5"/>
      <c r="G31" s="5"/>
      <c r="H31" s="5">
        <f>'3 - Memoria de Cálculo'!M72*$AC$8</f>
        <v>91.651687920000015</v>
      </c>
      <c r="I31" s="5"/>
      <c r="J31" s="5"/>
      <c r="K31" s="5">
        <f>'3 - Memoria de Cálculo'!P72*$AF$8</f>
        <v>15.122764800000004</v>
      </c>
      <c r="L31" s="5">
        <f>'3 - Memoria de Cálculo'!Q72*$AG$8</f>
        <v>0</v>
      </c>
      <c r="M31" s="5">
        <f>'3 - Memoria de Cálculo'!R72*$AH$8</f>
        <v>15.752880000000001</v>
      </c>
      <c r="N31" s="5">
        <f>'3 - Memoria de Cálculo'!S72*$AI$8</f>
        <v>27.983024596800007</v>
      </c>
      <c r="O31" s="5">
        <f>'2 - Serviços'!R142*$AJ$8</f>
        <v>1.5912000000000002</v>
      </c>
      <c r="P31" s="5">
        <f>SUM(C31:O31)</f>
        <v>152.10155731680001</v>
      </c>
      <c r="Q31" s="573">
        <f>P31</f>
        <v>152.10155731680001</v>
      </c>
      <c r="R31" s="574"/>
      <c r="S31" s="11"/>
      <c r="T31" s="552" t="s">
        <v>32</v>
      </c>
      <c r="U31" s="552"/>
      <c r="V31" s="552"/>
      <c r="W31" s="552"/>
      <c r="X31" s="4"/>
      <c r="Y31" s="4"/>
      <c r="Z31" s="34">
        <f>Z25</f>
        <v>0.66700000000000004</v>
      </c>
      <c r="AA31" s="34">
        <f>(0.167*2)+(0.667*2)</f>
        <v>1.6680000000000001</v>
      </c>
      <c r="AB31" s="4"/>
      <c r="AC31" s="4"/>
      <c r="AD31" s="4"/>
      <c r="AE31" s="4"/>
      <c r="AF31" s="4"/>
      <c r="AG31" s="4"/>
      <c r="AH31" s="4"/>
      <c r="AI31" s="4"/>
      <c r="AJ31" s="4"/>
    </row>
    <row r="32" spans="1:36" ht="15" customHeight="1" x14ac:dyDescent="0.2">
      <c r="A32" s="566" t="s">
        <v>225</v>
      </c>
      <c r="B32" s="567"/>
      <c r="C32" s="13"/>
      <c r="D32" s="5">
        <f>'3 - Memoria de Cálculo'!I72*$Y$9</f>
        <v>16.540159999999997</v>
      </c>
      <c r="E32" s="5"/>
      <c r="F32" s="5"/>
      <c r="G32" s="5"/>
      <c r="H32" s="5"/>
      <c r="I32" s="5">
        <f>'2 - Serviços'!I208*$AD$9</f>
        <v>23.856000000000002</v>
      </c>
      <c r="J32" s="5"/>
      <c r="K32" s="5"/>
      <c r="L32" s="5"/>
      <c r="M32" s="5"/>
      <c r="N32" s="5"/>
      <c r="O32" s="5"/>
      <c r="P32" s="5">
        <f t="shared" ref="P32:P42" si="2">SUM(C32:O32)</f>
        <v>40.396159999999995</v>
      </c>
      <c r="Q32" s="566">
        <f t="shared" ref="Q32:Q38" si="3">P32</f>
        <v>40.396159999999995</v>
      </c>
      <c r="R32" s="567"/>
      <c r="S32" s="11"/>
      <c r="T32" s="552" t="s">
        <v>74</v>
      </c>
      <c r="U32" s="552"/>
      <c r="V32" s="552"/>
      <c r="W32" s="552"/>
      <c r="X32" s="4"/>
      <c r="Y32" s="32"/>
      <c r="Z32" s="34"/>
      <c r="AA32" s="34">
        <f>0.167*2</f>
        <v>0.33400000000000002</v>
      </c>
      <c r="AB32" s="32"/>
      <c r="AC32" s="32"/>
      <c r="AD32" s="32"/>
      <c r="AE32" s="33"/>
      <c r="AF32" s="32"/>
      <c r="AG32" s="32"/>
      <c r="AH32" s="32"/>
      <c r="AI32" s="32"/>
      <c r="AJ32" s="32"/>
    </row>
    <row r="33" spans="1:36" ht="15" customHeight="1" x14ac:dyDescent="0.2">
      <c r="A33" s="566" t="s">
        <v>226</v>
      </c>
      <c r="B33" s="567"/>
      <c r="C33" s="13"/>
      <c r="D33" s="5"/>
      <c r="E33" s="5">
        <f>'3 - Memoria de Cálculo'!J72*$Z$10</f>
        <v>1.9388356000000002</v>
      </c>
      <c r="F33" s="5">
        <f>'3 - Memoria de Cálculo'!K72*$AA$10</f>
        <v>0</v>
      </c>
      <c r="G33" s="5"/>
      <c r="H33" s="5"/>
      <c r="I33" s="5"/>
      <c r="J33" s="5"/>
      <c r="K33" s="5"/>
      <c r="L33" s="5"/>
      <c r="M33" s="5"/>
      <c r="N33" s="5"/>
      <c r="O33" s="5"/>
      <c r="P33" s="5">
        <f t="shared" si="2"/>
        <v>1.9388356000000002</v>
      </c>
      <c r="Q33" s="566">
        <f t="shared" si="3"/>
        <v>1.9388356000000002</v>
      </c>
      <c r="R33" s="567"/>
      <c r="S33" s="11"/>
      <c r="T33" s="552" t="s">
        <v>76</v>
      </c>
      <c r="U33" s="552"/>
      <c r="V33" s="552"/>
      <c r="W33" s="552"/>
      <c r="X33" s="2">
        <v>1.3046</v>
      </c>
      <c r="Y33" s="32"/>
      <c r="Z33" s="34"/>
      <c r="AA33" s="34"/>
      <c r="AB33" s="32"/>
      <c r="AC33" s="32"/>
      <c r="AD33" s="34">
        <f>3/4+2/4.5</f>
        <v>1.1944444444444444</v>
      </c>
      <c r="AE33" s="33"/>
      <c r="AF33" s="32"/>
      <c r="AG33" s="32"/>
      <c r="AH33" s="32"/>
      <c r="AI33" s="32"/>
      <c r="AJ33" s="32"/>
    </row>
    <row r="34" spans="1:36" ht="15" customHeight="1" x14ac:dyDescent="0.2">
      <c r="A34" s="566" t="s">
        <v>227</v>
      </c>
      <c r="B34" s="567"/>
      <c r="C34" s="13"/>
      <c r="D34" s="5"/>
      <c r="E34" s="5"/>
      <c r="F34" s="5">
        <f>'3 - Memoria de Cálculo'!K72*$AA$11</f>
        <v>0</v>
      </c>
      <c r="G34" s="5"/>
      <c r="H34" s="5"/>
      <c r="I34" s="5"/>
      <c r="J34" s="5"/>
      <c r="K34" s="5"/>
      <c r="L34" s="5"/>
      <c r="M34" s="5"/>
      <c r="N34" s="5"/>
      <c r="O34" s="5"/>
      <c r="P34" s="5">
        <f t="shared" si="2"/>
        <v>0</v>
      </c>
      <c r="Q34" s="566">
        <f t="shared" si="3"/>
        <v>0</v>
      </c>
      <c r="R34" s="567"/>
      <c r="S34" s="11"/>
      <c r="T34" s="552" t="s">
        <v>77</v>
      </c>
      <c r="U34" s="552"/>
      <c r="V34" s="552"/>
      <c r="W34" s="552"/>
      <c r="X34" s="4"/>
      <c r="Y34" s="34">
        <v>3.3333333333333335</v>
      </c>
      <c r="Z34" s="34"/>
      <c r="AA34" s="34">
        <v>0.66666666666666663</v>
      </c>
      <c r="AB34" s="32"/>
      <c r="AC34" s="32"/>
      <c r="AD34" s="32"/>
      <c r="AE34" s="33"/>
      <c r="AF34" s="32"/>
      <c r="AG34" s="32"/>
      <c r="AH34" s="32"/>
      <c r="AI34" s="32"/>
      <c r="AJ34" s="32"/>
    </row>
    <row r="35" spans="1:36" ht="15" customHeight="1" x14ac:dyDescent="0.2">
      <c r="A35" s="566" t="s">
        <v>228</v>
      </c>
      <c r="B35" s="567"/>
      <c r="C35" s="13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>
        <f t="shared" si="2"/>
        <v>0</v>
      </c>
      <c r="Q35" s="566">
        <f t="shared" si="3"/>
        <v>0</v>
      </c>
      <c r="R35" s="567"/>
      <c r="S35" s="11"/>
      <c r="T35" s="35"/>
      <c r="U35" s="35"/>
      <c r="V35" s="35"/>
      <c r="W35" s="35"/>
      <c r="Y35" s="47"/>
      <c r="Z35" s="47"/>
      <c r="AA35" s="47"/>
      <c r="AB35" s="47"/>
      <c r="AC35" s="47"/>
      <c r="AD35" s="47"/>
      <c r="AE35" s="48"/>
      <c r="AF35" s="47"/>
      <c r="AG35" s="47"/>
      <c r="AH35" s="47"/>
      <c r="AI35" s="47"/>
      <c r="AJ35" s="47"/>
    </row>
    <row r="36" spans="1:36" ht="15" customHeight="1" x14ac:dyDescent="0.2">
      <c r="A36" s="566" t="s">
        <v>229</v>
      </c>
      <c r="B36" s="567"/>
      <c r="C36" s="13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 t="e">
        <f>'2 - Serviços'!#REF!*22</f>
        <v>#REF!</v>
      </c>
      <c r="P36" s="5" t="e">
        <f t="shared" si="2"/>
        <v>#REF!</v>
      </c>
      <c r="Q36" s="566" t="e">
        <f t="shared" si="3"/>
        <v>#REF!</v>
      </c>
      <c r="R36" s="567"/>
      <c r="S36" s="11"/>
      <c r="T36" s="35"/>
      <c r="U36" s="35"/>
      <c r="V36" s="35"/>
      <c r="W36" s="35"/>
      <c r="Y36" s="47"/>
      <c r="Z36" s="47"/>
      <c r="AA36" s="47"/>
      <c r="AB36" s="47"/>
      <c r="AC36" s="47"/>
      <c r="AD36" s="47"/>
      <c r="AE36" s="48"/>
      <c r="AF36" s="47"/>
      <c r="AG36" s="47"/>
      <c r="AH36" s="47"/>
      <c r="AI36" s="47"/>
      <c r="AJ36" s="47"/>
    </row>
    <row r="37" spans="1:36" ht="15" customHeight="1" x14ac:dyDescent="0.2">
      <c r="A37" s="566" t="s">
        <v>230</v>
      </c>
      <c r="B37" s="567"/>
      <c r="C37" s="13">
        <f>'3 - Memoria de Cálculo'!H72*$X$18</f>
        <v>26.00104</v>
      </c>
      <c r="D37" s="5"/>
      <c r="E37" s="5"/>
      <c r="F37" s="5"/>
      <c r="G37" s="5"/>
      <c r="H37" s="5"/>
      <c r="I37" s="5">
        <f>'2 - Serviços'!M175*$AD$18</f>
        <v>10.012500000000001</v>
      </c>
      <c r="J37" s="5"/>
      <c r="K37" s="5"/>
      <c r="L37" s="5"/>
      <c r="M37" s="5"/>
      <c r="N37" s="5"/>
      <c r="O37" s="5"/>
      <c r="P37" s="5">
        <f t="shared" si="2"/>
        <v>36.013539999999999</v>
      </c>
      <c r="Q37" s="566">
        <f t="shared" si="3"/>
        <v>36.013539999999999</v>
      </c>
      <c r="R37" s="567"/>
      <c r="S37" s="11"/>
      <c r="T37" s="35"/>
      <c r="U37" s="35"/>
      <c r="V37" s="35"/>
      <c r="W37" s="35"/>
      <c r="Y37" s="47"/>
      <c r="Z37" s="47"/>
      <c r="AA37" s="47"/>
      <c r="AB37" s="47"/>
      <c r="AC37" s="47"/>
      <c r="AD37" s="47"/>
      <c r="AE37" s="48"/>
      <c r="AF37" s="47"/>
      <c r="AG37" s="47"/>
      <c r="AH37" s="47"/>
      <c r="AI37" s="47"/>
      <c r="AJ37" s="47"/>
    </row>
    <row r="38" spans="1:36" ht="15" customHeight="1" x14ac:dyDescent="0.2">
      <c r="A38" s="566" t="s">
        <v>231</v>
      </c>
      <c r="B38" s="567"/>
      <c r="C38" s="13"/>
      <c r="D38" s="5">
        <f>'3 - Memoria de Cálculo'!I72*$Y$19</f>
        <v>7.4256000000000002</v>
      </c>
      <c r="E38" s="5"/>
      <c r="F38" s="5">
        <f>'3 - Memoria de Cálculo'!K72*$AA$19</f>
        <v>0</v>
      </c>
      <c r="G38" s="5"/>
      <c r="H38" s="5"/>
      <c r="I38" s="5"/>
      <c r="J38" s="5"/>
      <c r="K38" s="5"/>
      <c r="L38" s="5"/>
      <c r="M38" s="5"/>
      <c r="N38" s="5"/>
      <c r="O38" s="5"/>
      <c r="P38" s="5">
        <f t="shared" si="2"/>
        <v>7.4256000000000002</v>
      </c>
      <c r="Q38" s="566">
        <f t="shared" si="3"/>
        <v>7.4256000000000002</v>
      </c>
      <c r="R38" s="567"/>
      <c r="S38" s="11"/>
      <c r="T38" s="35"/>
      <c r="U38" s="35"/>
      <c r="V38" s="35"/>
      <c r="W38" s="35"/>
      <c r="Y38" s="47"/>
      <c r="Z38" s="47"/>
      <c r="AA38" s="47"/>
      <c r="AB38" s="47"/>
      <c r="AC38" s="47"/>
      <c r="AD38" s="47"/>
      <c r="AE38" s="48"/>
      <c r="AF38" s="47"/>
      <c r="AG38" s="47"/>
      <c r="AH38" s="47"/>
      <c r="AI38" s="47"/>
      <c r="AJ38" s="47"/>
    </row>
    <row r="39" spans="1:36" ht="15" customHeight="1" x14ac:dyDescent="0.2">
      <c r="A39" s="566" t="s">
        <v>232</v>
      </c>
      <c r="B39" s="567"/>
      <c r="C39" s="13"/>
      <c r="D39" s="5"/>
      <c r="E39" s="5"/>
      <c r="F39" s="5"/>
      <c r="G39" s="5"/>
      <c r="H39" s="5">
        <f>'3 - Memoria de Cálculo'!M72*$AC$29</f>
        <v>72</v>
      </c>
      <c r="I39" s="5"/>
      <c r="J39" s="5"/>
      <c r="K39" s="5">
        <f>'3 - Memoria de Cálculo'!P72*$AF$29</f>
        <v>10.560000000000002</v>
      </c>
      <c r="L39" s="5">
        <f>'3 - Memoria de Cálculo'!Q72*$AG$29</f>
        <v>0</v>
      </c>
      <c r="M39" s="5">
        <f>'3 - Memoria de Cálculo'!R72*$AH$29</f>
        <v>10.560000000000002</v>
      </c>
      <c r="N39" s="5">
        <f>'3 - Memoria de Cálculo'!S72*$AI$29</f>
        <v>21.278400000000001</v>
      </c>
      <c r="O39" s="5" t="e">
        <f>'2 - Serviços'!#REF!*$AJ$29</f>
        <v>#REF!</v>
      </c>
      <c r="P39" s="5" t="e">
        <f t="shared" si="2"/>
        <v>#REF!</v>
      </c>
      <c r="Q39" s="566" t="e">
        <f>P39*0.125</f>
        <v>#REF!</v>
      </c>
      <c r="R39" s="567"/>
      <c r="S39" s="11"/>
      <c r="T39" s="35"/>
      <c r="U39" s="35"/>
      <c r="V39" s="35"/>
      <c r="W39" s="35"/>
      <c r="Y39" s="47"/>
      <c r="Z39" s="47"/>
      <c r="AA39" s="47"/>
      <c r="AB39" s="47"/>
      <c r="AC39" s="47"/>
      <c r="AD39" s="47"/>
      <c r="AE39" s="48"/>
      <c r="AF39" s="47"/>
      <c r="AG39" s="47"/>
      <c r="AH39" s="47"/>
      <c r="AI39" s="47"/>
      <c r="AJ39" s="47"/>
    </row>
    <row r="40" spans="1:36" x14ac:dyDescent="0.2">
      <c r="A40" s="566" t="s">
        <v>233</v>
      </c>
      <c r="B40" s="567"/>
      <c r="C40" s="13"/>
      <c r="D40" s="5">
        <f>'3 - Memoria de Cálculo'!I72*$Y$30</f>
        <v>27.705600000000004</v>
      </c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>
        <f t="shared" si="2"/>
        <v>27.705600000000004</v>
      </c>
      <c r="Q40" s="566">
        <f>P40*0.125</f>
        <v>3.4632000000000005</v>
      </c>
      <c r="R40" s="567"/>
      <c r="S40" s="11"/>
    </row>
    <row r="41" spans="1:36" x14ac:dyDescent="0.2">
      <c r="A41" s="566" t="s">
        <v>234</v>
      </c>
      <c r="B41" s="567"/>
      <c r="C41" s="13"/>
      <c r="D41" s="5"/>
      <c r="E41" s="5">
        <f>'3 - Memoria de Cálculo'!J72*$Z$31</f>
        <v>13.873600000000001</v>
      </c>
      <c r="F41" s="5">
        <f>'3 - Memoria de Cálculo'!K72*$AA$31</f>
        <v>0</v>
      </c>
      <c r="G41" s="5"/>
      <c r="H41" s="5"/>
      <c r="I41" s="5"/>
      <c r="J41" s="5"/>
      <c r="K41" s="5"/>
      <c r="L41" s="5"/>
      <c r="M41" s="5"/>
      <c r="N41" s="5"/>
      <c r="O41" s="5"/>
      <c r="P41" s="5">
        <f t="shared" si="2"/>
        <v>13.873600000000001</v>
      </c>
      <c r="Q41" s="566">
        <f>P41*0.125</f>
        <v>1.7342000000000002</v>
      </c>
      <c r="R41" s="567"/>
      <c r="S41" s="11"/>
    </row>
    <row r="42" spans="1:36" x14ac:dyDescent="0.2">
      <c r="A42" s="571" t="s">
        <v>235</v>
      </c>
      <c r="B42" s="572"/>
      <c r="C42" s="13"/>
      <c r="D42" s="5"/>
      <c r="E42" s="5"/>
      <c r="F42" s="5">
        <f>'3 - Memoria de Cálculo'!K72*$AA$32</f>
        <v>0</v>
      </c>
      <c r="G42" s="5"/>
      <c r="H42" s="5"/>
      <c r="I42" s="5"/>
      <c r="J42" s="5"/>
      <c r="K42" s="5"/>
      <c r="L42" s="5"/>
      <c r="M42" s="5"/>
      <c r="N42" s="5"/>
      <c r="O42" s="5"/>
      <c r="P42" s="5">
        <f t="shared" si="2"/>
        <v>0</v>
      </c>
      <c r="Q42" s="566">
        <f>P42*0.125</f>
        <v>0</v>
      </c>
      <c r="R42" s="567"/>
      <c r="S42" s="11"/>
    </row>
    <row r="43" spans="1:36" x14ac:dyDescent="0.2">
      <c r="A43" s="570"/>
      <c r="B43" s="570"/>
      <c r="C43" s="570"/>
      <c r="D43" s="570"/>
      <c r="E43" s="570"/>
      <c r="F43" s="570"/>
      <c r="G43" s="570"/>
      <c r="H43" s="570"/>
      <c r="I43" s="570"/>
      <c r="J43" s="570"/>
      <c r="K43" s="570"/>
      <c r="L43" s="570"/>
      <c r="M43" s="570"/>
      <c r="N43" s="570"/>
      <c r="O43" s="570"/>
      <c r="P43" s="570"/>
      <c r="Q43" s="569" t="e">
        <f>SUM(Q31:R42)</f>
        <v>#REF!</v>
      </c>
      <c r="R43" s="570"/>
      <c r="S43" s="11"/>
    </row>
    <row r="44" spans="1:36" x14ac:dyDescent="0.2">
      <c r="A44" s="575" t="s">
        <v>222</v>
      </c>
      <c r="B44" s="575"/>
      <c r="C44" s="575"/>
      <c r="D44" s="575"/>
      <c r="E44" s="575"/>
      <c r="F44" s="575"/>
      <c r="G44" s="575"/>
      <c r="H44" s="575"/>
      <c r="I44" s="575"/>
      <c r="J44" s="575"/>
      <c r="K44" s="575"/>
      <c r="L44" s="575"/>
      <c r="M44" s="575"/>
      <c r="N44" s="575"/>
      <c r="O44" s="575"/>
      <c r="P44" s="575"/>
      <c r="Q44" s="575"/>
      <c r="R44" s="575"/>
      <c r="S44" s="11"/>
    </row>
    <row r="45" spans="1:36" x14ac:dyDescent="0.2">
      <c r="A45" s="575"/>
      <c r="B45" s="575"/>
      <c r="C45" s="575"/>
      <c r="D45" s="575"/>
      <c r="E45" s="575"/>
      <c r="F45" s="575"/>
      <c r="G45" s="575"/>
      <c r="H45" s="575"/>
      <c r="I45" s="575"/>
      <c r="J45" s="575"/>
      <c r="K45" s="575"/>
      <c r="L45" s="575"/>
      <c r="M45" s="580"/>
      <c r="N45" s="580"/>
      <c r="O45" s="580"/>
      <c r="P45" s="580"/>
      <c r="Q45" s="580"/>
      <c r="R45" s="580"/>
      <c r="S45" s="11"/>
    </row>
    <row r="46" spans="1:36" s="37" customFormat="1" ht="13.15" customHeight="1" x14ac:dyDescent="0.25">
      <c r="A46" s="38" t="s">
        <v>184</v>
      </c>
      <c r="B46" s="39"/>
      <c r="C46" s="39"/>
      <c r="D46" s="39"/>
      <c r="E46" s="39"/>
      <c r="F46" s="39"/>
      <c r="G46" s="39"/>
      <c r="H46" s="40"/>
      <c r="I46" s="38"/>
      <c r="J46" s="39"/>
      <c r="K46" s="39"/>
      <c r="L46" s="41"/>
      <c r="M46" s="38"/>
      <c r="N46" s="39"/>
      <c r="O46" s="39"/>
      <c r="P46" s="63"/>
      <c r="Q46" s="63"/>
      <c r="R46" s="62"/>
    </row>
    <row r="47" spans="1:36" s="37" customFormat="1" ht="13.15" customHeight="1" x14ac:dyDescent="0.25">
      <c r="A47" s="42"/>
      <c r="B47" s="56"/>
      <c r="C47" s="56"/>
      <c r="D47" s="56"/>
      <c r="E47" s="56"/>
      <c r="F47" s="56"/>
      <c r="G47" s="56"/>
      <c r="H47" s="57"/>
      <c r="I47" s="42"/>
      <c r="J47" s="56"/>
      <c r="K47" s="56"/>
      <c r="L47" s="43"/>
      <c r="M47" s="42"/>
      <c r="N47" s="56"/>
      <c r="O47" s="56"/>
      <c r="R47" s="61"/>
    </row>
    <row r="48" spans="1:36" s="37" customFormat="1" ht="13.15" customHeight="1" x14ac:dyDescent="0.25">
      <c r="A48" s="42"/>
      <c r="B48" s="56"/>
      <c r="C48" s="56"/>
      <c r="D48" s="56"/>
      <c r="E48" s="56"/>
      <c r="F48" s="56"/>
      <c r="G48" s="56"/>
      <c r="H48" s="57"/>
      <c r="I48" s="42"/>
      <c r="J48" s="56"/>
      <c r="K48" s="56"/>
      <c r="L48" s="43"/>
      <c r="M48" s="42"/>
      <c r="N48" s="56"/>
      <c r="O48" s="56"/>
      <c r="R48" s="61"/>
    </row>
    <row r="49" spans="1:19" s="37" customFormat="1" ht="13.15" customHeight="1" x14ac:dyDescent="0.25">
      <c r="A49" s="42"/>
      <c r="B49" s="56"/>
      <c r="C49" s="56"/>
      <c r="D49" s="56"/>
      <c r="E49" s="56"/>
      <c r="F49" s="56"/>
      <c r="G49" s="56"/>
      <c r="H49" s="57"/>
      <c r="I49" s="581" t="s">
        <v>261</v>
      </c>
      <c r="J49" s="582"/>
      <c r="K49" s="582"/>
      <c r="L49" s="583"/>
      <c r="M49" s="581" t="s">
        <v>260</v>
      </c>
      <c r="N49" s="582"/>
      <c r="O49" s="582"/>
      <c r="P49" s="582"/>
      <c r="Q49" s="582"/>
      <c r="R49" s="583"/>
    </row>
    <row r="50" spans="1:19" s="37" customFormat="1" ht="13.15" customHeight="1" thickBot="1" x14ac:dyDescent="0.3">
      <c r="A50" s="58"/>
      <c r="B50" s="59"/>
      <c r="C50" s="59"/>
      <c r="D50" s="59"/>
      <c r="E50" s="59"/>
      <c r="F50" s="59"/>
      <c r="G50" s="59"/>
      <c r="H50" s="60"/>
      <c r="I50" s="584" t="s">
        <v>262</v>
      </c>
      <c r="J50" s="585"/>
      <c r="K50" s="585"/>
      <c r="L50" s="586"/>
      <c r="M50" s="587" t="s">
        <v>264</v>
      </c>
      <c r="N50" s="588"/>
      <c r="O50" s="588"/>
      <c r="P50" s="588"/>
      <c r="Q50" s="588"/>
      <c r="R50" s="589"/>
    </row>
    <row r="51" spans="1:19" x14ac:dyDescent="0.2">
      <c r="A51" s="558" t="str">
        <f>'2 - Serviços'!$A$7</f>
        <v>MANUTENÇÃO E CONSERVAÇÃO DAS PONTES DE MADEIRA</v>
      </c>
      <c r="B51" s="559"/>
      <c r="C51" s="559"/>
      <c r="D51" s="559"/>
      <c r="E51" s="559"/>
      <c r="F51" s="559"/>
      <c r="G51" s="559"/>
      <c r="H51" s="559"/>
      <c r="I51" s="559"/>
      <c r="J51" s="559"/>
      <c r="K51" s="559"/>
      <c r="L51" s="559"/>
      <c r="M51" s="559"/>
      <c r="N51" s="559"/>
      <c r="O51" s="559"/>
      <c r="P51" s="559"/>
      <c r="Q51" s="559"/>
      <c r="R51" s="559"/>
      <c r="S51" s="11"/>
    </row>
    <row r="52" spans="1:19" x14ac:dyDescent="0.2">
      <c r="A52" s="46" t="s">
        <v>80</v>
      </c>
      <c r="B52" s="548" t="s">
        <v>236</v>
      </c>
      <c r="C52" s="548"/>
      <c r="D52" s="548"/>
      <c r="E52" s="548"/>
      <c r="F52" s="46" t="s">
        <v>220</v>
      </c>
      <c r="G52" s="548" t="s">
        <v>216</v>
      </c>
      <c r="H52" s="548"/>
      <c r="I52" s="548"/>
      <c r="J52" s="548" t="s">
        <v>217</v>
      </c>
      <c r="K52" s="548"/>
      <c r="L52" s="548"/>
      <c r="M52" s="548" t="s">
        <v>218</v>
      </c>
      <c r="N52" s="548"/>
      <c r="O52" s="548"/>
      <c r="P52" s="548" t="s">
        <v>219</v>
      </c>
      <c r="Q52" s="548"/>
      <c r="R52" s="548"/>
      <c r="S52" s="11"/>
    </row>
    <row r="53" spans="1:19" x14ac:dyDescent="0.2">
      <c r="A53" s="7">
        <f>'4 - Resumo de Ferragem'!A11</f>
        <v>2</v>
      </c>
      <c r="B53" s="552" t="str">
        <f>'4 - Resumo de Ferragem'!B11</f>
        <v>CÓRREGO AREIAS</v>
      </c>
      <c r="C53" s="552"/>
      <c r="D53" s="552"/>
      <c r="E53" s="552"/>
      <c r="F53" s="7" t="str">
        <f>'4 - Resumo de Ferragem'!C11</f>
        <v>21°48'55.89''S</v>
      </c>
      <c r="G53" s="552" t="str">
        <f>'4 - Resumo de Ferragem'!D11</f>
        <v>54°32'36.89''W</v>
      </c>
      <c r="H53" s="552"/>
      <c r="I53" s="552"/>
      <c r="J53" s="552" t="str">
        <f>'4 - Resumo de Ferragem'!E11</f>
        <v>Simples</v>
      </c>
      <c r="K53" s="552"/>
      <c r="L53" s="552"/>
      <c r="M53" s="552">
        <f>'4 - Resumo de Ferragem'!F11</f>
        <v>4.4000000000000004</v>
      </c>
      <c r="N53" s="552"/>
      <c r="O53" s="552"/>
      <c r="P53" s="568">
        <f>'4 - Resumo de Ferragem'!G11</f>
        <v>6</v>
      </c>
      <c r="Q53" s="568"/>
      <c r="R53" s="568"/>
      <c r="S53" s="11"/>
    </row>
    <row r="54" spans="1:19" x14ac:dyDescent="0.2">
      <c r="A54" s="548" t="s">
        <v>169</v>
      </c>
      <c r="B54" s="548"/>
      <c r="C54" s="46" t="s">
        <v>8</v>
      </c>
      <c r="D54" s="46" t="s">
        <v>9</v>
      </c>
      <c r="E54" s="46" t="s">
        <v>18</v>
      </c>
      <c r="F54" s="46" t="s">
        <v>72</v>
      </c>
      <c r="G54" s="46" t="s">
        <v>11</v>
      </c>
      <c r="H54" s="46" t="s">
        <v>19</v>
      </c>
      <c r="I54" s="46" t="s">
        <v>20</v>
      </c>
      <c r="J54" s="46" t="s">
        <v>14</v>
      </c>
      <c r="K54" s="46" t="s">
        <v>21</v>
      </c>
      <c r="L54" s="46" t="s">
        <v>22</v>
      </c>
      <c r="M54" s="46" t="s">
        <v>23</v>
      </c>
      <c r="N54" s="46" t="s">
        <v>24</v>
      </c>
      <c r="O54" s="46" t="s">
        <v>16</v>
      </c>
      <c r="P54" s="46" t="s">
        <v>81</v>
      </c>
      <c r="Q54" s="548" t="s">
        <v>221</v>
      </c>
      <c r="R54" s="548"/>
      <c r="S54" s="11"/>
    </row>
    <row r="55" spans="1:19" x14ac:dyDescent="0.2">
      <c r="A55" s="573" t="s">
        <v>224</v>
      </c>
      <c r="B55" s="574"/>
      <c r="C55" s="13"/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>
        <f>SUM(C55:O55)</f>
        <v>0</v>
      </c>
      <c r="Q55" s="573">
        <f>P55</f>
        <v>0</v>
      </c>
      <c r="R55" s="574"/>
      <c r="S55" s="11"/>
    </row>
    <row r="56" spans="1:19" x14ac:dyDescent="0.2">
      <c r="A56" s="566" t="s">
        <v>225</v>
      </c>
      <c r="B56" s="567"/>
      <c r="C56" s="13"/>
      <c r="D56" s="5"/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>
        <f t="shared" ref="P56:P66" si="4">SUM(C56:O56)</f>
        <v>0</v>
      </c>
      <c r="Q56" s="566">
        <f t="shared" ref="Q56:Q62" si="5">P56</f>
        <v>0</v>
      </c>
      <c r="R56" s="567"/>
      <c r="S56" s="11"/>
    </row>
    <row r="57" spans="1:19" x14ac:dyDescent="0.2">
      <c r="A57" s="566" t="s">
        <v>226</v>
      </c>
      <c r="B57" s="567"/>
      <c r="C57" s="13"/>
      <c r="D57" s="5"/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>
        <f t="shared" si="4"/>
        <v>0</v>
      </c>
      <c r="Q57" s="566">
        <f t="shared" si="5"/>
        <v>0</v>
      </c>
      <c r="R57" s="567"/>
      <c r="S57" s="11"/>
    </row>
    <row r="58" spans="1:19" x14ac:dyDescent="0.2">
      <c r="A58" s="566" t="s">
        <v>227</v>
      </c>
      <c r="B58" s="567"/>
      <c r="C58" s="13"/>
      <c r="D58" s="5"/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>
        <f t="shared" si="4"/>
        <v>0</v>
      </c>
      <c r="Q58" s="566">
        <f t="shared" si="5"/>
        <v>0</v>
      </c>
      <c r="R58" s="567"/>
      <c r="S58" s="11"/>
    </row>
    <row r="59" spans="1:19" x14ac:dyDescent="0.2">
      <c r="A59" s="566" t="s">
        <v>228</v>
      </c>
      <c r="B59" s="567"/>
      <c r="C59" s="13"/>
      <c r="D59" s="5"/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>
        <f t="shared" si="4"/>
        <v>0</v>
      </c>
      <c r="Q59" s="566">
        <f t="shared" si="5"/>
        <v>0</v>
      </c>
      <c r="R59" s="567"/>
      <c r="S59" s="11"/>
    </row>
    <row r="60" spans="1:19" x14ac:dyDescent="0.2">
      <c r="A60" s="566" t="s">
        <v>229</v>
      </c>
      <c r="B60" s="567"/>
      <c r="C60" s="13"/>
      <c r="D60" s="5"/>
      <c r="E60" s="5"/>
      <c r="F60" s="5"/>
      <c r="G60" s="5"/>
      <c r="H60" s="5"/>
      <c r="I60" s="5"/>
      <c r="J60" s="5"/>
      <c r="K60" s="5"/>
      <c r="L60" s="5"/>
      <c r="M60" s="5"/>
      <c r="N60" s="5"/>
      <c r="O60" s="5"/>
      <c r="P60" s="5">
        <f t="shared" si="4"/>
        <v>0</v>
      </c>
      <c r="Q60" s="566">
        <f t="shared" si="5"/>
        <v>0</v>
      </c>
      <c r="R60" s="567"/>
      <c r="S60" s="11"/>
    </row>
    <row r="61" spans="1:19" x14ac:dyDescent="0.2">
      <c r="A61" s="566" t="s">
        <v>230</v>
      </c>
      <c r="B61" s="567"/>
      <c r="C61" s="13"/>
      <c r="D61" s="5"/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>
        <f t="shared" si="4"/>
        <v>0</v>
      </c>
      <c r="Q61" s="566">
        <f t="shared" si="5"/>
        <v>0</v>
      </c>
      <c r="R61" s="567"/>
      <c r="S61" s="11"/>
    </row>
    <row r="62" spans="1:19" x14ac:dyDescent="0.2">
      <c r="A62" s="566" t="s">
        <v>231</v>
      </c>
      <c r="B62" s="567"/>
      <c r="C62" s="13"/>
      <c r="D62" s="5"/>
      <c r="E62" s="5"/>
      <c r="F62" s="5"/>
      <c r="G62" s="5"/>
      <c r="H62" s="5"/>
      <c r="I62" s="5"/>
      <c r="J62" s="5"/>
      <c r="K62" s="5"/>
      <c r="L62" s="5"/>
      <c r="M62" s="5"/>
      <c r="N62" s="5"/>
      <c r="O62" s="5"/>
      <c r="P62" s="5">
        <f t="shared" si="4"/>
        <v>0</v>
      </c>
      <c r="Q62" s="566">
        <f t="shared" si="5"/>
        <v>0</v>
      </c>
      <c r="R62" s="567"/>
      <c r="S62" s="11"/>
    </row>
    <row r="63" spans="1:19" x14ac:dyDescent="0.2">
      <c r="A63" s="566" t="s">
        <v>232</v>
      </c>
      <c r="B63" s="567"/>
      <c r="C63" s="13"/>
      <c r="D63" s="5"/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>
        <f t="shared" si="4"/>
        <v>0</v>
      </c>
      <c r="Q63" s="566">
        <f>P63*0.125</f>
        <v>0</v>
      </c>
      <c r="R63" s="567"/>
      <c r="S63" s="11"/>
    </row>
    <row r="64" spans="1:19" x14ac:dyDescent="0.2">
      <c r="A64" s="566" t="s">
        <v>233</v>
      </c>
      <c r="B64" s="567"/>
      <c r="C64" s="13"/>
      <c r="D64" s="5"/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>
        <f t="shared" si="4"/>
        <v>0</v>
      </c>
      <c r="Q64" s="566">
        <f>P64*0.125</f>
        <v>0</v>
      </c>
      <c r="R64" s="567"/>
      <c r="S64" s="11"/>
    </row>
    <row r="65" spans="1:19" x14ac:dyDescent="0.2">
      <c r="A65" s="566" t="s">
        <v>234</v>
      </c>
      <c r="B65" s="567"/>
      <c r="C65" s="13"/>
      <c r="D65" s="5"/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>
        <f t="shared" si="4"/>
        <v>0</v>
      </c>
      <c r="Q65" s="566">
        <f>P65*0.125</f>
        <v>0</v>
      </c>
      <c r="R65" s="567"/>
      <c r="S65" s="11"/>
    </row>
    <row r="66" spans="1:19" x14ac:dyDescent="0.2">
      <c r="A66" s="571" t="s">
        <v>235</v>
      </c>
      <c r="B66" s="572"/>
      <c r="C66" s="13"/>
      <c r="D66" s="5"/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>
        <f t="shared" si="4"/>
        <v>0</v>
      </c>
      <c r="Q66" s="566">
        <f>P66*0.125</f>
        <v>0</v>
      </c>
      <c r="R66" s="567"/>
      <c r="S66" s="11"/>
    </row>
    <row r="67" spans="1:19" x14ac:dyDescent="0.2">
      <c r="A67" s="570"/>
      <c r="B67" s="570"/>
      <c r="C67" s="570"/>
      <c r="D67" s="570"/>
      <c r="E67" s="570"/>
      <c r="F67" s="570"/>
      <c r="G67" s="570"/>
      <c r="H67" s="570"/>
      <c r="I67" s="570"/>
      <c r="J67" s="570"/>
      <c r="K67" s="570"/>
      <c r="L67" s="570"/>
      <c r="M67" s="570"/>
      <c r="N67" s="570"/>
      <c r="O67" s="570"/>
      <c r="P67" s="570"/>
      <c r="Q67" s="569">
        <f>SUM(Q55:R66)</f>
        <v>0</v>
      </c>
      <c r="R67" s="570"/>
      <c r="S67" s="11"/>
    </row>
    <row r="68" spans="1:19" x14ac:dyDescent="0.2">
      <c r="A68" s="575" t="s">
        <v>222</v>
      </c>
      <c r="B68" s="575"/>
      <c r="C68" s="575"/>
      <c r="D68" s="575"/>
      <c r="E68" s="575"/>
      <c r="F68" s="575"/>
      <c r="G68" s="575"/>
      <c r="H68" s="575"/>
      <c r="I68" s="575"/>
      <c r="J68" s="575"/>
      <c r="K68" s="575"/>
      <c r="L68" s="575"/>
      <c r="M68" s="575"/>
      <c r="N68" s="575"/>
      <c r="O68" s="575"/>
      <c r="P68" s="575"/>
      <c r="Q68" s="575"/>
      <c r="R68" s="575"/>
      <c r="S68" s="11"/>
    </row>
    <row r="69" spans="1:19" x14ac:dyDescent="0.2">
      <c r="A69" s="575"/>
      <c r="B69" s="575"/>
      <c r="C69" s="575"/>
      <c r="D69" s="575"/>
      <c r="E69" s="575"/>
      <c r="F69" s="575"/>
      <c r="G69" s="575"/>
      <c r="H69" s="575"/>
      <c r="I69" s="575"/>
      <c r="J69" s="575"/>
      <c r="K69" s="575"/>
      <c r="L69" s="575"/>
      <c r="M69" s="575"/>
      <c r="N69" s="575"/>
      <c r="O69" s="575"/>
      <c r="P69" s="575"/>
      <c r="Q69" s="575"/>
      <c r="R69" s="575"/>
      <c r="S69" s="11"/>
    </row>
    <row r="70" spans="1:19" x14ac:dyDescent="0.2">
      <c r="A70" s="558" t="str">
        <f>'2 - Serviços'!$A$7</f>
        <v>MANUTENÇÃO E CONSERVAÇÃO DAS PONTES DE MADEIRA</v>
      </c>
      <c r="B70" s="559"/>
      <c r="C70" s="559"/>
      <c r="D70" s="559"/>
      <c r="E70" s="559"/>
      <c r="F70" s="559"/>
      <c r="G70" s="559"/>
      <c r="H70" s="559"/>
      <c r="I70" s="559"/>
      <c r="J70" s="559"/>
      <c r="K70" s="559"/>
      <c r="L70" s="559"/>
      <c r="M70" s="559"/>
      <c r="N70" s="559"/>
      <c r="O70" s="559"/>
      <c r="P70" s="559"/>
      <c r="Q70" s="559"/>
      <c r="R70" s="559"/>
      <c r="S70" s="11"/>
    </row>
    <row r="71" spans="1:19" x14ac:dyDescent="0.2">
      <c r="A71" s="46" t="s">
        <v>80</v>
      </c>
      <c r="B71" s="548" t="s">
        <v>236</v>
      </c>
      <c r="C71" s="548"/>
      <c r="D71" s="548"/>
      <c r="E71" s="548"/>
      <c r="F71" s="46" t="s">
        <v>220</v>
      </c>
      <c r="G71" s="548" t="s">
        <v>216</v>
      </c>
      <c r="H71" s="548"/>
      <c r="I71" s="548"/>
      <c r="J71" s="548" t="s">
        <v>217</v>
      </c>
      <c r="K71" s="548"/>
      <c r="L71" s="548"/>
      <c r="M71" s="548" t="s">
        <v>218</v>
      </c>
      <c r="N71" s="548"/>
      <c r="O71" s="548"/>
      <c r="P71" s="548" t="s">
        <v>219</v>
      </c>
      <c r="Q71" s="548"/>
      <c r="R71" s="548"/>
      <c r="S71" s="11"/>
    </row>
    <row r="72" spans="1:19" x14ac:dyDescent="0.2">
      <c r="A72" s="7"/>
      <c r="B72" s="552" t="str">
        <f>'4 - Resumo de Ferragem'!B12</f>
        <v>CÓRREGO ARARAS</v>
      </c>
      <c r="C72" s="552"/>
      <c r="D72" s="552"/>
      <c r="E72" s="552"/>
      <c r="F72" s="49"/>
      <c r="G72" s="552"/>
      <c r="H72" s="552"/>
      <c r="I72" s="552"/>
      <c r="J72" s="552"/>
      <c r="K72" s="552"/>
      <c r="L72" s="552"/>
      <c r="M72" s="552"/>
      <c r="N72" s="552"/>
      <c r="O72" s="552"/>
      <c r="P72" s="568"/>
      <c r="Q72" s="568"/>
      <c r="R72" s="568"/>
      <c r="S72" s="11"/>
    </row>
    <row r="73" spans="1:19" x14ac:dyDescent="0.2">
      <c r="A73" s="548" t="s">
        <v>169</v>
      </c>
      <c r="B73" s="548"/>
      <c r="C73" s="46" t="s">
        <v>8</v>
      </c>
      <c r="D73" s="46" t="s">
        <v>9</v>
      </c>
      <c r="E73" s="46" t="s">
        <v>18</v>
      </c>
      <c r="F73" s="46" t="s">
        <v>72</v>
      </c>
      <c r="G73" s="46" t="s">
        <v>11</v>
      </c>
      <c r="H73" s="46" t="s">
        <v>19</v>
      </c>
      <c r="I73" s="46" t="s">
        <v>20</v>
      </c>
      <c r="J73" s="46" t="s">
        <v>14</v>
      </c>
      <c r="K73" s="46" t="s">
        <v>21</v>
      </c>
      <c r="L73" s="46" t="s">
        <v>22</v>
      </c>
      <c r="M73" s="46" t="s">
        <v>23</v>
      </c>
      <c r="N73" s="46" t="s">
        <v>24</v>
      </c>
      <c r="O73" s="46" t="s">
        <v>16</v>
      </c>
      <c r="P73" s="46" t="s">
        <v>81</v>
      </c>
      <c r="Q73" s="548" t="s">
        <v>221</v>
      </c>
      <c r="R73" s="548"/>
      <c r="S73" s="11"/>
    </row>
    <row r="74" spans="1:19" x14ac:dyDescent="0.2">
      <c r="A74" s="573" t="s">
        <v>224</v>
      </c>
      <c r="B74" s="574"/>
      <c r="C74" s="13"/>
      <c r="D74" s="5"/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>
        <f>SUM(C74:O74)</f>
        <v>0</v>
      </c>
      <c r="Q74" s="573">
        <f>P74</f>
        <v>0</v>
      </c>
      <c r="R74" s="574"/>
      <c r="S74" s="11"/>
    </row>
    <row r="75" spans="1:19" x14ac:dyDescent="0.2">
      <c r="A75" s="566" t="s">
        <v>225</v>
      </c>
      <c r="B75" s="567"/>
      <c r="C75" s="13"/>
      <c r="D75" s="5"/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>
        <f t="shared" ref="P75:P85" si="6">SUM(C75:O75)</f>
        <v>0</v>
      </c>
      <c r="Q75" s="566">
        <f t="shared" ref="Q75:Q81" si="7">P75</f>
        <v>0</v>
      </c>
      <c r="R75" s="567"/>
      <c r="S75" s="11"/>
    </row>
    <row r="76" spans="1:19" x14ac:dyDescent="0.2">
      <c r="A76" s="566" t="s">
        <v>226</v>
      </c>
      <c r="B76" s="567"/>
      <c r="C76" s="13"/>
      <c r="D76" s="5"/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  <c r="P76" s="5">
        <f t="shared" si="6"/>
        <v>0</v>
      </c>
      <c r="Q76" s="566">
        <f t="shared" si="7"/>
        <v>0</v>
      </c>
      <c r="R76" s="567"/>
      <c r="S76" s="11"/>
    </row>
    <row r="77" spans="1:19" x14ac:dyDescent="0.2">
      <c r="A77" s="566" t="s">
        <v>227</v>
      </c>
      <c r="B77" s="567"/>
      <c r="C77" s="13"/>
      <c r="D77" s="5"/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5">
        <f t="shared" si="6"/>
        <v>0</v>
      </c>
      <c r="Q77" s="566">
        <f t="shared" si="7"/>
        <v>0</v>
      </c>
      <c r="R77" s="567"/>
      <c r="S77" s="11"/>
    </row>
    <row r="78" spans="1:19" x14ac:dyDescent="0.2">
      <c r="A78" s="566" t="s">
        <v>228</v>
      </c>
      <c r="B78" s="567"/>
      <c r="C78" s="13"/>
      <c r="D78" s="5"/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>
        <f t="shared" si="6"/>
        <v>0</v>
      </c>
      <c r="Q78" s="566">
        <f t="shared" si="7"/>
        <v>0</v>
      </c>
      <c r="R78" s="567"/>
      <c r="S78" s="11"/>
    </row>
    <row r="79" spans="1:19" x14ac:dyDescent="0.2">
      <c r="A79" s="566" t="s">
        <v>229</v>
      </c>
      <c r="B79" s="567"/>
      <c r="C79" s="13"/>
      <c r="D79" s="5"/>
      <c r="E79" s="5"/>
      <c r="F79" s="5"/>
      <c r="G79" s="5"/>
      <c r="H79" s="5"/>
      <c r="I79" s="5"/>
      <c r="J79" s="5"/>
      <c r="K79" s="5"/>
      <c r="L79" s="5"/>
      <c r="M79" s="5"/>
      <c r="N79" s="5"/>
      <c r="O79" s="5"/>
      <c r="P79" s="5">
        <f t="shared" si="6"/>
        <v>0</v>
      </c>
      <c r="Q79" s="566">
        <f t="shared" si="7"/>
        <v>0</v>
      </c>
      <c r="R79" s="567"/>
      <c r="S79" s="11"/>
    </row>
    <row r="80" spans="1:19" x14ac:dyDescent="0.2">
      <c r="A80" s="566" t="s">
        <v>230</v>
      </c>
      <c r="B80" s="567"/>
      <c r="C80" s="13"/>
      <c r="D80" s="5"/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  <c r="P80" s="5">
        <f t="shared" si="6"/>
        <v>0</v>
      </c>
      <c r="Q80" s="566">
        <f t="shared" si="7"/>
        <v>0</v>
      </c>
      <c r="R80" s="567"/>
      <c r="S80" s="11"/>
    </row>
    <row r="81" spans="1:19" x14ac:dyDescent="0.2">
      <c r="A81" s="566" t="s">
        <v>231</v>
      </c>
      <c r="B81" s="567"/>
      <c r="C81" s="13"/>
      <c r="D81" s="5"/>
      <c r="E81" s="5"/>
      <c r="F81" s="5"/>
      <c r="G81" s="5"/>
      <c r="H81" s="5"/>
      <c r="I81" s="5"/>
      <c r="J81" s="5"/>
      <c r="K81" s="5"/>
      <c r="L81" s="5"/>
      <c r="M81" s="5"/>
      <c r="N81" s="5"/>
      <c r="O81" s="5"/>
      <c r="P81" s="5">
        <f t="shared" si="6"/>
        <v>0</v>
      </c>
      <c r="Q81" s="566">
        <f t="shared" si="7"/>
        <v>0</v>
      </c>
      <c r="R81" s="567"/>
      <c r="S81" s="11"/>
    </row>
    <row r="82" spans="1:19" x14ac:dyDescent="0.2">
      <c r="A82" s="566" t="s">
        <v>232</v>
      </c>
      <c r="B82" s="567"/>
      <c r="C82" s="13"/>
      <c r="D82" s="5"/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>
        <f t="shared" si="6"/>
        <v>0</v>
      </c>
      <c r="Q82" s="566">
        <f>P82*0.125</f>
        <v>0</v>
      </c>
      <c r="R82" s="567"/>
      <c r="S82" s="11"/>
    </row>
    <row r="83" spans="1:19" x14ac:dyDescent="0.2">
      <c r="A83" s="566" t="s">
        <v>233</v>
      </c>
      <c r="B83" s="567"/>
      <c r="C83" s="13"/>
      <c r="D83" s="5"/>
      <c r="E83" s="5"/>
      <c r="F83" s="5"/>
      <c r="G83" s="5"/>
      <c r="H83" s="5"/>
      <c r="I83" s="5"/>
      <c r="J83" s="5"/>
      <c r="K83" s="5"/>
      <c r="L83" s="5"/>
      <c r="M83" s="5"/>
      <c r="N83" s="5"/>
      <c r="O83" s="5"/>
      <c r="P83" s="5">
        <f t="shared" si="6"/>
        <v>0</v>
      </c>
      <c r="Q83" s="566">
        <f>P83*0.125</f>
        <v>0</v>
      </c>
      <c r="R83" s="567"/>
      <c r="S83" s="11"/>
    </row>
    <row r="84" spans="1:19" x14ac:dyDescent="0.2">
      <c r="A84" s="566" t="s">
        <v>234</v>
      </c>
      <c r="B84" s="567"/>
      <c r="C84" s="13"/>
      <c r="D84" s="5"/>
      <c r="E84" s="5"/>
      <c r="F84" s="5"/>
      <c r="G84" s="5"/>
      <c r="H84" s="5"/>
      <c r="I84" s="5"/>
      <c r="J84" s="5"/>
      <c r="K84" s="5"/>
      <c r="L84" s="5"/>
      <c r="M84" s="5"/>
      <c r="N84" s="5"/>
      <c r="O84" s="5"/>
      <c r="P84" s="5">
        <f t="shared" si="6"/>
        <v>0</v>
      </c>
      <c r="Q84" s="566">
        <f>P84*0.125</f>
        <v>0</v>
      </c>
      <c r="R84" s="567"/>
      <c r="S84" s="11"/>
    </row>
    <row r="85" spans="1:19" x14ac:dyDescent="0.2">
      <c r="A85" s="571" t="s">
        <v>235</v>
      </c>
      <c r="B85" s="572"/>
      <c r="C85" s="13"/>
      <c r="D85" s="5"/>
      <c r="E85" s="5"/>
      <c r="F85" s="5"/>
      <c r="G85" s="5"/>
      <c r="H85" s="5"/>
      <c r="I85" s="5"/>
      <c r="J85" s="5"/>
      <c r="K85" s="5"/>
      <c r="L85" s="5"/>
      <c r="M85" s="5"/>
      <c r="N85" s="5"/>
      <c r="O85" s="5"/>
      <c r="P85" s="5">
        <f t="shared" si="6"/>
        <v>0</v>
      </c>
      <c r="Q85" s="566">
        <f>P85*0.125</f>
        <v>0</v>
      </c>
      <c r="R85" s="567"/>
      <c r="S85" s="11"/>
    </row>
    <row r="86" spans="1:19" x14ac:dyDescent="0.2">
      <c r="A86" s="570"/>
      <c r="B86" s="570"/>
      <c r="C86" s="570"/>
      <c r="D86" s="570"/>
      <c r="E86" s="570"/>
      <c r="F86" s="570"/>
      <c r="G86" s="570"/>
      <c r="H86" s="570"/>
      <c r="I86" s="570"/>
      <c r="J86" s="570"/>
      <c r="K86" s="570"/>
      <c r="L86" s="570"/>
      <c r="M86" s="570"/>
      <c r="N86" s="570"/>
      <c r="O86" s="570"/>
      <c r="P86" s="570"/>
      <c r="Q86" s="569">
        <f>SUM(Q74:R85)</f>
        <v>0</v>
      </c>
      <c r="R86" s="570"/>
      <c r="S86" s="11"/>
    </row>
    <row r="87" spans="1:19" x14ac:dyDescent="0.2">
      <c r="A87" s="575" t="s">
        <v>222</v>
      </c>
      <c r="B87" s="575"/>
      <c r="C87" s="575"/>
      <c r="D87" s="575"/>
      <c r="E87" s="575"/>
      <c r="F87" s="575"/>
      <c r="G87" s="575"/>
      <c r="H87" s="575"/>
      <c r="I87" s="575"/>
      <c r="J87" s="575"/>
      <c r="K87" s="575"/>
      <c r="L87" s="575"/>
      <c r="M87" s="575"/>
      <c r="N87" s="575"/>
      <c r="O87" s="575"/>
      <c r="P87" s="575"/>
      <c r="Q87" s="575"/>
      <c r="R87" s="575"/>
      <c r="S87" s="11"/>
    </row>
    <row r="88" spans="1:19" ht="5.25" customHeight="1" x14ac:dyDescent="0.2">
      <c r="A88" s="575"/>
      <c r="B88" s="575"/>
      <c r="C88" s="575"/>
      <c r="D88" s="575"/>
      <c r="E88" s="575"/>
      <c r="F88" s="575"/>
      <c r="G88" s="575"/>
      <c r="H88" s="575"/>
      <c r="I88" s="575"/>
      <c r="J88" s="575"/>
      <c r="K88" s="575"/>
      <c r="L88" s="575"/>
      <c r="M88" s="575"/>
      <c r="N88" s="575"/>
      <c r="O88" s="575"/>
      <c r="P88" s="575"/>
      <c r="Q88" s="575"/>
      <c r="R88" s="575"/>
      <c r="S88" s="11"/>
    </row>
    <row r="89" spans="1:19" x14ac:dyDescent="0.2">
      <c r="A89" s="558" t="str">
        <f>'2 - Serviços'!$A$7</f>
        <v>MANUTENÇÃO E CONSERVAÇÃO DAS PONTES DE MADEIRA</v>
      </c>
      <c r="B89" s="559"/>
      <c r="C89" s="559"/>
      <c r="D89" s="559"/>
      <c r="E89" s="559"/>
      <c r="F89" s="559"/>
      <c r="G89" s="559"/>
      <c r="H89" s="559"/>
      <c r="I89" s="559"/>
      <c r="J89" s="559"/>
      <c r="K89" s="559"/>
      <c r="L89" s="559"/>
      <c r="M89" s="559"/>
      <c r="N89" s="559"/>
      <c r="O89" s="559"/>
      <c r="P89" s="559"/>
      <c r="Q89" s="559"/>
      <c r="R89" s="559"/>
      <c r="S89" s="11"/>
    </row>
    <row r="90" spans="1:19" x14ac:dyDescent="0.2">
      <c r="A90" s="46" t="s">
        <v>80</v>
      </c>
      <c r="B90" s="548" t="s">
        <v>236</v>
      </c>
      <c r="C90" s="548"/>
      <c r="D90" s="548"/>
      <c r="E90" s="548"/>
      <c r="F90" s="46" t="s">
        <v>220</v>
      </c>
      <c r="G90" s="548" t="s">
        <v>216</v>
      </c>
      <c r="H90" s="548"/>
      <c r="I90" s="548"/>
      <c r="J90" s="548" t="s">
        <v>217</v>
      </c>
      <c r="K90" s="548"/>
      <c r="L90" s="548"/>
      <c r="M90" s="548" t="s">
        <v>218</v>
      </c>
      <c r="N90" s="548"/>
      <c r="O90" s="548"/>
      <c r="P90" s="548" t="s">
        <v>219</v>
      </c>
      <c r="Q90" s="548"/>
      <c r="R90" s="548"/>
      <c r="S90" s="11"/>
    </row>
    <row r="91" spans="1:19" x14ac:dyDescent="0.2">
      <c r="A91" s="7"/>
      <c r="B91" s="552" t="e">
        <f>'4 - Resumo de Ferragem'!#REF!</f>
        <v>#REF!</v>
      </c>
      <c r="C91" s="552"/>
      <c r="D91" s="552"/>
      <c r="E91" s="552"/>
      <c r="F91" s="49"/>
      <c r="G91" s="552"/>
      <c r="H91" s="552"/>
      <c r="I91" s="552"/>
      <c r="J91" s="552"/>
      <c r="K91" s="552"/>
      <c r="L91" s="552"/>
      <c r="M91" s="552"/>
      <c r="N91" s="552"/>
      <c r="O91" s="552"/>
      <c r="P91" s="568"/>
      <c r="Q91" s="568"/>
      <c r="R91" s="568"/>
      <c r="S91" s="11"/>
    </row>
    <row r="92" spans="1:19" x14ac:dyDescent="0.2">
      <c r="A92" s="548" t="s">
        <v>169</v>
      </c>
      <c r="B92" s="548"/>
      <c r="C92" s="46" t="s">
        <v>8</v>
      </c>
      <c r="D92" s="46" t="s">
        <v>9</v>
      </c>
      <c r="E92" s="46" t="s">
        <v>18</v>
      </c>
      <c r="F92" s="46" t="s">
        <v>72</v>
      </c>
      <c r="G92" s="46" t="s">
        <v>11</v>
      </c>
      <c r="H92" s="46" t="s">
        <v>19</v>
      </c>
      <c r="I92" s="46" t="s">
        <v>20</v>
      </c>
      <c r="J92" s="46" t="s">
        <v>14</v>
      </c>
      <c r="K92" s="46" t="s">
        <v>21</v>
      </c>
      <c r="L92" s="46" t="s">
        <v>22</v>
      </c>
      <c r="M92" s="46" t="s">
        <v>23</v>
      </c>
      <c r="N92" s="46" t="s">
        <v>24</v>
      </c>
      <c r="O92" s="46" t="s">
        <v>16</v>
      </c>
      <c r="P92" s="46" t="s">
        <v>81</v>
      </c>
      <c r="Q92" s="548" t="s">
        <v>221</v>
      </c>
      <c r="R92" s="548"/>
      <c r="S92" s="11"/>
    </row>
    <row r="93" spans="1:19" x14ac:dyDescent="0.2">
      <c r="A93" s="573" t="s">
        <v>224</v>
      </c>
      <c r="B93" s="574"/>
      <c r="C93" s="13"/>
      <c r="D93" s="5"/>
      <c r="E93" s="5"/>
      <c r="F93" s="5"/>
      <c r="G93" s="5"/>
      <c r="H93" s="5"/>
      <c r="I93" s="5"/>
      <c r="J93" s="5"/>
      <c r="K93" s="5"/>
      <c r="L93" s="5"/>
      <c r="M93" s="5"/>
      <c r="N93" s="5"/>
      <c r="O93" s="5"/>
      <c r="P93" s="5">
        <f>SUM(C93:O93)</f>
        <v>0</v>
      </c>
      <c r="Q93" s="573">
        <f>P93</f>
        <v>0</v>
      </c>
      <c r="R93" s="574"/>
      <c r="S93" s="11"/>
    </row>
    <row r="94" spans="1:19" x14ac:dyDescent="0.2">
      <c r="A94" s="566" t="s">
        <v>225</v>
      </c>
      <c r="B94" s="567"/>
      <c r="C94" s="13"/>
      <c r="D94" s="5"/>
      <c r="E94" s="5"/>
      <c r="F94" s="5"/>
      <c r="G94" s="5"/>
      <c r="H94" s="5"/>
      <c r="I94" s="5"/>
      <c r="J94" s="5"/>
      <c r="K94" s="5"/>
      <c r="L94" s="5"/>
      <c r="M94" s="5"/>
      <c r="N94" s="5"/>
      <c r="O94" s="5"/>
      <c r="P94" s="5">
        <f t="shared" ref="P94:P109" si="8">SUM(C94:O94)</f>
        <v>0</v>
      </c>
      <c r="Q94" s="566">
        <f t="shared" ref="Q94:Q105" si="9">P94</f>
        <v>0</v>
      </c>
      <c r="R94" s="567"/>
      <c r="S94" s="11"/>
    </row>
    <row r="95" spans="1:19" x14ac:dyDescent="0.2">
      <c r="A95" s="566" t="s">
        <v>226</v>
      </c>
      <c r="B95" s="567"/>
      <c r="C95" s="13"/>
      <c r="D95" s="5"/>
      <c r="E95" s="5"/>
      <c r="F95" s="5"/>
      <c r="G95" s="5"/>
      <c r="H95" s="5"/>
      <c r="I95" s="5"/>
      <c r="J95" s="5"/>
      <c r="K95" s="5"/>
      <c r="L95" s="5"/>
      <c r="M95" s="5"/>
      <c r="N95" s="5"/>
      <c r="O95" s="5"/>
      <c r="P95" s="5">
        <f t="shared" si="8"/>
        <v>0</v>
      </c>
      <c r="Q95" s="566">
        <f t="shared" si="9"/>
        <v>0</v>
      </c>
      <c r="R95" s="567"/>
      <c r="S95" s="11"/>
    </row>
    <row r="96" spans="1:19" x14ac:dyDescent="0.2">
      <c r="A96" s="566" t="s">
        <v>227</v>
      </c>
      <c r="B96" s="567"/>
      <c r="C96" s="13"/>
      <c r="D96" s="5"/>
      <c r="E96" s="5"/>
      <c r="F96" s="5"/>
      <c r="G96" s="5"/>
      <c r="H96" s="5"/>
      <c r="I96" s="5"/>
      <c r="J96" s="5"/>
      <c r="K96" s="5"/>
      <c r="L96" s="5"/>
      <c r="M96" s="5"/>
      <c r="N96" s="5"/>
      <c r="O96" s="5"/>
      <c r="P96" s="5">
        <f t="shared" si="8"/>
        <v>0</v>
      </c>
      <c r="Q96" s="566">
        <f t="shared" si="9"/>
        <v>0</v>
      </c>
      <c r="R96" s="567"/>
      <c r="S96" s="11"/>
    </row>
    <row r="97" spans="1:19" x14ac:dyDescent="0.2">
      <c r="A97" s="566" t="s">
        <v>228</v>
      </c>
      <c r="B97" s="567"/>
      <c r="C97" s="13"/>
      <c r="D97" s="5"/>
      <c r="E97" s="5"/>
      <c r="F97" s="5"/>
      <c r="G97" s="5"/>
      <c r="H97" s="5"/>
      <c r="I97" s="5"/>
      <c r="J97" s="5"/>
      <c r="K97" s="5"/>
      <c r="L97" s="5"/>
      <c r="M97" s="5"/>
      <c r="N97" s="5"/>
      <c r="O97" s="5"/>
      <c r="P97" s="5">
        <f t="shared" si="8"/>
        <v>0</v>
      </c>
      <c r="Q97" s="566">
        <f t="shared" si="9"/>
        <v>0</v>
      </c>
      <c r="R97" s="567"/>
      <c r="S97" s="11"/>
    </row>
    <row r="98" spans="1:19" x14ac:dyDescent="0.2">
      <c r="A98" s="566" t="s">
        <v>229</v>
      </c>
      <c r="B98" s="567"/>
      <c r="C98" s="13"/>
      <c r="D98" s="5"/>
      <c r="E98" s="5"/>
      <c r="F98" s="5"/>
      <c r="G98" s="5"/>
      <c r="H98" s="5"/>
      <c r="I98" s="5"/>
      <c r="J98" s="5"/>
      <c r="K98" s="5"/>
      <c r="L98" s="5"/>
      <c r="M98" s="5"/>
      <c r="N98" s="5"/>
      <c r="O98" s="5"/>
      <c r="P98" s="5">
        <f t="shared" si="8"/>
        <v>0</v>
      </c>
      <c r="Q98" s="566">
        <f t="shared" si="9"/>
        <v>0</v>
      </c>
      <c r="R98" s="567"/>
      <c r="S98" s="11"/>
    </row>
    <row r="99" spans="1:19" ht="15" customHeight="1" x14ac:dyDescent="0.2">
      <c r="A99" s="566" t="s">
        <v>230</v>
      </c>
      <c r="B99" s="567"/>
      <c r="C99" s="13"/>
      <c r="D99" s="5"/>
      <c r="E99" s="5"/>
      <c r="F99" s="5"/>
      <c r="G99" s="5"/>
      <c r="H99" s="5"/>
      <c r="I99" s="5"/>
      <c r="J99" s="5"/>
      <c r="K99" s="5"/>
      <c r="L99" s="5"/>
      <c r="M99" s="5"/>
      <c r="N99" s="5"/>
      <c r="O99" s="5"/>
      <c r="P99" s="5">
        <f t="shared" si="8"/>
        <v>0</v>
      </c>
      <c r="Q99" s="566">
        <f t="shared" si="9"/>
        <v>0</v>
      </c>
      <c r="R99" s="567"/>
      <c r="S99" s="11"/>
    </row>
    <row r="100" spans="1:19" s="37" customFormat="1" ht="13.15" customHeight="1" x14ac:dyDescent="0.25">
      <c r="A100" s="38" t="s">
        <v>184</v>
      </c>
      <c r="B100" s="39"/>
      <c r="C100" s="39"/>
      <c r="D100" s="39"/>
      <c r="E100" s="39"/>
      <c r="F100" s="39"/>
      <c r="G100" s="39"/>
      <c r="H100" s="40"/>
      <c r="I100" s="38"/>
      <c r="J100" s="39"/>
      <c r="K100" s="39"/>
      <c r="L100" s="41"/>
      <c r="M100" s="38"/>
      <c r="N100" s="39"/>
      <c r="O100" s="39"/>
      <c r="P100" s="63"/>
      <c r="Q100" s="63"/>
      <c r="R100" s="62"/>
    </row>
    <row r="101" spans="1:19" s="37" customFormat="1" ht="13.15" customHeight="1" x14ac:dyDescent="0.25">
      <c r="A101" s="42"/>
      <c r="B101" s="56"/>
      <c r="C101" s="56"/>
      <c r="D101" s="56"/>
      <c r="E101" s="56"/>
      <c r="F101" s="56"/>
      <c r="G101" s="56"/>
      <c r="H101" s="57"/>
      <c r="I101" s="42"/>
      <c r="J101" s="56"/>
      <c r="K101" s="56"/>
      <c r="L101" s="43"/>
      <c r="M101" s="42"/>
      <c r="N101" s="56"/>
      <c r="O101" s="56"/>
      <c r="R101" s="61"/>
    </row>
    <row r="102" spans="1:19" s="37" customFormat="1" ht="13.15" customHeight="1" x14ac:dyDescent="0.25">
      <c r="A102" s="42"/>
      <c r="B102" s="56"/>
      <c r="C102" s="56"/>
      <c r="D102" s="56"/>
      <c r="E102" s="56"/>
      <c r="F102" s="56"/>
      <c r="G102" s="56"/>
      <c r="H102" s="57"/>
      <c r="I102" s="42"/>
      <c r="J102" s="56"/>
      <c r="K102" s="56"/>
      <c r="L102" s="43"/>
      <c r="M102" s="42"/>
      <c r="N102" s="56"/>
      <c r="O102" s="56"/>
      <c r="R102" s="61"/>
    </row>
    <row r="103" spans="1:19" s="37" customFormat="1" ht="13.15" customHeight="1" x14ac:dyDescent="0.25">
      <c r="A103" s="42"/>
      <c r="B103" s="56"/>
      <c r="C103" s="56"/>
      <c r="D103" s="56"/>
      <c r="E103" s="56"/>
      <c r="F103" s="56"/>
      <c r="G103" s="56"/>
      <c r="H103" s="57"/>
      <c r="I103" s="581" t="s">
        <v>261</v>
      </c>
      <c r="J103" s="582"/>
      <c r="K103" s="582"/>
      <c r="L103" s="583"/>
      <c r="M103" s="581" t="s">
        <v>260</v>
      </c>
      <c r="N103" s="582"/>
      <c r="O103" s="582"/>
      <c r="P103" s="582"/>
      <c r="Q103" s="582"/>
      <c r="R103" s="583"/>
    </row>
    <row r="104" spans="1:19" s="37" customFormat="1" ht="13.15" customHeight="1" thickBot="1" x14ac:dyDescent="0.3">
      <c r="A104" s="58"/>
      <c r="B104" s="59"/>
      <c r="C104" s="59"/>
      <c r="D104" s="59"/>
      <c r="E104" s="59"/>
      <c r="F104" s="59"/>
      <c r="G104" s="59"/>
      <c r="H104" s="60"/>
      <c r="I104" s="584" t="s">
        <v>262</v>
      </c>
      <c r="J104" s="585"/>
      <c r="K104" s="585"/>
      <c r="L104" s="586"/>
      <c r="M104" s="587" t="s">
        <v>264</v>
      </c>
      <c r="N104" s="588"/>
      <c r="O104" s="588"/>
      <c r="P104" s="588"/>
      <c r="Q104" s="588"/>
      <c r="R104" s="589"/>
    </row>
    <row r="105" spans="1:19" ht="15" customHeight="1" x14ac:dyDescent="0.2">
      <c r="A105" s="566" t="s">
        <v>231</v>
      </c>
      <c r="B105" s="567"/>
      <c r="C105" s="13"/>
      <c r="D105" s="5"/>
      <c r="E105" s="5"/>
      <c r="F105" s="5"/>
      <c r="G105" s="5"/>
      <c r="H105" s="5"/>
      <c r="I105" s="5"/>
      <c r="J105" s="5"/>
      <c r="K105" s="5"/>
      <c r="L105" s="5"/>
      <c r="M105" s="5"/>
      <c r="N105" s="5"/>
      <c r="O105" s="5"/>
      <c r="P105" s="5">
        <f t="shared" si="8"/>
        <v>0</v>
      </c>
      <c r="Q105" s="566">
        <f t="shared" si="9"/>
        <v>0</v>
      </c>
      <c r="R105" s="567"/>
      <c r="S105" s="11"/>
    </row>
    <row r="106" spans="1:19" x14ac:dyDescent="0.2">
      <c r="A106" s="566" t="s">
        <v>232</v>
      </c>
      <c r="B106" s="567"/>
      <c r="C106" s="13"/>
      <c r="D106" s="5"/>
      <c r="E106" s="5"/>
      <c r="F106" s="5"/>
      <c r="G106" s="5"/>
      <c r="H106" s="5"/>
      <c r="I106" s="5"/>
      <c r="J106" s="5"/>
      <c r="K106" s="5"/>
      <c r="L106" s="5"/>
      <c r="M106" s="5"/>
      <c r="N106" s="5"/>
      <c r="O106" s="5"/>
      <c r="P106" s="5">
        <f t="shared" si="8"/>
        <v>0</v>
      </c>
      <c r="Q106" s="566">
        <f>P106*0.125</f>
        <v>0</v>
      </c>
      <c r="R106" s="567"/>
      <c r="S106" s="11"/>
    </row>
    <row r="107" spans="1:19" x14ac:dyDescent="0.2">
      <c r="A107" s="566" t="s">
        <v>233</v>
      </c>
      <c r="B107" s="567"/>
      <c r="C107" s="13"/>
      <c r="D107" s="5"/>
      <c r="E107" s="5"/>
      <c r="F107" s="5"/>
      <c r="G107" s="5"/>
      <c r="H107" s="5"/>
      <c r="I107" s="5"/>
      <c r="J107" s="5"/>
      <c r="K107" s="5"/>
      <c r="L107" s="5"/>
      <c r="M107" s="5"/>
      <c r="N107" s="5"/>
      <c r="O107" s="5"/>
      <c r="P107" s="5">
        <f t="shared" si="8"/>
        <v>0</v>
      </c>
      <c r="Q107" s="566">
        <f>P107*0.125</f>
        <v>0</v>
      </c>
      <c r="R107" s="567"/>
      <c r="S107" s="11"/>
    </row>
    <row r="108" spans="1:19" ht="14.25" customHeight="1" x14ac:dyDescent="0.2">
      <c r="A108" s="566" t="s">
        <v>234</v>
      </c>
      <c r="B108" s="567"/>
      <c r="C108" s="13"/>
      <c r="D108" s="5"/>
      <c r="E108" s="5"/>
      <c r="F108" s="5"/>
      <c r="G108" s="5"/>
      <c r="H108" s="5"/>
      <c r="I108" s="5"/>
      <c r="J108" s="5"/>
      <c r="K108" s="5"/>
      <c r="L108" s="5"/>
      <c r="M108" s="5"/>
      <c r="N108" s="5"/>
      <c r="O108" s="5"/>
      <c r="P108" s="5">
        <f t="shared" si="8"/>
        <v>0</v>
      </c>
      <c r="Q108" s="566">
        <f>P108*0.125</f>
        <v>0</v>
      </c>
      <c r="R108" s="567"/>
      <c r="S108" s="11"/>
    </row>
    <row r="109" spans="1:19" x14ac:dyDescent="0.2">
      <c r="A109" s="571" t="s">
        <v>235</v>
      </c>
      <c r="B109" s="572"/>
      <c r="C109" s="13"/>
      <c r="D109" s="5"/>
      <c r="E109" s="5"/>
      <c r="F109" s="5"/>
      <c r="G109" s="5"/>
      <c r="H109" s="5"/>
      <c r="I109" s="5"/>
      <c r="J109" s="5"/>
      <c r="K109" s="5"/>
      <c r="L109" s="5"/>
      <c r="M109" s="5"/>
      <c r="N109" s="5"/>
      <c r="O109" s="5"/>
      <c r="P109" s="5">
        <f t="shared" si="8"/>
        <v>0</v>
      </c>
      <c r="Q109" s="566">
        <f>P109*0.125</f>
        <v>0</v>
      </c>
      <c r="R109" s="567"/>
      <c r="S109" s="11"/>
    </row>
    <row r="110" spans="1:19" x14ac:dyDescent="0.2">
      <c r="A110" s="570"/>
      <c r="B110" s="570"/>
      <c r="C110" s="570"/>
      <c r="D110" s="570"/>
      <c r="E110" s="570"/>
      <c r="F110" s="570"/>
      <c r="G110" s="570"/>
      <c r="H110" s="570"/>
      <c r="I110" s="570"/>
      <c r="J110" s="570"/>
      <c r="K110" s="570"/>
      <c r="L110" s="570"/>
      <c r="M110" s="570"/>
      <c r="N110" s="570"/>
      <c r="O110" s="570"/>
      <c r="P110" s="570"/>
      <c r="Q110" s="569">
        <f>SUM(Q93:R109)</f>
        <v>0</v>
      </c>
      <c r="R110" s="570"/>
      <c r="S110" s="11"/>
    </row>
    <row r="111" spans="1:19" x14ac:dyDescent="0.2">
      <c r="A111" s="575" t="s">
        <v>222</v>
      </c>
      <c r="B111" s="575"/>
      <c r="C111" s="575"/>
      <c r="D111" s="575"/>
      <c r="E111" s="575"/>
      <c r="F111" s="575"/>
      <c r="G111" s="575"/>
      <c r="H111" s="575"/>
      <c r="I111" s="575"/>
      <c r="J111" s="575"/>
      <c r="K111" s="575"/>
      <c r="L111" s="575"/>
      <c r="M111" s="575"/>
      <c r="N111" s="575"/>
      <c r="O111" s="575"/>
      <c r="P111" s="575"/>
      <c r="Q111" s="575"/>
      <c r="R111" s="575"/>
      <c r="S111" s="11"/>
    </row>
    <row r="112" spans="1:19" x14ac:dyDescent="0.2">
      <c r="A112" s="575"/>
      <c r="B112" s="575"/>
      <c r="C112" s="575"/>
      <c r="D112" s="575"/>
      <c r="E112" s="575"/>
      <c r="F112" s="575"/>
      <c r="G112" s="575"/>
      <c r="H112" s="575"/>
      <c r="I112" s="575"/>
      <c r="J112" s="575"/>
      <c r="K112" s="575"/>
      <c r="L112" s="575"/>
      <c r="M112" s="575"/>
      <c r="N112" s="575"/>
      <c r="O112" s="575"/>
      <c r="P112" s="575"/>
      <c r="Q112" s="575"/>
      <c r="R112" s="575"/>
      <c r="S112" s="11"/>
    </row>
    <row r="113" spans="1:37" x14ac:dyDescent="0.2">
      <c r="A113" s="558" t="str">
        <f>'2 - Serviços'!$A$7</f>
        <v>MANUTENÇÃO E CONSERVAÇÃO DAS PONTES DE MADEIRA</v>
      </c>
      <c r="B113" s="559"/>
      <c r="C113" s="559"/>
      <c r="D113" s="559"/>
      <c r="E113" s="559"/>
      <c r="F113" s="559"/>
      <c r="G113" s="559"/>
      <c r="H113" s="559"/>
      <c r="I113" s="559"/>
      <c r="J113" s="559"/>
      <c r="K113" s="559"/>
      <c r="L113" s="559"/>
      <c r="M113" s="559"/>
      <c r="N113" s="559"/>
      <c r="O113" s="559"/>
      <c r="P113" s="559"/>
      <c r="Q113" s="559"/>
      <c r="R113" s="559"/>
      <c r="S113" s="11"/>
    </row>
    <row r="114" spans="1:37" x14ac:dyDescent="0.2">
      <c r="A114" s="46" t="s">
        <v>80</v>
      </c>
      <c r="B114" s="548" t="s">
        <v>236</v>
      </c>
      <c r="C114" s="548"/>
      <c r="D114" s="548"/>
      <c r="E114" s="548"/>
      <c r="F114" s="46" t="s">
        <v>220</v>
      </c>
      <c r="G114" s="548" t="s">
        <v>216</v>
      </c>
      <c r="H114" s="548"/>
      <c r="I114" s="548"/>
      <c r="J114" s="548" t="s">
        <v>217</v>
      </c>
      <c r="K114" s="548"/>
      <c r="L114" s="548"/>
      <c r="M114" s="548" t="s">
        <v>218</v>
      </c>
      <c r="N114" s="548"/>
      <c r="O114" s="548"/>
      <c r="P114" s="548" t="s">
        <v>219</v>
      </c>
      <c r="Q114" s="548"/>
      <c r="R114" s="548"/>
      <c r="S114" s="11"/>
    </row>
    <row r="115" spans="1:37" x14ac:dyDescent="0.2">
      <c r="A115" s="7"/>
      <c r="B115" s="552" t="e">
        <f>'4 - Resumo de Ferragem'!#REF!</f>
        <v>#REF!</v>
      </c>
      <c r="C115" s="552"/>
      <c r="D115" s="552"/>
      <c r="E115" s="552"/>
      <c r="F115" s="49"/>
      <c r="G115" s="552"/>
      <c r="H115" s="552"/>
      <c r="I115" s="552"/>
      <c r="J115" s="552"/>
      <c r="K115" s="552"/>
      <c r="L115" s="552"/>
      <c r="M115" s="552"/>
      <c r="N115" s="552"/>
      <c r="O115" s="552"/>
      <c r="P115" s="568"/>
      <c r="Q115" s="568"/>
      <c r="R115" s="568"/>
      <c r="S115" s="11"/>
    </row>
    <row r="116" spans="1:37" x14ac:dyDescent="0.2">
      <c r="A116" s="548" t="s">
        <v>169</v>
      </c>
      <c r="B116" s="548"/>
      <c r="C116" s="46" t="s">
        <v>8</v>
      </c>
      <c r="D116" s="46" t="s">
        <v>9</v>
      </c>
      <c r="E116" s="46" t="s">
        <v>18</v>
      </c>
      <c r="F116" s="46" t="s">
        <v>72</v>
      </c>
      <c r="G116" s="46" t="s">
        <v>11</v>
      </c>
      <c r="H116" s="46" t="s">
        <v>19</v>
      </c>
      <c r="I116" s="46" t="s">
        <v>20</v>
      </c>
      <c r="J116" s="46" t="s">
        <v>14</v>
      </c>
      <c r="K116" s="46" t="s">
        <v>21</v>
      </c>
      <c r="L116" s="46" t="s">
        <v>22</v>
      </c>
      <c r="M116" s="46" t="s">
        <v>23</v>
      </c>
      <c r="N116" s="46" t="s">
        <v>24</v>
      </c>
      <c r="O116" s="46" t="s">
        <v>16</v>
      </c>
      <c r="P116" s="46" t="s">
        <v>81</v>
      </c>
      <c r="Q116" s="548" t="s">
        <v>221</v>
      </c>
      <c r="R116" s="548"/>
      <c r="S116" s="11"/>
    </row>
    <row r="117" spans="1:37" x14ac:dyDescent="0.2">
      <c r="A117" s="573" t="s">
        <v>224</v>
      </c>
      <c r="B117" s="574"/>
      <c r="C117" s="13"/>
      <c r="D117" s="5"/>
      <c r="E117" s="5"/>
      <c r="F117" s="5"/>
      <c r="G117" s="5"/>
      <c r="H117" s="5"/>
      <c r="I117" s="5"/>
      <c r="J117" s="5"/>
      <c r="K117" s="5"/>
      <c r="L117" s="5"/>
      <c r="M117" s="5"/>
      <c r="N117" s="5"/>
      <c r="O117" s="5"/>
      <c r="P117" s="5">
        <f>SUM(C117:O117)</f>
        <v>0</v>
      </c>
      <c r="Q117" s="573">
        <f>P117</f>
        <v>0</v>
      </c>
      <c r="R117" s="574"/>
      <c r="S117" s="11"/>
    </row>
    <row r="118" spans="1:37" x14ac:dyDescent="0.2">
      <c r="A118" s="566" t="s">
        <v>225</v>
      </c>
      <c r="B118" s="567"/>
      <c r="C118" s="13"/>
      <c r="D118" s="5"/>
      <c r="E118" s="5"/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5">
        <f t="shared" ref="P118:P128" si="10">SUM(C118:O118)</f>
        <v>0</v>
      </c>
      <c r="Q118" s="566">
        <f t="shared" ref="Q118:Q124" si="11">P118</f>
        <v>0</v>
      </c>
      <c r="R118" s="567"/>
      <c r="S118" s="11"/>
    </row>
    <row r="119" spans="1:37" x14ac:dyDescent="0.2">
      <c r="A119" s="566" t="s">
        <v>226</v>
      </c>
      <c r="B119" s="567"/>
      <c r="C119" s="13"/>
      <c r="D119" s="5"/>
      <c r="E119" s="5"/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5">
        <f t="shared" si="10"/>
        <v>0</v>
      </c>
      <c r="Q119" s="566">
        <f t="shared" si="11"/>
        <v>0</v>
      </c>
      <c r="R119" s="567"/>
      <c r="S119" s="11"/>
    </row>
    <row r="120" spans="1:37" x14ac:dyDescent="0.2">
      <c r="A120" s="566" t="s">
        <v>227</v>
      </c>
      <c r="B120" s="567"/>
      <c r="C120" s="13"/>
      <c r="D120" s="5"/>
      <c r="E120" s="5"/>
      <c r="F120" s="5"/>
      <c r="G120" s="5"/>
      <c r="H120" s="5"/>
      <c r="I120" s="5"/>
      <c r="J120" s="5"/>
      <c r="K120" s="5"/>
      <c r="L120" s="5"/>
      <c r="M120" s="5"/>
      <c r="N120" s="5"/>
      <c r="O120" s="5"/>
      <c r="P120" s="5">
        <f t="shared" si="10"/>
        <v>0</v>
      </c>
      <c r="Q120" s="566">
        <f t="shared" si="11"/>
        <v>0</v>
      </c>
      <c r="R120" s="567"/>
      <c r="S120" s="11"/>
    </row>
    <row r="121" spans="1:37" x14ac:dyDescent="0.2">
      <c r="A121" s="566" t="s">
        <v>228</v>
      </c>
      <c r="B121" s="567"/>
      <c r="C121" s="13"/>
      <c r="D121" s="5"/>
      <c r="E121" s="5"/>
      <c r="F121" s="5"/>
      <c r="G121" s="5"/>
      <c r="H121" s="5"/>
      <c r="I121" s="5"/>
      <c r="J121" s="5"/>
      <c r="K121" s="5"/>
      <c r="L121" s="5"/>
      <c r="M121" s="5"/>
      <c r="N121" s="5"/>
      <c r="O121" s="5"/>
      <c r="P121" s="5">
        <f t="shared" si="10"/>
        <v>0</v>
      </c>
      <c r="Q121" s="566">
        <f t="shared" si="11"/>
        <v>0</v>
      </c>
      <c r="R121" s="567"/>
      <c r="S121" s="11"/>
    </row>
    <row r="122" spans="1:37" x14ac:dyDescent="0.2">
      <c r="A122" s="566" t="s">
        <v>229</v>
      </c>
      <c r="B122" s="567"/>
      <c r="C122" s="13"/>
      <c r="D122" s="5"/>
      <c r="E122" s="5"/>
      <c r="F122" s="5"/>
      <c r="G122" s="5"/>
      <c r="H122" s="5"/>
      <c r="I122" s="5"/>
      <c r="J122" s="5"/>
      <c r="K122" s="5"/>
      <c r="L122" s="5"/>
      <c r="M122" s="5"/>
      <c r="N122" s="5"/>
      <c r="O122" s="5"/>
      <c r="P122" s="5">
        <f t="shared" si="10"/>
        <v>0</v>
      </c>
      <c r="Q122" s="566">
        <f t="shared" si="11"/>
        <v>0</v>
      </c>
      <c r="R122" s="567"/>
      <c r="S122" s="11"/>
    </row>
    <row r="123" spans="1:37" x14ac:dyDescent="0.2">
      <c r="A123" s="566" t="s">
        <v>230</v>
      </c>
      <c r="B123" s="567"/>
      <c r="C123" s="13"/>
      <c r="D123" s="5"/>
      <c r="E123" s="5"/>
      <c r="F123" s="5"/>
      <c r="G123" s="5"/>
      <c r="H123" s="5"/>
      <c r="I123" s="5"/>
      <c r="J123" s="5"/>
      <c r="K123" s="5"/>
      <c r="L123" s="5"/>
      <c r="M123" s="5"/>
      <c r="N123" s="5"/>
      <c r="O123" s="5"/>
      <c r="P123" s="5">
        <f t="shared" si="10"/>
        <v>0</v>
      </c>
      <c r="Q123" s="566">
        <f t="shared" si="11"/>
        <v>0</v>
      </c>
      <c r="R123" s="567"/>
      <c r="S123" s="11"/>
      <c r="AK123" s="35"/>
    </row>
    <row r="124" spans="1:37" x14ac:dyDescent="0.2">
      <c r="A124" s="566" t="s">
        <v>231</v>
      </c>
      <c r="B124" s="567"/>
      <c r="C124" s="13"/>
      <c r="D124" s="5"/>
      <c r="E124" s="5"/>
      <c r="F124" s="5"/>
      <c r="G124" s="5"/>
      <c r="H124" s="5"/>
      <c r="I124" s="5"/>
      <c r="J124" s="5"/>
      <c r="K124" s="5"/>
      <c r="L124" s="5"/>
      <c r="M124" s="5"/>
      <c r="N124" s="5"/>
      <c r="O124" s="5"/>
      <c r="P124" s="5">
        <f t="shared" si="10"/>
        <v>0</v>
      </c>
      <c r="Q124" s="566">
        <f t="shared" si="11"/>
        <v>0</v>
      </c>
      <c r="R124" s="567"/>
      <c r="S124" s="11"/>
      <c r="AK124" s="3"/>
    </row>
    <row r="125" spans="1:37" x14ac:dyDescent="0.2">
      <c r="A125" s="566" t="s">
        <v>232</v>
      </c>
      <c r="B125" s="567"/>
      <c r="C125" s="13"/>
      <c r="D125" s="5"/>
      <c r="E125" s="5"/>
      <c r="F125" s="5"/>
      <c r="G125" s="5"/>
      <c r="H125" s="5"/>
      <c r="I125" s="5"/>
      <c r="J125" s="5"/>
      <c r="K125" s="5"/>
      <c r="L125" s="5"/>
      <c r="M125" s="5"/>
      <c r="N125" s="5"/>
      <c r="O125" s="5"/>
      <c r="P125" s="5">
        <f t="shared" si="10"/>
        <v>0</v>
      </c>
      <c r="Q125" s="566">
        <f>P125*0.125</f>
        <v>0</v>
      </c>
      <c r="R125" s="567"/>
      <c r="S125" s="11"/>
      <c r="AK125" s="3"/>
    </row>
    <row r="126" spans="1:37" x14ac:dyDescent="0.2">
      <c r="A126" s="566" t="s">
        <v>233</v>
      </c>
      <c r="B126" s="567"/>
      <c r="C126" s="13"/>
      <c r="D126" s="5"/>
      <c r="E126" s="5"/>
      <c r="F126" s="5"/>
      <c r="G126" s="5"/>
      <c r="H126" s="5"/>
      <c r="I126" s="5"/>
      <c r="J126" s="5"/>
      <c r="K126" s="5"/>
      <c r="L126" s="5"/>
      <c r="M126" s="5"/>
      <c r="N126" s="5"/>
      <c r="O126" s="5"/>
      <c r="P126" s="5">
        <f t="shared" si="10"/>
        <v>0</v>
      </c>
      <c r="Q126" s="566">
        <f>P126*0.125</f>
        <v>0</v>
      </c>
      <c r="R126" s="567"/>
      <c r="S126" s="11"/>
      <c r="AK126" s="3"/>
    </row>
    <row r="127" spans="1:37" x14ac:dyDescent="0.2">
      <c r="A127" s="566" t="s">
        <v>234</v>
      </c>
      <c r="B127" s="567"/>
      <c r="C127" s="13"/>
      <c r="D127" s="5"/>
      <c r="E127" s="5"/>
      <c r="F127" s="5"/>
      <c r="G127" s="5"/>
      <c r="H127" s="5"/>
      <c r="I127" s="5"/>
      <c r="J127" s="5"/>
      <c r="K127" s="5"/>
      <c r="L127" s="5"/>
      <c r="M127" s="5"/>
      <c r="N127" s="5"/>
      <c r="O127" s="5"/>
      <c r="P127" s="5">
        <f t="shared" si="10"/>
        <v>0</v>
      </c>
      <c r="Q127" s="566">
        <f>P127*0.125</f>
        <v>0</v>
      </c>
      <c r="R127" s="567"/>
      <c r="S127" s="11"/>
    </row>
    <row r="128" spans="1:37" x14ac:dyDescent="0.2">
      <c r="A128" s="571" t="s">
        <v>235</v>
      </c>
      <c r="B128" s="572"/>
      <c r="C128" s="13"/>
      <c r="D128" s="5"/>
      <c r="E128" s="5"/>
      <c r="F128" s="5"/>
      <c r="G128" s="5"/>
      <c r="H128" s="5"/>
      <c r="I128" s="5"/>
      <c r="J128" s="5"/>
      <c r="K128" s="5"/>
      <c r="L128" s="5"/>
      <c r="M128" s="5"/>
      <c r="N128" s="5"/>
      <c r="O128" s="5"/>
      <c r="P128" s="5">
        <f t="shared" si="10"/>
        <v>0</v>
      </c>
      <c r="Q128" s="566">
        <f>P128*0.125</f>
        <v>0</v>
      </c>
      <c r="R128" s="567"/>
      <c r="S128" s="11"/>
    </row>
    <row r="129" spans="1:19" x14ac:dyDescent="0.2">
      <c r="A129" s="570"/>
      <c r="B129" s="570"/>
      <c r="C129" s="570"/>
      <c r="D129" s="570"/>
      <c r="E129" s="570"/>
      <c r="F129" s="570"/>
      <c r="G129" s="570"/>
      <c r="H129" s="570"/>
      <c r="I129" s="570"/>
      <c r="J129" s="570"/>
      <c r="K129" s="570"/>
      <c r="L129" s="570"/>
      <c r="M129" s="570"/>
      <c r="N129" s="570"/>
      <c r="O129" s="570"/>
      <c r="P129" s="570"/>
      <c r="Q129" s="569">
        <f>SUM(Q117:R128)</f>
        <v>0</v>
      </c>
      <c r="R129" s="570"/>
      <c r="S129" s="11"/>
    </row>
    <row r="130" spans="1:19" x14ac:dyDescent="0.2">
      <c r="A130" s="575" t="s">
        <v>222</v>
      </c>
      <c r="B130" s="575"/>
      <c r="C130" s="575"/>
      <c r="D130" s="575"/>
      <c r="E130" s="575"/>
      <c r="F130" s="575"/>
      <c r="G130" s="575"/>
      <c r="H130" s="575"/>
      <c r="I130" s="575"/>
      <c r="J130" s="575"/>
      <c r="K130" s="575"/>
      <c r="L130" s="575"/>
      <c r="M130" s="575"/>
      <c r="N130" s="575"/>
      <c r="O130" s="575"/>
      <c r="P130" s="575"/>
      <c r="Q130" s="575"/>
      <c r="R130" s="575"/>
      <c r="S130" s="11"/>
    </row>
    <row r="131" spans="1:19" x14ac:dyDescent="0.2">
      <c r="A131" s="575"/>
      <c r="B131" s="575"/>
      <c r="C131" s="575"/>
      <c r="D131" s="575"/>
      <c r="E131" s="575"/>
      <c r="F131" s="575"/>
      <c r="G131" s="575"/>
      <c r="H131" s="575"/>
      <c r="I131" s="575"/>
      <c r="J131" s="575"/>
      <c r="K131" s="575"/>
      <c r="L131" s="575"/>
      <c r="M131" s="575"/>
      <c r="N131" s="575"/>
      <c r="O131" s="575"/>
      <c r="P131" s="575"/>
      <c r="Q131" s="575"/>
      <c r="R131" s="575"/>
      <c r="S131" s="11"/>
    </row>
    <row r="132" spans="1:19" x14ac:dyDescent="0.2">
      <c r="A132" s="558" t="str">
        <f>'2 - Serviços'!$A$7</f>
        <v>MANUTENÇÃO E CONSERVAÇÃO DAS PONTES DE MADEIRA</v>
      </c>
      <c r="B132" s="559"/>
      <c r="C132" s="559"/>
      <c r="D132" s="559"/>
      <c r="E132" s="559"/>
      <c r="F132" s="559"/>
      <c r="G132" s="559"/>
      <c r="H132" s="559"/>
      <c r="I132" s="559"/>
      <c r="J132" s="559"/>
      <c r="K132" s="559"/>
      <c r="L132" s="559"/>
      <c r="M132" s="559"/>
      <c r="N132" s="559"/>
      <c r="O132" s="559"/>
      <c r="P132" s="559"/>
      <c r="Q132" s="559"/>
      <c r="R132" s="559"/>
      <c r="S132" s="11"/>
    </row>
    <row r="133" spans="1:19" x14ac:dyDescent="0.2">
      <c r="A133" s="46" t="s">
        <v>80</v>
      </c>
      <c r="B133" s="548" t="s">
        <v>236</v>
      </c>
      <c r="C133" s="548"/>
      <c r="D133" s="548"/>
      <c r="E133" s="548"/>
      <c r="F133" s="46" t="s">
        <v>220</v>
      </c>
      <c r="G133" s="548" t="s">
        <v>216</v>
      </c>
      <c r="H133" s="548"/>
      <c r="I133" s="548"/>
      <c r="J133" s="548" t="s">
        <v>217</v>
      </c>
      <c r="K133" s="548"/>
      <c r="L133" s="548"/>
      <c r="M133" s="548" t="s">
        <v>218</v>
      </c>
      <c r="N133" s="548"/>
      <c r="O133" s="548"/>
      <c r="P133" s="548" t="s">
        <v>219</v>
      </c>
      <c r="Q133" s="548"/>
      <c r="R133" s="548"/>
      <c r="S133" s="11"/>
    </row>
    <row r="134" spans="1:19" x14ac:dyDescent="0.2">
      <c r="A134" s="7"/>
      <c r="B134" s="552"/>
      <c r="C134" s="552"/>
      <c r="D134" s="552"/>
      <c r="E134" s="552"/>
      <c r="F134" s="49"/>
      <c r="G134" s="552"/>
      <c r="H134" s="552"/>
      <c r="I134" s="552"/>
      <c r="J134" s="552"/>
      <c r="K134" s="552"/>
      <c r="L134" s="552"/>
      <c r="M134" s="552"/>
      <c r="N134" s="552"/>
      <c r="O134" s="552"/>
      <c r="P134" s="568"/>
      <c r="Q134" s="568"/>
      <c r="R134" s="568"/>
      <c r="S134" s="11"/>
    </row>
    <row r="135" spans="1:19" x14ac:dyDescent="0.2">
      <c r="A135" s="548" t="s">
        <v>169</v>
      </c>
      <c r="B135" s="548"/>
      <c r="C135" s="46" t="s">
        <v>8</v>
      </c>
      <c r="D135" s="46" t="s">
        <v>9</v>
      </c>
      <c r="E135" s="46" t="s">
        <v>18</v>
      </c>
      <c r="F135" s="46" t="s">
        <v>72</v>
      </c>
      <c r="G135" s="46" t="s">
        <v>11</v>
      </c>
      <c r="H135" s="46" t="s">
        <v>19</v>
      </c>
      <c r="I135" s="46" t="s">
        <v>20</v>
      </c>
      <c r="J135" s="46" t="s">
        <v>14</v>
      </c>
      <c r="K135" s="46" t="s">
        <v>21</v>
      </c>
      <c r="L135" s="46" t="s">
        <v>22</v>
      </c>
      <c r="M135" s="46" t="s">
        <v>23</v>
      </c>
      <c r="N135" s="46" t="s">
        <v>24</v>
      </c>
      <c r="O135" s="46" t="s">
        <v>16</v>
      </c>
      <c r="P135" s="46" t="s">
        <v>81</v>
      </c>
      <c r="Q135" s="548" t="s">
        <v>221</v>
      </c>
      <c r="R135" s="548"/>
      <c r="S135" s="11"/>
    </row>
    <row r="136" spans="1:19" x14ac:dyDescent="0.2">
      <c r="A136" s="573" t="s">
        <v>224</v>
      </c>
      <c r="B136" s="574"/>
      <c r="C136" s="13"/>
      <c r="D136" s="5"/>
      <c r="E136" s="5"/>
      <c r="F136" s="5"/>
      <c r="G136" s="5"/>
      <c r="H136" s="5"/>
      <c r="I136" s="5"/>
      <c r="J136" s="5"/>
      <c r="K136" s="5"/>
      <c r="L136" s="5"/>
      <c r="M136" s="5"/>
      <c r="N136" s="5"/>
      <c r="O136" s="5"/>
      <c r="P136" s="5">
        <f>SUM(C136:O136)</f>
        <v>0</v>
      </c>
      <c r="Q136" s="573">
        <f>P136</f>
        <v>0</v>
      </c>
      <c r="R136" s="574"/>
      <c r="S136" s="11"/>
    </row>
    <row r="137" spans="1:19" x14ac:dyDescent="0.2">
      <c r="A137" s="566" t="s">
        <v>225</v>
      </c>
      <c r="B137" s="567"/>
      <c r="C137" s="13"/>
      <c r="D137" s="5"/>
      <c r="E137" s="5"/>
      <c r="F137" s="5"/>
      <c r="G137" s="5"/>
      <c r="H137" s="5"/>
      <c r="I137" s="5"/>
      <c r="J137" s="5"/>
      <c r="K137" s="5"/>
      <c r="L137" s="5"/>
      <c r="M137" s="5"/>
      <c r="N137" s="5"/>
      <c r="O137" s="5"/>
      <c r="P137" s="5">
        <f t="shared" ref="P137:P147" si="12">SUM(C137:O137)</f>
        <v>0</v>
      </c>
      <c r="Q137" s="566">
        <f t="shared" ref="Q137:Q143" si="13">P137</f>
        <v>0</v>
      </c>
      <c r="R137" s="567"/>
      <c r="S137" s="11"/>
    </row>
    <row r="138" spans="1:19" x14ac:dyDescent="0.2">
      <c r="A138" s="566" t="s">
        <v>226</v>
      </c>
      <c r="B138" s="567"/>
      <c r="C138" s="13"/>
      <c r="D138" s="5"/>
      <c r="E138" s="5"/>
      <c r="F138" s="5"/>
      <c r="G138" s="5"/>
      <c r="H138" s="5"/>
      <c r="I138" s="5"/>
      <c r="J138" s="5"/>
      <c r="K138" s="5"/>
      <c r="L138" s="5"/>
      <c r="M138" s="5"/>
      <c r="N138" s="5"/>
      <c r="O138" s="5"/>
      <c r="P138" s="5">
        <f t="shared" si="12"/>
        <v>0</v>
      </c>
      <c r="Q138" s="566">
        <f t="shared" si="13"/>
        <v>0</v>
      </c>
      <c r="R138" s="567"/>
      <c r="S138" s="11"/>
    </row>
    <row r="139" spans="1:19" x14ac:dyDescent="0.2">
      <c r="A139" s="566" t="s">
        <v>227</v>
      </c>
      <c r="B139" s="567"/>
      <c r="C139" s="13"/>
      <c r="D139" s="5"/>
      <c r="E139" s="5"/>
      <c r="F139" s="5"/>
      <c r="G139" s="5"/>
      <c r="H139" s="5"/>
      <c r="I139" s="5"/>
      <c r="J139" s="5"/>
      <c r="K139" s="5"/>
      <c r="L139" s="5"/>
      <c r="M139" s="5"/>
      <c r="N139" s="5"/>
      <c r="O139" s="5"/>
      <c r="P139" s="5">
        <f t="shared" si="12"/>
        <v>0</v>
      </c>
      <c r="Q139" s="566">
        <f t="shared" si="13"/>
        <v>0</v>
      </c>
      <c r="R139" s="567"/>
      <c r="S139" s="11"/>
    </row>
    <row r="140" spans="1:19" x14ac:dyDescent="0.2">
      <c r="A140" s="566" t="s">
        <v>228</v>
      </c>
      <c r="B140" s="567"/>
      <c r="C140" s="13"/>
      <c r="D140" s="5"/>
      <c r="E140" s="5"/>
      <c r="F140" s="5"/>
      <c r="G140" s="5"/>
      <c r="H140" s="5"/>
      <c r="I140" s="5"/>
      <c r="J140" s="5"/>
      <c r="K140" s="5"/>
      <c r="L140" s="5"/>
      <c r="M140" s="5"/>
      <c r="N140" s="5"/>
      <c r="O140" s="5"/>
      <c r="P140" s="5">
        <f t="shared" si="12"/>
        <v>0</v>
      </c>
      <c r="Q140" s="566">
        <f t="shared" si="13"/>
        <v>0</v>
      </c>
      <c r="R140" s="567"/>
      <c r="S140" s="11"/>
    </row>
    <row r="141" spans="1:19" x14ac:dyDescent="0.2">
      <c r="A141" s="566" t="s">
        <v>229</v>
      </c>
      <c r="B141" s="567"/>
      <c r="C141" s="13"/>
      <c r="D141" s="5"/>
      <c r="E141" s="5"/>
      <c r="F141" s="5"/>
      <c r="G141" s="5"/>
      <c r="H141" s="5"/>
      <c r="I141" s="5"/>
      <c r="J141" s="5"/>
      <c r="K141" s="5"/>
      <c r="L141" s="5"/>
      <c r="M141" s="5"/>
      <c r="N141" s="5"/>
      <c r="O141" s="5"/>
      <c r="P141" s="5">
        <f t="shared" si="12"/>
        <v>0</v>
      </c>
      <c r="Q141" s="566">
        <f t="shared" si="13"/>
        <v>0</v>
      </c>
      <c r="R141" s="567"/>
      <c r="S141" s="11"/>
    </row>
    <row r="142" spans="1:19" x14ac:dyDescent="0.2">
      <c r="A142" s="566" t="s">
        <v>230</v>
      </c>
      <c r="B142" s="567"/>
      <c r="C142" s="13"/>
      <c r="D142" s="5"/>
      <c r="E142" s="5"/>
      <c r="F142" s="5"/>
      <c r="G142" s="5"/>
      <c r="H142" s="5"/>
      <c r="I142" s="5"/>
      <c r="J142" s="5"/>
      <c r="K142" s="5"/>
      <c r="L142" s="5"/>
      <c r="M142" s="5"/>
      <c r="N142" s="5"/>
      <c r="O142" s="5"/>
      <c r="P142" s="5">
        <f t="shared" si="12"/>
        <v>0</v>
      </c>
      <c r="Q142" s="566">
        <f t="shared" si="13"/>
        <v>0</v>
      </c>
      <c r="R142" s="567"/>
      <c r="S142" s="11"/>
    </row>
    <row r="143" spans="1:19" x14ac:dyDescent="0.2">
      <c r="A143" s="566" t="s">
        <v>231</v>
      </c>
      <c r="B143" s="567"/>
      <c r="C143" s="13"/>
      <c r="D143" s="5"/>
      <c r="E143" s="5"/>
      <c r="F143" s="5"/>
      <c r="G143" s="5"/>
      <c r="H143" s="5"/>
      <c r="I143" s="5"/>
      <c r="J143" s="5"/>
      <c r="K143" s="5"/>
      <c r="L143" s="5"/>
      <c r="M143" s="5"/>
      <c r="N143" s="5"/>
      <c r="O143" s="5"/>
      <c r="P143" s="5">
        <f t="shared" si="12"/>
        <v>0</v>
      </c>
      <c r="Q143" s="566">
        <f t="shared" si="13"/>
        <v>0</v>
      </c>
      <c r="R143" s="567"/>
      <c r="S143" s="11"/>
    </row>
    <row r="144" spans="1:19" x14ac:dyDescent="0.2">
      <c r="A144" s="566" t="s">
        <v>232</v>
      </c>
      <c r="B144" s="567"/>
      <c r="C144" s="13"/>
      <c r="D144" s="5"/>
      <c r="E144" s="5"/>
      <c r="F144" s="5"/>
      <c r="G144" s="5"/>
      <c r="H144" s="5"/>
      <c r="I144" s="5"/>
      <c r="J144" s="5"/>
      <c r="K144" s="5"/>
      <c r="L144" s="5"/>
      <c r="M144" s="5"/>
      <c r="N144" s="5"/>
      <c r="O144" s="5"/>
      <c r="P144" s="5">
        <f t="shared" si="12"/>
        <v>0</v>
      </c>
      <c r="Q144" s="566">
        <f>P144*0.125</f>
        <v>0</v>
      </c>
      <c r="R144" s="567"/>
      <c r="S144" s="11"/>
    </row>
    <row r="145" spans="1:19" x14ac:dyDescent="0.2">
      <c r="A145" s="566" t="s">
        <v>233</v>
      </c>
      <c r="B145" s="567"/>
      <c r="C145" s="13"/>
      <c r="D145" s="5"/>
      <c r="E145" s="5"/>
      <c r="F145" s="5"/>
      <c r="G145" s="5"/>
      <c r="H145" s="5"/>
      <c r="I145" s="5"/>
      <c r="J145" s="5"/>
      <c r="K145" s="5"/>
      <c r="L145" s="5"/>
      <c r="M145" s="5"/>
      <c r="N145" s="5"/>
      <c r="O145" s="5"/>
      <c r="P145" s="5">
        <f t="shared" si="12"/>
        <v>0</v>
      </c>
      <c r="Q145" s="566">
        <f>P145*0.125</f>
        <v>0</v>
      </c>
      <c r="R145" s="567"/>
      <c r="S145" s="11"/>
    </row>
    <row r="146" spans="1:19" x14ac:dyDescent="0.2">
      <c r="A146" s="566" t="s">
        <v>234</v>
      </c>
      <c r="B146" s="567"/>
      <c r="C146" s="13"/>
      <c r="D146" s="5"/>
      <c r="E146" s="5"/>
      <c r="F146" s="5"/>
      <c r="G146" s="5"/>
      <c r="H146" s="5"/>
      <c r="I146" s="5"/>
      <c r="J146" s="5"/>
      <c r="K146" s="5"/>
      <c r="L146" s="5"/>
      <c r="M146" s="5"/>
      <c r="N146" s="5"/>
      <c r="O146" s="5"/>
      <c r="P146" s="5">
        <f t="shared" si="12"/>
        <v>0</v>
      </c>
      <c r="Q146" s="566">
        <f>P146*0.125</f>
        <v>0</v>
      </c>
      <c r="R146" s="567"/>
      <c r="S146" s="11"/>
    </row>
    <row r="147" spans="1:19" x14ac:dyDescent="0.2">
      <c r="A147" s="571" t="s">
        <v>235</v>
      </c>
      <c r="B147" s="572"/>
      <c r="C147" s="13"/>
      <c r="D147" s="5"/>
      <c r="E147" s="5"/>
      <c r="F147" s="5"/>
      <c r="G147" s="5"/>
      <c r="H147" s="5"/>
      <c r="I147" s="5"/>
      <c r="J147" s="5"/>
      <c r="K147" s="5"/>
      <c r="L147" s="5"/>
      <c r="M147" s="5"/>
      <c r="N147" s="5"/>
      <c r="O147" s="5"/>
      <c r="P147" s="5">
        <f t="shared" si="12"/>
        <v>0</v>
      </c>
      <c r="Q147" s="566">
        <f>P147*0.125</f>
        <v>0</v>
      </c>
      <c r="R147" s="567"/>
      <c r="S147" s="11"/>
    </row>
    <row r="148" spans="1:19" x14ac:dyDescent="0.2">
      <c r="A148" s="570"/>
      <c r="B148" s="570"/>
      <c r="C148" s="570"/>
      <c r="D148" s="570"/>
      <c r="E148" s="570"/>
      <c r="F148" s="570"/>
      <c r="G148" s="570"/>
      <c r="H148" s="570"/>
      <c r="I148" s="570"/>
      <c r="J148" s="570"/>
      <c r="K148" s="570"/>
      <c r="L148" s="570"/>
      <c r="M148" s="570"/>
      <c r="N148" s="570"/>
      <c r="O148" s="570"/>
      <c r="P148" s="570"/>
      <c r="Q148" s="569">
        <f>SUM(Q136:R147)</f>
        <v>0</v>
      </c>
      <c r="R148" s="570"/>
      <c r="S148" s="11"/>
    </row>
    <row r="149" spans="1:19" x14ac:dyDescent="0.2">
      <c r="A149" s="575" t="s">
        <v>222</v>
      </c>
      <c r="B149" s="575"/>
      <c r="C149" s="575"/>
      <c r="D149" s="575"/>
      <c r="E149" s="575"/>
      <c r="F149" s="575"/>
      <c r="G149" s="575"/>
      <c r="H149" s="575"/>
      <c r="I149" s="575"/>
      <c r="J149" s="575"/>
      <c r="K149" s="575"/>
      <c r="L149" s="575"/>
      <c r="M149" s="575"/>
      <c r="N149" s="575"/>
      <c r="O149" s="575"/>
      <c r="P149" s="575"/>
      <c r="Q149" s="575"/>
      <c r="R149" s="575"/>
      <c r="S149" s="11"/>
    </row>
    <row r="150" spans="1:19" x14ac:dyDescent="0.2">
      <c r="A150" s="575"/>
      <c r="B150" s="575"/>
      <c r="C150" s="575"/>
      <c r="D150" s="575"/>
      <c r="E150" s="575"/>
      <c r="F150" s="575"/>
      <c r="G150" s="575"/>
      <c r="H150" s="575"/>
      <c r="I150" s="575"/>
      <c r="J150" s="575"/>
      <c r="K150" s="575"/>
      <c r="L150" s="575"/>
      <c r="M150" s="575"/>
      <c r="N150" s="575"/>
      <c r="O150" s="575"/>
      <c r="P150" s="575"/>
      <c r="Q150" s="575"/>
      <c r="R150" s="575"/>
      <c r="S150" s="11"/>
    </row>
    <row r="151" spans="1:19" s="37" customFormat="1" ht="13.15" customHeight="1" x14ac:dyDescent="0.25">
      <c r="A151" s="38" t="s">
        <v>184</v>
      </c>
      <c r="B151" s="39"/>
      <c r="C151" s="39"/>
      <c r="D151" s="39"/>
      <c r="E151" s="39"/>
      <c r="F151" s="39"/>
      <c r="G151" s="39"/>
      <c r="H151" s="40"/>
      <c r="I151" s="38"/>
      <c r="J151" s="39"/>
      <c r="K151" s="39"/>
      <c r="L151" s="41"/>
      <c r="M151" s="38"/>
      <c r="N151" s="39"/>
      <c r="O151" s="39"/>
      <c r="P151" s="63"/>
      <c r="Q151" s="63"/>
      <c r="R151" s="62"/>
    </row>
    <row r="152" spans="1:19" s="37" customFormat="1" ht="13.15" customHeight="1" x14ac:dyDescent="0.25">
      <c r="A152" s="42"/>
      <c r="B152" s="56"/>
      <c r="C152" s="56"/>
      <c r="D152" s="56"/>
      <c r="E152" s="56"/>
      <c r="F152" s="56"/>
      <c r="G152" s="56"/>
      <c r="H152" s="57"/>
      <c r="I152" s="42"/>
      <c r="J152" s="56"/>
      <c r="K152" s="56"/>
      <c r="L152" s="43"/>
      <c r="M152" s="42"/>
      <c r="N152" s="56"/>
      <c r="O152" s="56"/>
      <c r="R152" s="61"/>
    </row>
    <row r="153" spans="1:19" s="37" customFormat="1" ht="13.15" customHeight="1" x14ac:dyDescent="0.25">
      <c r="A153" s="42"/>
      <c r="B153" s="56"/>
      <c r="C153" s="56"/>
      <c r="D153" s="56"/>
      <c r="E153" s="56"/>
      <c r="F153" s="56"/>
      <c r="G153" s="56"/>
      <c r="H153" s="57"/>
      <c r="I153" s="42"/>
      <c r="J153" s="56"/>
      <c r="K153" s="56"/>
      <c r="L153" s="43"/>
      <c r="M153" s="42"/>
      <c r="N153" s="56"/>
      <c r="O153" s="56"/>
      <c r="R153" s="61"/>
    </row>
    <row r="154" spans="1:19" s="37" customFormat="1" ht="13.15" customHeight="1" x14ac:dyDescent="0.25">
      <c r="A154" s="42"/>
      <c r="B154" s="56"/>
      <c r="C154" s="56"/>
      <c r="D154" s="56"/>
      <c r="E154" s="56"/>
      <c r="F154" s="56"/>
      <c r="G154" s="56"/>
      <c r="H154" s="57"/>
      <c r="I154" s="581" t="s">
        <v>261</v>
      </c>
      <c r="J154" s="582"/>
      <c r="K154" s="582"/>
      <c r="L154" s="583"/>
      <c r="M154" s="581" t="s">
        <v>260</v>
      </c>
      <c r="N154" s="582"/>
      <c r="O154" s="582"/>
      <c r="P154" s="582"/>
      <c r="Q154" s="582"/>
      <c r="R154" s="583"/>
    </row>
    <row r="155" spans="1:19" s="37" customFormat="1" ht="13.15" customHeight="1" thickBot="1" x14ac:dyDescent="0.3">
      <c r="A155" s="58"/>
      <c r="B155" s="59"/>
      <c r="C155" s="59"/>
      <c r="D155" s="59"/>
      <c r="E155" s="59"/>
      <c r="F155" s="59"/>
      <c r="G155" s="59"/>
      <c r="H155" s="60"/>
      <c r="I155" s="584" t="s">
        <v>262</v>
      </c>
      <c r="J155" s="585"/>
      <c r="K155" s="585"/>
      <c r="L155" s="586"/>
      <c r="M155" s="587" t="s">
        <v>264</v>
      </c>
      <c r="N155" s="588"/>
      <c r="O155" s="588"/>
      <c r="P155" s="588"/>
      <c r="Q155" s="588"/>
      <c r="R155" s="589"/>
    </row>
    <row r="156" spans="1:19" x14ac:dyDescent="0.2">
      <c r="A156" s="558" t="str">
        <f>'2 - Serviços'!$A$7</f>
        <v>MANUTENÇÃO E CONSERVAÇÃO DAS PONTES DE MADEIRA</v>
      </c>
      <c r="B156" s="559"/>
      <c r="C156" s="559"/>
      <c r="D156" s="559"/>
      <c r="E156" s="559"/>
      <c r="F156" s="559"/>
      <c r="G156" s="559"/>
      <c r="H156" s="559"/>
      <c r="I156" s="559"/>
      <c r="J156" s="559"/>
      <c r="K156" s="559"/>
      <c r="L156" s="559"/>
      <c r="M156" s="559"/>
      <c r="N156" s="559"/>
      <c r="O156" s="559"/>
      <c r="P156" s="559"/>
      <c r="Q156" s="559"/>
      <c r="R156" s="559"/>
      <c r="S156" s="11"/>
    </row>
    <row r="157" spans="1:19" x14ac:dyDescent="0.2">
      <c r="A157" s="46" t="s">
        <v>80</v>
      </c>
      <c r="B157" s="548" t="s">
        <v>236</v>
      </c>
      <c r="C157" s="548"/>
      <c r="D157" s="548"/>
      <c r="E157" s="548"/>
      <c r="F157" s="46" t="s">
        <v>220</v>
      </c>
      <c r="G157" s="548" t="s">
        <v>216</v>
      </c>
      <c r="H157" s="548"/>
      <c r="I157" s="548"/>
      <c r="J157" s="548" t="s">
        <v>217</v>
      </c>
      <c r="K157" s="548"/>
      <c r="L157" s="548"/>
      <c r="M157" s="548" t="s">
        <v>218</v>
      </c>
      <c r="N157" s="548"/>
      <c r="O157" s="548"/>
      <c r="P157" s="548" t="s">
        <v>219</v>
      </c>
      <c r="Q157" s="548"/>
      <c r="R157" s="548"/>
      <c r="S157" s="11"/>
    </row>
    <row r="158" spans="1:19" x14ac:dyDescent="0.2">
      <c r="A158" s="7"/>
      <c r="B158" s="552"/>
      <c r="C158" s="552"/>
      <c r="D158" s="552"/>
      <c r="E158" s="552"/>
      <c r="F158" s="49"/>
      <c r="G158" s="552"/>
      <c r="H158" s="552"/>
      <c r="I158" s="552"/>
      <c r="J158" s="552"/>
      <c r="K158" s="552"/>
      <c r="L158" s="552"/>
      <c r="M158" s="552"/>
      <c r="N158" s="552"/>
      <c r="O158" s="552"/>
      <c r="P158" s="568"/>
      <c r="Q158" s="568"/>
      <c r="R158" s="568"/>
      <c r="S158" s="11"/>
    </row>
    <row r="159" spans="1:19" x14ac:dyDescent="0.2">
      <c r="A159" s="548" t="s">
        <v>169</v>
      </c>
      <c r="B159" s="548"/>
      <c r="C159" s="46" t="s">
        <v>8</v>
      </c>
      <c r="D159" s="46" t="s">
        <v>9</v>
      </c>
      <c r="E159" s="46" t="s">
        <v>18</v>
      </c>
      <c r="F159" s="46" t="s">
        <v>72</v>
      </c>
      <c r="G159" s="46" t="s">
        <v>11</v>
      </c>
      <c r="H159" s="46" t="s">
        <v>19</v>
      </c>
      <c r="I159" s="46" t="s">
        <v>20</v>
      </c>
      <c r="J159" s="46" t="s">
        <v>14</v>
      </c>
      <c r="K159" s="46" t="s">
        <v>21</v>
      </c>
      <c r="L159" s="46" t="s">
        <v>22</v>
      </c>
      <c r="M159" s="46" t="s">
        <v>23</v>
      </c>
      <c r="N159" s="46" t="s">
        <v>24</v>
      </c>
      <c r="O159" s="46" t="s">
        <v>16</v>
      </c>
      <c r="P159" s="46" t="s">
        <v>81</v>
      </c>
      <c r="Q159" s="548" t="s">
        <v>221</v>
      </c>
      <c r="R159" s="548"/>
      <c r="S159" s="11"/>
    </row>
    <row r="160" spans="1:19" x14ac:dyDescent="0.2">
      <c r="A160" s="573" t="s">
        <v>224</v>
      </c>
      <c r="B160" s="574"/>
      <c r="C160" s="13"/>
      <c r="D160" s="5"/>
      <c r="E160" s="5"/>
      <c r="F160" s="5"/>
      <c r="G160" s="5"/>
      <c r="H160" s="5"/>
      <c r="I160" s="5"/>
      <c r="J160" s="5"/>
      <c r="K160" s="5"/>
      <c r="L160" s="5"/>
      <c r="M160" s="5"/>
      <c r="N160" s="5"/>
      <c r="O160" s="5"/>
      <c r="P160" s="5">
        <f>SUM(C160:O160)</f>
        <v>0</v>
      </c>
      <c r="Q160" s="573">
        <f>P160</f>
        <v>0</v>
      </c>
      <c r="R160" s="574"/>
      <c r="S160" s="11"/>
    </row>
    <row r="161" spans="1:19" x14ac:dyDescent="0.2">
      <c r="A161" s="566" t="s">
        <v>225</v>
      </c>
      <c r="B161" s="567"/>
      <c r="C161" s="13"/>
      <c r="D161" s="5"/>
      <c r="E161" s="5"/>
      <c r="F161" s="5"/>
      <c r="G161" s="5"/>
      <c r="H161" s="5"/>
      <c r="I161" s="5"/>
      <c r="J161" s="5"/>
      <c r="K161" s="5"/>
      <c r="L161" s="5"/>
      <c r="M161" s="5"/>
      <c r="N161" s="5"/>
      <c r="O161" s="5"/>
      <c r="P161" s="5">
        <f t="shared" ref="P161:P171" si="14">SUM(C161:O161)</f>
        <v>0</v>
      </c>
      <c r="Q161" s="566">
        <f t="shared" ref="Q161:Q167" si="15">P161</f>
        <v>0</v>
      </c>
      <c r="R161" s="567"/>
      <c r="S161" s="11"/>
    </row>
    <row r="162" spans="1:19" x14ac:dyDescent="0.2">
      <c r="A162" s="566" t="s">
        <v>226</v>
      </c>
      <c r="B162" s="567"/>
      <c r="C162" s="13"/>
      <c r="D162" s="5"/>
      <c r="E162" s="5"/>
      <c r="F162" s="5"/>
      <c r="G162" s="5"/>
      <c r="H162" s="5"/>
      <c r="I162" s="5"/>
      <c r="J162" s="5"/>
      <c r="K162" s="5"/>
      <c r="L162" s="5"/>
      <c r="M162" s="5"/>
      <c r="N162" s="5"/>
      <c r="O162" s="5"/>
      <c r="P162" s="5">
        <f t="shared" si="14"/>
        <v>0</v>
      </c>
      <c r="Q162" s="566">
        <f t="shared" si="15"/>
        <v>0</v>
      </c>
      <c r="R162" s="567"/>
      <c r="S162" s="11"/>
    </row>
    <row r="163" spans="1:19" x14ac:dyDescent="0.2">
      <c r="A163" s="566" t="s">
        <v>227</v>
      </c>
      <c r="B163" s="567"/>
      <c r="C163" s="13"/>
      <c r="D163" s="5"/>
      <c r="E163" s="5"/>
      <c r="F163" s="5"/>
      <c r="G163" s="5"/>
      <c r="H163" s="5"/>
      <c r="I163" s="5"/>
      <c r="J163" s="5"/>
      <c r="K163" s="5"/>
      <c r="L163" s="5"/>
      <c r="M163" s="5"/>
      <c r="N163" s="5"/>
      <c r="O163" s="5"/>
      <c r="P163" s="5">
        <f t="shared" si="14"/>
        <v>0</v>
      </c>
      <c r="Q163" s="566">
        <f t="shared" si="15"/>
        <v>0</v>
      </c>
      <c r="R163" s="567"/>
      <c r="S163" s="11"/>
    </row>
    <row r="164" spans="1:19" x14ac:dyDescent="0.2">
      <c r="A164" s="566" t="s">
        <v>228</v>
      </c>
      <c r="B164" s="567"/>
      <c r="C164" s="13"/>
      <c r="D164" s="5"/>
      <c r="E164" s="5"/>
      <c r="F164" s="5"/>
      <c r="G164" s="5"/>
      <c r="H164" s="5"/>
      <c r="I164" s="5"/>
      <c r="J164" s="5"/>
      <c r="K164" s="5"/>
      <c r="L164" s="5"/>
      <c r="M164" s="5"/>
      <c r="N164" s="5"/>
      <c r="O164" s="5"/>
      <c r="P164" s="5">
        <f t="shared" si="14"/>
        <v>0</v>
      </c>
      <c r="Q164" s="566">
        <f t="shared" si="15"/>
        <v>0</v>
      </c>
      <c r="R164" s="567"/>
      <c r="S164" s="11"/>
    </row>
    <row r="165" spans="1:19" x14ac:dyDescent="0.2">
      <c r="A165" s="566" t="s">
        <v>229</v>
      </c>
      <c r="B165" s="567"/>
      <c r="C165" s="13"/>
      <c r="D165" s="5"/>
      <c r="E165" s="5"/>
      <c r="F165" s="5"/>
      <c r="G165" s="5"/>
      <c r="H165" s="5"/>
      <c r="I165" s="5"/>
      <c r="J165" s="5"/>
      <c r="K165" s="5"/>
      <c r="L165" s="5"/>
      <c r="M165" s="5"/>
      <c r="N165" s="5"/>
      <c r="O165" s="5"/>
      <c r="P165" s="5">
        <f t="shared" si="14"/>
        <v>0</v>
      </c>
      <c r="Q165" s="566">
        <f t="shared" si="15"/>
        <v>0</v>
      </c>
      <c r="R165" s="567"/>
      <c r="S165" s="11"/>
    </row>
    <row r="166" spans="1:19" x14ac:dyDescent="0.2">
      <c r="A166" s="566" t="s">
        <v>230</v>
      </c>
      <c r="B166" s="567"/>
      <c r="C166" s="13"/>
      <c r="D166" s="5"/>
      <c r="E166" s="5"/>
      <c r="F166" s="5"/>
      <c r="G166" s="5"/>
      <c r="H166" s="5"/>
      <c r="I166" s="5"/>
      <c r="J166" s="5"/>
      <c r="K166" s="5"/>
      <c r="L166" s="5"/>
      <c r="M166" s="5"/>
      <c r="N166" s="5"/>
      <c r="O166" s="5"/>
      <c r="P166" s="5">
        <f t="shared" si="14"/>
        <v>0</v>
      </c>
      <c r="Q166" s="566">
        <f t="shared" si="15"/>
        <v>0</v>
      </c>
      <c r="R166" s="567"/>
      <c r="S166" s="11"/>
    </row>
    <row r="167" spans="1:19" x14ac:dyDescent="0.2">
      <c r="A167" s="566" t="s">
        <v>231</v>
      </c>
      <c r="B167" s="567"/>
      <c r="C167" s="13"/>
      <c r="D167" s="5"/>
      <c r="E167" s="5"/>
      <c r="F167" s="5"/>
      <c r="G167" s="5"/>
      <c r="H167" s="5"/>
      <c r="I167" s="5"/>
      <c r="J167" s="5"/>
      <c r="K167" s="5"/>
      <c r="L167" s="5"/>
      <c r="M167" s="5"/>
      <c r="N167" s="5"/>
      <c r="O167" s="5"/>
      <c r="P167" s="5">
        <f t="shared" si="14"/>
        <v>0</v>
      </c>
      <c r="Q167" s="566">
        <f t="shared" si="15"/>
        <v>0</v>
      </c>
      <c r="R167" s="567"/>
      <c r="S167" s="11"/>
    </row>
    <row r="168" spans="1:19" x14ac:dyDescent="0.2">
      <c r="A168" s="566" t="s">
        <v>232</v>
      </c>
      <c r="B168" s="567"/>
      <c r="C168" s="13"/>
      <c r="D168" s="5"/>
      <c r="E168" s="5"/>
      <c r="F168" s="5"/>
      <c r="G168" s="5"/>
      <c r="H168" s="5"/>
      <c r="I168" s="5"/>
      <c r="J168" s="5"/>
      <c r="K168" s="5"/>
      <c r="L168" s="5"/>
      <c r="M168" s="5"/>
      <c r="N168" s="5"/>
      <c r="O168" s="5"/>
      <c r="P168" s="5">
        <f t="shared" si="14"/>
        <v>0</v>
      </c>
      <c r="Q168" s="566">
        <f>P168*0.125</f>
        <v>0</v>
      </c>
      <c r="R168" s="567"/>
      <c r="S168" s="11"/>
    </row>
    <row r="169" spans="1:19" x14ac:dyDescent="0.2">
      <c r="A169" s="566" t="s">
        <v>233</v>
      </c>
      <c r="B169" s="567"/>
      <c r="C169" s="13"/>
      <c r="D169" s="5"/>
      <c r="E169" s="5"/>
      <c r="F169" s="5"/>
      <c r="G169" s="5"/>
      <c r="H169" s="5"/>
      <c r="I169" s="5"/>
      <c r="J169" s="5"/>
      <c r="K169" s="5"/>
      <c r="L169" s="5"/>
      <c r="M169" s="5"/>
      <c r="N169" s="5"/>
      <c r="O169" s="5"/>
      <c r="P169" s="5">
        <f t="shared" si="14"/>
        <v>0</v>
      </c>
      <c r="Q169" s="566">
        <f>P169*0.125</f>
        <v>0</v>
      </c>
      <c r="R169" s="567"/>
      <c r="S169" s="11"/>
    </row>
    <row r="170" spans="1:19" x14ac:dyDescent="0.2">
      <c r="A170" s="566" t="s">
        <v>234</v>
      </c>
      <c r="B170" s="567"/>
      <c r="C170" s="13"/>
      <c r="D170" s="5"/>
      <c r="E170" s="5"/>
      <c r="F170" s="5"/>
      <c r="G170" s="5"/>
      <c r="H170" s="5"/>
      <c r="I170" s="5"/>
      <c r="J170" s="5"/>
      <c r="K170" s="5"/>
      <c r="L170" s="5"/>
      <c r="M170" s="5"/>
      <c r="N170" s="5"/>
      <c r="O170" s="5"/>
      <c r="P170" s="5">
        <f t="shared" si="14"/>
        <v>0</v>
      </c>
      <c r="Q170" s="566">
        <f>P170*0.125</f>
        <v>0</v>
      </c>
      <c r="R170" s="567"/>
      <c r="S170" s="11"/>
    </row>
    <row r="171" spans="1:19" x14ac:dyDescent="0.2">
      <c r="A171" s="571" t="s">
        <v>235</v>
      </c>
      <c r="B171" s="572"/>
      <c r="C171" s="13"/>
      <c r="D171" s="5"/>
      <c r="E171" s="5"/>
      <c r="F171" s="5"/>
      <c r="G171" s="5"/>
      <c r="H171" s="5"/>
      <c r="I171" s="5"/>
      <c r="J171" s="5"/>
      <c r="K171" s="5"/>
      <c r="L171" s="5"/>
      <c r="M171" s="5"/>
      <c r="N171" s="5"/>
      <c r="O171" s="5"/>
      <c r="P171" s="5">
        <f t="shared" si="14"/>
        <v>0</v>
      </c>
      <c r="Q171" s="566">
        <f>P171*0.125</f>
        <v>0</v>
      </c>
      <c r="R171" s="567"/>
      <c r="S171" s="11"/>
    </row>
    <row r="172" spans="1:19" x14ac:dyDescent="0.2">
      <c r="A172" s="570"/>
      <c r="B172" s="570"/>
      <c r="C172" s="570"/>
      <c r="D172" s="570"/>
      <c r="E172" s="570"/>
      <c r="F172" s="570"/>
      <c r="G172" s="570"/>
      <c r="H172" s="570"/>
      <c r="I172" s="570"/>
      <c r="J172" s="570"/>
      <c r="K172" s="570"/>
      <c r="L172" s="570"/>
      <c r="M172" s="570"/>
      <c r="N172" s="570"/>
      <c r="O172" s="570"/>
      <c r="P172" s="570"/>
      <c r="Q172" s="569">
        <f>SUM(Q160:R171)</f>
        <v>0</v>
      </c>
      <c r="R172" s="570"/>
      <c r="S172" s="11"/>
    </row>
    <row r="173" spans="1:19" x14ac:dyDescent="0.2">
      <c r="A173" s="575" t="s">
        <v>222</v>
      </c>
      <c r="B173" s="575"/>
      <c r="C173" s="575"/>
      <c r="D173" s="575"/>
      <c r="E173" s="575"/>
      <c r="F173" s="575"/>
      <c r="G173" s="575"/>
      <c r="H173" s="575"/>
      <c r="I173" s="575"/>
      <c r="J173" s="575"/>
      <c r="K173" s="575"/>
      <c r="L173" s="575"/>
      <c r="M173" s="575"/>
      <c r="N173" s="575"/>
      <c r="O173" s="575"/>
      <c r="P173" s="575"/>
      <c r="Q173" s="575"/>
      <c r="R173" s="575"/>
      <c r="S173" s="11"/>
    </row>
    <row r="174" spans="1:19" x14ac:dyDescent="0.2">
      <c r="A174" s="575"/>
      <c r="B174" s="575"/>
      <c r="C174" s="575"/>
      <c r="D174" s="575"/>
      <c r="E174" s="575"/>
      <c r="F174" s="575"/>
      <c r="G174" s="575"/>
      <c r="H174" s="575"/>
      <c r="I174" s="575"/>
      <c r="J174" s="575"/>
      <c r="K174" s="575"/>
      <c r="L174" s="575"/>
      <c r="M174" s="575"/>
      <c r="N174" s="575"/>
      <c r="O174" s="575"/>
      <c r="P174" s="575"/>
      <c r="Q174" s="575"/>
      <c r="R174" s="575"/>
      <c r="S174" s="11"/>
    </row>
    <row r="175" spans="1:19" x14ac:dyDescent="0.2">
      <c r="A175" s="558" t="str">
        <f>'2 - Serviços'!$A$7</f>
        <v>MANUTENÇÃO E CONSERVAÇÃO DAS PONTES DE MADEIRA</v>
      </c>
      <c r="B175" s="559"/>
      <c r="C175" s="559"/>
      <c r="D175" s="559"/>
      <c r="E175" s="559"/>
      <c r="F175" s="559"/>
      <c r="G175" s="559"/>
      <c r="H175" s="559"/>
      <c r="I175" s="559"/>
      <c r="J175" s="559"/>
      <c r="K175" s="559"/>
      <c r="L175" s="559"/>
      <c r="M175" s="559"/>
      <c r="N175" s="559"/>
      <c r="O175" s="559"/>
      <c r="P175" s="559"/>
      <c r="Q175" s="559"/>
      <c r="R175" s="559"/>
      <c r="S175" s="11"/>
    </row>
    <row r="176" spans="1:19" x14ac:dyDescent="0.2">
      <c r="A176" s="46" t="s">
        <v>80</v>
      </c>
      <c r="B176" s="548" t="s">
        <v>236</v>
      </c>
      <c r="C176" s="548"/>
      <c r="D176" s="548"/>
      <c r="E176" s="548"/>
      <c r="F176" s="46" t="s">
        <v>220</v>
      </c>
      <c r="G176" s="548" t="s">
        <v>216</v>
      </c>
      <c r="H176" s="548"/>
      <c r="I176" s="548"/>
      <c r="J176" s="548" t="s">
        <v>217</v>
      </c>
      <c r="K176" s="548"/>
      <c r="L176" s="548"/>
      <c r="M176" s="548" t="s">
        <v>218</v>
      </c>
      <c r="N176" s="548"/>
      <c r="O176" s="548"/>
      <c r="P176" s="548" t="s">
        <v>219</v>
      </c>
      <c r="Q176" s="548"/>
      <c r="R176" s="548"/>
      <c r="S176" s="11"/>
    </row>
    <row r="177" spans="1:19" x14ac:dyDescent="0.2">
      <c r="A177" s="7"/>
      <c r="B177" s="552"/>
      <c r="C177" s="552"/>
      <c r="D177" s="552"/>
      <c r="E177" s="552"/>
      <c r="F177" s="49"/>
      <c r="G177" s="552"/>
      <c r="H177" s="552"/>
      <c r="I177" s="552"/>
      <c r="J177" s="552"/>
      <c r="K177" s="552"/>
      <c r="L177" s="552"/>
      <c r="M177" s="552"/>
      <c r="N177" s="552"/>
      <c r="O177" s="552"/>
      <c r="P177" s="568"/>
      <c r="Q177" s="568"/>
      <c r="R177" s="568"/>
      <c r="S177" s="11"/>
    </row>
    <row r="178" spans="1:19" x14ac:dyDescent="0.2">
      <c r="A178" s="548" t="s">
        <v>169</v>
      </c>
      <c r="B178" s="548"/>
      <c r="C178" s="46" t="s">
        <v>8</v>
      </c>
      <c r="D178" s="46" t="s">
        <v>9</v>
      </c>
      <c r="E178" s="46" t="s">
        <v>18</v>
      </c>
      <c r="F178" s="46" t="s">
        <v>72</v>
      </c>
      <c r="G178" s="46" t="s">
        <v>11</v>
      </c>
      <c r="H178" s="46" t="s">
        <v>19</v>
      </c>
      <c r="I178" s="46" t="s">
        <v>20</v>
      </c>
      <c r="J178" s="46" t="s">
        <v>14</v>
      </c>
      <c r="K178" s="46" t="s">
        <v>21</v>
      </c>
      <c r="L178" s="46" t="s">
        <v>22</v>
      </c>
      <c r="M178" s="46" t="s">
        <v>23</v>
      </c>
      <c r="N178" s="46" t="s">
        <v>24</v>
      </c>
      <c r="O178" s="46" t="s">
        <v>16</v>
      </c>
      <c r="P178" s="46" t="s">
        <v>81</v>
      </c>
      <c r="Q178" s="548" t="s">
        <v>221</v>
      </c>
      <c r="R178" s="548"/>
      <c r="S178" s="11"/>
    </row>
    <row r="179" spans="1:19" x14ac:dyDescent="0.2">
      <c r="A179" s="573" t="s">
        <v>224</v>
      </c>
      <c r="B179" s="574"/>
      <c r="C179" s="13"/>
      <c r="D179" s="5"/>
      <c r="E179" s="5"/>
      <c r="F179" s="5"/>
      <c r="G179" s="5"/>
      <c r="H179" s="5"/>
      <c r="I179" s="5"/>
      <c r="J179" s="5"/>
      <c r="K179" s="5"/>
      <c r="L179" s="5"/>
      <c r="M179" s="5"/>
      <c r="N179" s="5"/>
      <c r="O179" s="5"/>
      <c r="P179" s="5">
        <f>SUM(C179:O179)</f>
        <v>0</v>
      </c>
      <c r="Q179" s="573">
        <f>P179</f>
        <v>0</v>
      </c>
      <c r="R179" s="574"/>
      <c r="S179" s="11"/>
    </row>
    <row r="180" spans="1:19" x14ac:dyDescent="0.2">
      <c r="A180" s="566" t="s">
        <v>225</v>
      </c>
      <c r="B180" s="567"/>
      <c r="C180" s="13"/>
      <c r="D180" s="5"/>
      <c r="E180" s="5"/>
      <c r="F180" s="5"/>
      <c r="G180" s="5"/>
      <c r="H180" s="5"/>
      <c r="I180" s="5"/>
      <c r="J180" s="5"/>
      <c r="K180" s="5"/>
      <c r="L180" s="5"/>
      <c r="M180" s="5"/>
      <c r="N180" s="5"/>
      <c r="O180" s="5"/>
      <c r="P180" s="5">
        <f t="shared" ref="P180:P190" si="16">SUM(C180:O180)</f>
        <v>0</v>
      </c>
      <c r="Q180" s="566">
        <f t="shared" ref="Q180:Q186" si="17">P180</f>
        <v>0</v>
      </c>
      <c r="R180" s="567"/>
      <c r="S180" s="11"/>
    </row>
    <row r="181" spans="1:19" x14ac:dyDescent="0.2">
      <c r="A181" s="566" t="s">
        <v>226</v>
      </c>
      <c r="B181" s="567"/>
      <c r="C181" s="13"/>
      <c r="D181" s="5"/>
      <c r="E181" s="5"/>
      <c r="F181" s="5"/>
      <c r="G181" s="5"/>
      <c r="H181" s="5"/>
      <c r="I181" s="5"/>
      <c r="J181" s="5"/>
      <c r="K181" s="5"/>
      <c r="L181" s="5"/>
      <c r="M181" s="5"/>
      <c r="N181" s="5"/>
      <c r="O181" s="5"/>
      <c r="P181" s="5">
        <f t="shared" si="16"/>
        <v>0</v>
      </c>
      <c r="Q181" s="566">
        <f t="shared" si="17"/>
        <v>0</v>
      </c>
      <c r="R181" s="567"/>
      <c r="S181" s="11"/>
    </row>
    <row r="182" spans="1:19" x14ac:dyDescent="0.2">
      <c r="A182" s="566" t="s">
        <v>227</v>
      </c>
      <c r="B182" s="567"/>
      <c r="C182" s="13"/>
      <c r="D182" s="5"/>
      <c r="E182" s="5"/>
      <c r="F182" s="5"/>
      <c r="G182" s="5"/>
      <c r="H182" s="5"/>
      <c r="I182" s="5"/>
      <c r="J182" s="5"/>
      <c r="K182" s="5"/>
      <c r="L182" s="5"/>
      <c r="M182" s="5"/>
      <c r="N182" s="5"/>
      <c r="O182" s="5"/>
      <c r="P182" s="5">
        <f t="shared" si="16"/>
        <v>0</v>
      </c>
      <c r="Q182" s="566">
        <f t="shared" si="17"/>
        <v>0</v>
      </c>
      <c r="R182" s="567"/>
      <c r="S182" s="11"/>
    </row>
    <row r="183" spans="1:19" x14ac:dyDescent="0.2">
      <c r="A183" s="566" t="s">
        <v>228</v>
      </c>
      <c r="B183" s="567"/>
      <c r="C183" s="13"/>
      <c r="D183" s="5"/>
      <c r="E183" s="5"/>
      <c r="F183" s="5"/>
      <c r="G183" s="5"/>
      <c r="H183" s="5"/>
      <c r="I183" s="5"/>
      <c r="J183" s="5"/>
      <c r="K183" s="5"/>
      <c r="L183" s="5"/>
      <c r="M183" s="5"/>
      <c r="N183" s="5"/>
      <c r="O183" s="5"/>
      <c r="P183" s="5">
        <f t="shared" si="16"/>
        <v>0</v>
      </c>
      <c r="Q183" s="566">
        <f t="shared" si="17"/>
        <v>0</v>
      </c>
      <c r="R183" s="567"/>
      <c r="S183" s="11"/>
    </row>
    <row r="184" spans="1:19" x14ac:dyDescent="0.2">
      <c r="A184" s="566" t="s">
        <v>229</v>
      </c>
      <c r="B184" s="567"/>
      <c r="C184" s="13"/>
      <c r="D184" s="5"/>
      <c r="E184" s="5"/>
      <c r="F184" s="5"/>
      <c r="G184" s="5"/>
      <c r="H184" s="5"/>
      <c r="I184" s="5"/>
      <c r="J184" s="5"/>
      <c r="K184" s="5"/>
      <c r="L184" s="5"/>
      <c r="M184" s="5"/>
      <c r="N184" s="5"/>
      <c r="O184" s="5"/>
      <c r="P184" s="5">
        <f t="shared" si="16"/>
        <v>0</v>
      </c>
      <c r="Q184" s="566">
        <f t="shared" si="17"/>
        <v>0</v>
      </c>
      <c r="R184" s="567"/>
      <c r="S184" s="11"/>
    </row>
    <row r="185" spans="1:19" x14ac:dyDescent="0.2">
      <c r="A185" s="566" t="s">
        <v>230</v>
      </c>
      <c r="B185" s="567"/>
      <c r="C185" s="13"/>
      <c r="D185" s="5"/>
      <c r="E185" s="5"/>
      <c r="F185" s="5"/>
      <c r="G185" s="5"/>
      <c r="H185" s="5"/>
      <c r="I185" s="5"/>
      <c r="J185" s="5"/>
      <c r="K185" s="5"/>
      <c r="L185" s="5"/>
      <c r="M185" s="5"/>
      <c r="N185" s="5"/>
      <c r="O185" s="5"/>
      <c r="P185" s="5">
        <f t="shared" si="16"/>
        <v>0</v>
      </c>
      <c r="Q185" s="566">
        <f t="shared" si="17"/>
        <v>0</v>
      </c>
      <c r="R185" s="567"/>
      <c r="S185" s="11"/>
    </row>
    <row r="186" spans="1:19" x14ac:dyDescent="0.2">
      <c r="A186" s="566" t="s">
        <v>231</v>
      </c>
      <c r="B186" s="567"/>
      <c r="C186" s="13"/>
      <c r="D186" s="5"/>
      <c r="E186" s="5"/>
      <c r="F186" s="5"/>
      <c r="G186" s="5"/>
      <c r="H186" s="5"/>
      <c r="I186" s="5"/>
      <c r="J186" s="5"/>
      <c r="K186" s="5"/>
      <c r="L186" s="5"/>
      <c r="M186" s="5"/>
      <c r="N186" s="5"/>
      <c r="O186" s="5"/>
      <c r="P186" s="5">
        <f t="shared" si="16"/>
        <v>0</v>
      </c>
      <c r="Q186" s="566">
        <f t="shared" si="17"/>
        <v>0</v>
      </c>
      <c r="R186" s="567"/>
      <c r="S186" s="11"/>
    </row>
    <row r="187" spans="1:19" x14ac:dyDescent="0.2">
      <c r="A187" s="566" t="s">
        <v>232</v>
      </c>
      <c r="B187" s="567"/>
      <c r="C187" s="13"/>
      <c r="D187" s="5"/>
      <c r="E187" s="5"/>
      <c r="F187" s="5"/>
      <c r="G187" s="5"/>
      <c r="H187" s="5"/>
      <c r="I187" s="5"/>
      <c r="J187" s="5"/>
      <c r="K187" s="5"/>
      <c r="L187" s="5"/>
      <c r="M187" s="5"/>
      <c r="N187" s="5"/>
      <c r="O187" s="5"/>
      <c r="P187" s="5">
        <f t="shared" si="16"/>
        <v>0</v>
      </c>
      <c r="Q187" s="566">
        <f>P187*0.125</f>
        <v>0</v>
      </c>
      <c r="R187" s="567"/>
      <c r="S187" s="11"/>
    </row>
    <row r="188" spans="1:19" x14ac:dyDescent="0.2">
      <c r="A188" s="566" t="s">
        <v>233</v>
      </c>
      <c r="B188" s="567"/>
      <c r="C188" s="13"/>
      <c r="D188" s="5"/>
      <c r="E188" s="5"/>
      <c r="F188" s="5"/>
      <c r="G188" s="5"/>
      <c r="H188" s="5"/>
      <c r="I188" s="5"/>
      <c r="J188" s="5"/>
      <c r="K188" s="5"/>
      <c r="L188" s="5"/>
      <c r="M188" s="5"/>
      <c r="N188" s="5"/>
      <c r="O188" s="5"/>
      <c r="P188" s="5">
        <f t="shared" si="16"/>
        <v>0</v>
      </c>
      <c r="Q188" s="566">
        <f>P188*0.125</f>
        <v>0</v>
      </c>
      <c r="R188" s="567"/>
      <c r="S188" s="11"/>
    </row>
    <row r="189" spans="1:19" x14ac:dyDescent="0.2">
      <c r="A189" s="566" t="s">
        <v>234</v>
      </c>
      <c r="B189" s="567"/>
      <c r="C189" s="13"/>
      <c r="D189" s="5"/>
      <c r="E189" s="5"/>
      <c r="F189" s="5"/>
      <c r="G189" s="5"/>
      <c r="H189" s="5"/>
      <c r="I189" s="5"/>
      <c r="J189" s="5"/>
      <c r="K189" s="5"/>
      <c r="L189" s="5"/>
      <c r="M189" s="5"/>
      <c r="N189" s="5"/>
      <c r="O189" s="5"/>
      <c r="P189" s="5">
        <f t="shared" si="16"/>
        <v>0</v>
      </c>
      <c r="Q189" s="566">
        <f>P189*0.125</f>
        <v>0</v>
      </c>
      <c r="R189" s="567"/>
      <c r="S189" s="11"/>
    </row>
    <row r="190" spans="1:19" x14ac:dyDescent="0.2">
      <c r="A190" s="571" t="s">
        <v>235</v>
      </c>
      <c r="B190" s="572"/>
      <c r="C190" s="13"/>
      <c r="D190" s="5"/>
      <c r="E190" s="5"/>
      <c r="F190" s="5"/>
      <c r="G190" s="5"/>
      <c r="H190" s="5"/>
      <c r="I190" s="5"/>
      <c r="J190" s="5"/>
      <c r="K190" s="5"/>
      <c r="L190" s="5"/>
      <c r="M190" s="5"/>
      <c r="N190" s="5"/>
      <c r="O190" s="5"/>
      <c r="P190" s="5">
        <f t="shared" si="16"/>
        <v>0</v>
      </c>
      <c r="Q190" s="566">
        <f>P190*0.125</f>
        <v>0</v>
      </c>
      <c r="R190" s="567"/>
      <c r="S190" s="11"/>
    </row>
    <row r="191" spans="1:19" x14ac:dyDescent="0.2">
      <c r="A191" s="570"/>
      <c r="B191" s="570"/>
      <c r="C191" s="570"/>
      <c r="D191" s="570"/>
      <c r="E191" s="570"/>
      <c r="F191" s="570"/>
      <c r="G191" s="570"/>
      <c r="H191" s="570"/>
      <c r="I191" s="570"/>
      <c r="J191" s="570"/>
      <c r="K191" s="570"/>
      <c r="L191" s="570"/>
      <c r="M191" s="570"/>
      <c r="N191" s="570"/>
      <c r="O191" s="570"/>
      <c r="P191" s="570"/>
      <c r="Q191" s="569">
        <f>SUM(Q179:R190)</f>
        <v>0</v>
      </c>
      <c r="R191" s="570"/>
      <c r="S191" s="11"/>
    </row>
    <row r="192" spans="1:19" x14ac:dyDescent="0.2">
      <c r="A192" s="575" t="s">
        <v>222</v>
      </c>
      <c r="B192" s="575"/>
      <c r="C192" s="575"/>
      <c r="D192" s="575"/>
      <c r="E192" s="575"/>
      <c r="F192" s="575"/>
      <c r="G192" s="575"/>
      <c r="H192" s="575"/>
      <c r="I192" s="575"/>
      <c r="J192" s="575"/>
      <c r="K192" s="575"/>
      <c r="L192" s="575"/>
      <c r="M192" s="575"/>
      <c r="N192" s="575"/>
      <c r="O192" s="575"/>
      <c r="P192" s="575"/>
      <c r="Q192" s="575"/>
      <c r="R192" s="575"/>
      <c r="S192" s="11"/>
    </row>
    <row r="193" spans="1:19" x14ac:dyDescent="0.2">
      <c r="A193" s="575"/>
      <c r="B193" s="575"/>
      <c r="C193" s="575"/>
      <c r="D193" s="575"/>
      <c r="E193" s="575"/>
      <c r="F193" s="575"/>
      <c r="G193" s="575"/>
      <c r="H193" s="575"/>
      <c r="I193" s="575"/>
      <c r="J193" s="575"/>
      <c r="K193" s="575"/>
      <c r="L193" s="575"/>
      <c r="M193" s="575"/>
      <c r="N193" s="575"/>
      <c r="O193" s="575"/>
      <c r="P193" s="575"/>
      <c r="Q193" s="575"/>
      <c r="R193" s="575"/>
      <c r="S193" s="11"/>
    </row>
    <row r="194" spans="1:19" x14ac:dyDescent="0.2">
      <c r="A194" s="558" t="str">
        <f>'2 - Serviços'!$A$7</f>
        <v>MANUTENÇÃO E CONSERVAÇÃO DAS PONTES DE MADEIRA</v>
      </c>
      <c r="B194" s="559"/>
      <c r="C194" s="559"/>
      <c r="D194" s="559"/>
      <c r="E194" s="559"/>
      <c r="F194" s="559"/>
      <c r="G194" s="559"/>
      <c r="H194" s="559"/>
      <c r="I194" s="559"/>
      <c r="J194" s="559"/>
      <c r="K194" s="559"/>
      <c r="L194" s="559"/>
      <c r="M194" s="559"/>
      <c r="N194" s="559"/>
      <c r="O194" s="559"/>
      <c r="P194" s="559"/>
      <c r="Q194" s="559"/>
      <c r="R194" s="559"/>
      <c r="S194" s="11"/>
    </row>
    <row r="195" spans="1:19" x14ac:dyDescent="0.2">
      <c r="A195" s="46" t="s">
        <v>80</v>
      </c>
      <c r="B195" s="548" t="s">
        <v>236</v>
      </c>
      <c r="C195" s="548"/>
      <c r="D195" s="548"/>
      <c r="E195" s="548"/>
      <c r="F195" s="46" t="s">
        <v>220</v>
      </c>
      <c r="G195" s="548" t="s">
        <v>216</v>
      </c>
      <c r="H195" s="548"/>
      <c r="I195" s="548"/>
      <c r="J195" s="548" t="s">
        <v>217</v>
      </c>
      <c r="K195" s="548"/>
      <c r="L195" s="548"/>
      <c r="M195" s="548" t="s">
        <v>218</v>
      </c>
      <c r="N195" s="548"/>
      <c r="O195" s="548"/>
      <c r="P195" s="548" t="s">
        <v>219</v>
      </c>
      <c r="Q195" s="548"/>
      <c r="R195" s="548"/>
      <c r="S195" s="11"/>
    </row>
    <row r="196" spans="1:19" x14ac:dyDescent="0.2">
      <c r="A196" s="7"/>
      <c r="B196" s="552"/>
      <c r="C196" s="552"/>
      <c r="D196" s="552"/>
      <c r="E196" s="552"/>
      <c r="F196" s="49"/>
      <c r="G196" s="552"/>
      <c r="H196" s="552"/>
      <c r="I196" s="552"/>
      <c r="J196" s="552"/>
      <c r="K196" s="552"/>
      <c r="L196" s="552"/>
      <c r="M196" s="552"/>
      <c r="N196" s="552"/>
      <c r="O196" s="552"/>
      <c r="P196" s="568"/>
      <c r="Q196" s="568"/>
      <c r="R196" s="568"/>
      <c r="S196" s="11"/>
    </row>
    <row r="197" spans="1:19" x14ac:dyDescent="0.2">
      <c r="A197" s="548" t="s">
        <v>169</v>
      </c>
      <c r="B197" s="548"/>
      <c r="C197" s="46" t="s">
        <v>8</v>
      </c>
      <c r="D197" s="46" t="s">
        <v>9</v>
      </c>
      <c r="E197" s="46" t="s">
        <v>18</v>
      </c>
      <c r="F197" s="46" t="s">
        <v>72</v>
      </c>
      <c r="G197" s="46" t="s">
        <v>11</v>
      </c>
      <c r="H197" s="46" t="s">
        <v>19</v>
      </c>
      <c r="I197" s="46" t="s">
        <v>20</v>
      </c>
      <c r="J197" s="46" t="s">
        <v>14</v>
      </c>
      <c r="K197" s="46" t="s">
        <v>21</v>
      </c>
      <c r="L197" s="46" t="s">
        <v>22</v>
      </c>
      <c r="M197" s="46" t="s">
        <v>23</v>
      </c>
      <c r="N197" s="46" t="s">
        <v>24</v>
      </c>
      <c r="O197" s="46" t="s">
        <v>16</v>
      </c>
      <c r="P197" s="46" t="s">
        <v>81</v>
      </c>
      <c r="Q197" s="548" t="s">
        <v>221</v>
      </c>
      <c r="R197" s="548"/>
      <c r="S197" s="11"/>
    </row>
    <row r="198" spans="1:19" x14ac:dyDescent="0.2">
      <c r="A198" s="573" t="s">
        <v>224</v>
      </c>
      <c r="B198" s="574"/>
      <c r="C198" s="13"/>
      <c r="D198" s="5"/>
      <c r="E198" s="5"/>
      <c r="F198" s="5"/>
      <c r="G198" s="5"/>
      <c r="H198" s="5"/>
      <c r="I198" s="5"/>
      <c r="J198" s="5"/>
      <c r="K198" s="5"/>
      <c r="L198" s="5"/>
      <c r="M198" s="5"/>
      <c r="N198" s="5"/>
      <c r="O198" s="5"/>
      <c r="P198" s="5">
        <f>SUM(C198:O198)</f>
        <v>0</v>
      </c>
      <c r="Q198" s="573">
        <f>P198</f>
        <v>0</v>
      </c>
      <c r="R198" s="574"/>
      <c r="S198" s="11"/>
    </row>
    <row r="199" spans="1:19" x14ac:dyDescent="0.2">
      <c r="A199" s="566" t="s">
        <v>225</v>
      </c>
      <c r="B199" s="567"/>
      <c r="C199" s="13"/>
      <c r="D199" s="5"/>
      <c r="E199" s="5"/>
      <c r="F199" s="5"/>
      <c r="G199" s="5"/>
      <c r="H199" s="5"/>
      <c r="I199" s="5"/>
      <c r="J199" s="5"/>
      <c r="K199" s="5"/>
      <c r="L199" s="5"/>
      <c r="M199" s="5"/>
      <c r="N199" s="5"/>
      <c r="O199" s="5"/>
      <c r="P199" s="5">
        <f t="shared" ref="P199:P214" si="18">SUM(C199:O199)</f>
        <v>0</v>
      </c>
      <c r="Q199" s="566">
        <f t="shared" ref="Q199:Q210" si="19">P199</f>
        <v>0</v>
      </c>
      <c r="R199" s="567"/>
      <c r="S199" s="11"/>
    </row>
    <row r="200" spans="1:19" x14ac:dyDescent="0.2">
      <c r="A200" s="566" t="s">
        <v>226</v>
      </c>
      <c r="B200" s="567"/>
      <c r="C200" s="13"/>
      <c r="D200" s="5"/>
      <c r="E200" s="5"/>
      <c r="F200" s="5"/>
      <c r="G200" s="5"/>
      <c r="H200" s="5"/>
      <c r="I200" s="5"/>
      <c r="J200" s="5"/>
      <c r="K200" s="5"/>
      <c r="L200" s="5"/>
      <c r="M200" s="5"/>
      <c r="N200" s="5"/>
      <c r="O200" s="5"/>
      <c r="P200" s="5">
        <f t="shared" si="18"/>
        <v>0</v>
      </c>
      <c r="Q200" s="566">
        <f t="shared" si="19"/>
        <v>0</v>
      </c>
      <c r="R200" s="567"/>
      <c r="S200" s="12"/>
    </row>
    <row r="201" spans="1:19" x14ac:dyDescent="0.2">
      <c r="A201" s="566" t="s">
        <v>227</v>
      </c>
      <c r="B201" s="567"/>
      <c r="C201" s="13"/>
      <c r="D201" s="5"/>
      <c r="E201" s="5"/>
      <c r="F201" s="5"/>
      <c r="G201" s="5"/>
      <c r="H201" s="5"/>
      <c r="I201" s="5"/>
      <c r="J201" s="5"/>
      <c r="K201" s="5"/>
      <c r="L201" s="5"/>
      <c r="M201" s="5"/>
      <c r="N201" s="5"/>
      <c r="O201" s="5"/>
      <c r="P201" s="5">
        <f t="shared" si="18"/>
        <v>0</v>
      </c>
      <c r="Q201" s="566">
        <f t="shared" si="19"/>
        <v>0</v>
      </c>
      <c r="R201" s="567"/>
      <c r="S201" s="12"/>
    </row>
    <row r="202" spans="1:19" x14ac:dyDescent="0.2">
      <c r="A202" s="566" t="s">
        <v>228</v>
      </c>
      <c r="B202" s="567"/>
      <c r="C202" s="13"/>
      <c r="D202" s="5"/>
      <c r="E202" s="5"/>
      <c r="F202" s="5"/>
      <c r="G202" s="5"/>
      <c r="H202" s="5"/>
      <c r="I202" s="5"/>
      <c r="J202" s="5"/>
      <c r="K202" s="5"/>
      <c r="L202" s="5"/>
      <c r="M202" s="5"/>
      <c r="N202" s="5"/>
      <c r="O202" s="5"/>
      <c r="P202" s="5">
        <f t="shared" si="18"/>
        <v>0</v>
      </c>
      <c r="Q202" s="566">
        <f t="shared" si="19"/>
        <v>0</v>
      </c>
      <c r="R202" s="567"/>
      <c r="S202" s="12"/>
    </row>
    <row r="203" spans="1:19" x14ac:dyDescent="0.2">
      <c r="A203" s="566" t="s">
        <v>229</v>
      </c>
      <c r="B203" s="567"/>
      <c r="C203" s="13"/>
      <c r="D203" s="5"/>
      <c r="E203" s="5"/>
      <c r="F203" s="5"/>
      <c r="G203" s="5"/>
      <c r="H203" s="5"/>
      <c r="I203" s="5"/>
      <c r="J203" s="5"/>
      <c r="K203" s="5"/>
      <c r="L203" s="5"/>
      <c r="M203" s="5"/>
      <c r="N203" s="5"/>
      <c r="O203" s="5"/>
      <c r="P203" s="5">
        <f t="shared" si="18"/>
        <v>0</v>
      </c>
      <c r="Q203" s="566">
        <f t="shared" si="19"/>
        <v>0</v>
      </c>
      <c r="R203" s="567"/>
      <c r="S203" s="12"/>
    </row>
    <row r="204" spans="1:19" s="37" customFormat="1" ht="13.15" customHeight="1" x14ac:dyDescent="0.25">
      <c r="A204" s="38" t="s">
        <v>184</v>
      </c>
      <c r="B204" s="39"/>
      <c r="C204" s="39"/>
      <c r="D204" s="39"/>
      <c r="E204" s="39"/>
      <c r="F204" s="39"/>
      <c r="G204" s="39"/>
      <c r="H204" s="40"/>
      <c r="I204" s="38"/>
      <c r="J204" s="39"/>
      <c r="K204" s="39"/>
      <c r="L204" s="41"/>
      <c r="M204" s="38"/>
      <c r="N204" s="39"/>
      <c r="O204" s="39"/>
      <c r="P204" s="63"/>
      <c r="Q204" s="63"/>
      <c r="R204" s="62"/>
    </row>
    <row r="205" spans="1:19" s="37" customFormat="1" ht="13.15" customHeight="1" x14ac:dyDescent="0.25">
      <c r="A205" s="42"/>
      <c r="B205" s="56"/>
      <c r="C205" s="56"/>
      <c r="D205" s="56"/>
      <c r="E205" s="56"/>
      <c r="F205" s="56"/>
      <c r="G205" s="56"/>
      <c r="H205" s="57"/>
      <c r="I205" s="42"/>
      <c r="J205" s="56"/>
      <c r="K205" s="56"/>
      <c r="L205" s="43"/>
      <c r="M205" s="42"/>
      <c r="N205" s="56"/>
      <c r="O205" s="56"/>
      <c r="R205" s="61"/>
    </row>
    <row r="206" spans="1:19" s="37" customFormat="1" ht="13.15" customHeight="1" x14ac:dyDescent="0.25">
      <c r="A206" s="42"/>
      <c r="B206" s="56"/>
      <c r="C206" s="56"/>
      <c r="D206" s="56"/>
      <c r="E206" s="56"/>
      <c r="F206" s="56"/>
      <c r="G206" s="56"/>
      <c r="H206" s="57"/>
      <c r="I206" s="42"/>
      <c r="J206" s="56"/>
      <c r="K206" s="56"/>
      <c r="L206" s="43"/>
      <c r="M206" s="42"/>
      <c r="N206" s="56"/>
      <c r="O206" s="56"/>
      <c r="R206" s="61"/>
    </row>
    <row r="207" spans="1:19" s="37" customFormat="1" ht="13.15" customHeight="1" x14ac:dyDescent="0.25">
      <c r="A207" s="42"/>
      <c r="B207" s="56"/>
      <c r="C207" s="56"/>
      <c r="D207" s="56"/>
      <c r="E207" s="56"/>
      <c r="F207" s="56"/>
      <c r="G207" s="56"/>
      <c r="H207" s="57"/>
      <c r="I207" s="581" t="s">
        <v>261</v>
      </c>
      <c r="J207" s="582"/>
      <c r="K207" s="582"/>
      <c r="L207" s="583"/>
      <c r="M207" s="581" t="s">
        <v>260</v>
      </c>
      <c r="N207" s="582"/>
      <c r="O207" s="582"/>
      <c r="P207" s="582"/>
      <c r="Q207" s="582"/>
      <c r="R207" s="583"/>
    </row>
    <row r="208" spans="1:19" s="37" customFormat="1" ht="13.15" customHeight="1" thickBot="1" x14ac:dyDescent="0.3">
      <c r="A208" s="58"/>
      <c r="B208" s="59"/>
      <c r="C208" s="59"/>
      <c r="D208" s="59"/>
      <c r="E208" s="59"/>
      <c r="F208" s="59"/>
      <c r="G208" s="59"/>
      <c r="H208" s="60"/>
      <c r="I208" s="584" t="s">
        <v>262</v>
      </c>
      <c r="J208" s="585"/>
      <c r="K208" s="585"/>
      <c r="L208" s="586"/>
      <c r="M208" s="587" t="s">
        <v>264</v>
      </c>
      <c r="N208" s="588"/>
      <c r="O208" s="588"/>
      <c r="P208" s="588"/>
      <c r="Q208" s="588"/>
      <c r="R208" s="589"/>
    </row>
    <row r="209" spans="1:19" x14ac:dyDescent="0.2">
      <c r="A209" s="566" t="s">
        <v>230</v>
      </c>
      <c r="B209" s="567"/>
      <c r="C209" s="13"/>
      <c r="D209" s="5"/>
      <c r="E209" s="5"/>
      <c r="F209" s="5"/>
      <c r="G209" s="5"/>
      <c r="H209" s="5"/>
      <c r="I209" s="5"/>
      <c r="J209" s="5"/>
      <c r="K209" s="5"/>
      <c r="L209" s="5"/>
      <c r="M209" s="5"/>
      <c r="N209" s="5"/>
      <c r="O209" s="5"/>
      <c r="P209" s="5">
        <f t="shared" si="18"/>
        <v>0</v>
      </c>
      <c r="Q209" s="566">
        <f t="shared" si="19"/>
        <v>0</v>
      </c>
      <c r="R209" s="567"/>
      <c r="S209" s="12"/>
    </row>
    <row r="210" spans="1:19" x14ac:dyDescent="0.2">
      <c r="A210" s="566" t="s">
        <v>231</v>
      </c>
      <c r="B210" s="567"/>
      <c r="C210" s="13"/>
      <c r="D210" s="5"/>
      <c r="E210" s="5"/>
      <c r="F210" s="5"/>
      <c r="G210" s="5"/>
      <c r="H210" s="5"/>
      <c r="I210" s="5"/>
      <c r="J210" s="5"/>
      <c r="K210" s="5"/>
      <c r="L210" s="5"/>
      <c r="M210" s="5"/>
      <c r="N210" s="5"/>
      <c r="O210" s="5"/>
      <c r="P210" s="5">
        <f t="shared" si="18"/>
        <v>0</v>
      </c>
      <c r="Q210" s="566">
        <f t="shared" si="19"/>
        <v>0</v>
      </c>
      <c r="R210" s="567"/>
      <c r="S210" s="12"/>
    </row>
    <row r="211" spans="1:19" x14ac:dyDescent="0.2">
      <c r="A211" s="566" t="s">
        <v>232</v>
      </c>
      <c r="B211" s="567"/>
      <c r="C211" s="13"/>
      <c r="D211" s="5"/>
      <c r="E211" s="5"/>
      <c r="F211" s="5"/>
      <c r="G211" s="5"/>
      <c r="H211" s="5"/>
      <c r="I211" s="5"/>
      <c r="J211" s="5"/>
      <c r="K211" s="5"/>
      <c r="L211" s="5"/>
      <c r="M211" s="5"/>
      <c r="N211" s="5"/>
      <c r="O211" s="5"/>
      <c r="P211" s="5">
        <f t="shared" si="18"/>
        <v>0</v>
      </c>
      <c r="Q211" s="566">
        <f>P211*0.125</f>
        <v>0</v>
      </c>
      <c r="R211" s="567"/>
      <c r="S211" s="12"/>
    </row>
    <row r="212" spans="1:19" x14ac:dyDescent="0.2">
      <c r="A212" s="566" t="s">
        <v>233</v>
      </c>
      <c r="B212" s="567"/>
      <c r="C212" s="13"/>
      <c r="D212" s="5"/>
      <c r="E212" s="5"/>
      <c r="F212" s="5"/>
      <c r="G212" s="5"/>
      <c r="H212" s="5"/>
      <c r="I212" s="5"/>
      <c r="J212" s="5"/>
      <c r="K212" s="5"/>
      <c r="L212" s="5"/>
      <c r="M212" s="5"/>
      <c r="N212" s="5"/>
      <c r="O212" s="5"/>
      <c r="P212" s="5">
        <f t="shared" si="18"/>
        <v>0</v>
      </c>
      <c r="Q212" s="566">
        <f>P212*0.125</f>
        <v>0</v>
      </c>
      <c r="R212" s="567"/>
      <c r="S212" s="12"/>
    </row>
    <row r="213" spans="1:19" x14ac:dyDescent="0.2">
      <c r="A213" s="566" t="s">
        <v>234</v>
      </c>
      <c r="B213" s="567"/>
      <c r="C213" s="13"/>
      <c r="D213" s="5"/>
      <c r="E213" s="5"/>
      <c r="F213" s="5"/>
      <c r="G213" s="5"/>
      <c r="H213" s="5"/>
      <c r="I213" s="5"/>
      <c r="J213" s="5"/>
      <c r="K213" s="5"/>
      <c r="L213" s="5"/>
      <c r="M213" s="5"/>
      <c r="N213" s="5"/>
      <c r="O213" s="5"/>
      <c r="P213" s="5">
        <f t="shared" si="18"/>
        <v>0</v>
      </c>
      <c r="Q213" s="566">
        <f>P213*0.125</f>
        <v>0</v>
      </c>
      <c r="R213" s="567"/>
      <c r="S213" s="12"/>
    </row>
    <row r="214" spans="1:19" x14ac:dyDescent="0.2">
      <c r="A214" s="571" t="s">
        <v>235</v>
      </c>
      <c r="B214" s="572"/>
      <c r="C214" s="13"/>
      <c r="D214" s="5"/>
      <c r="E214" s="5"/>
      <c r="F214" s="5"/>
      <c r="G214" s="5"/>
      <c r="H214" s="5"/>
      <c r="I214" s="5"/>
      <c r="J214" s="5"/>
      <c r="K214" s="5"/>
      <c r="L214" s="5"/>
      <c r="M214" s="5"/>
      <c r="N214" s="5"/>
      <c r="O214" s="5"/>
      <c r="P214" s="5">
        <f t="shared" si="18"/>
        <v>0</v>
      </c>
      <c r="Q214" s="566">
        <f>P214*0.125</f>
        <v>0</v>
      </c>
      <c r="R214" s="567"/>
      <c r="S214" s="12"/>
    </row>
    <row r="215" spans="1:19" x14ac:dyDescent="0.2">
      <c r="A215" s="570"/>
      <c r="B215" s="570"/>
      <c r="C215" s="570"/>
      <c r="D215" s="570"/>
      <c r="E215" s="570"/>
      <c r="F215" s="570"/>
      <c r="G215" s="570"/>
      <c r="H215" s="570"/>
      <c r="I215" s="570"/>
      <c r="J215" s="570"/>
      <c r="K215" s="570"/>
      <c r="L215" s="570"/>
      <c r="M215" s="570"/>
      <c r="N215" s="570"/>
      <c r="O215" s="570"/>
      <c r="P215" s="570"/>
      <c r="Q215" s="569">
        <f>SUM(Q198:R214)</f>
        <v>0</v>
      </c>
      <c r="R215" s="570"/>
      <c r="S215" s="12"/>
    </row>
    <row r="216" spans="1:19" x14ac:dyDescent="0.2">
      <c r="A216" s="575" t="s">
        <v>222</v>
      </c>
      <c r="B216" s="575"/>
      <c r="C216" s="575"/>
      <c r="D216" s="575"/>
      <c r="E216" s="575"/>
      <c r="F216" s="575"/>
      <c r="G216" s="575"/>
      <c r="H216" s="575"/>
      <c r="I216" s="575"/>
      <c r="J216" s="575"/>
      <c r="K216" s="575"/>
      <c r="L216" s="575"/>
      <c r="M216" s="575"/>
      <c r="N216" s="575"/>
      <c r="O216" s="575"/>
      <c r="P216" s="575"/>
      <c r="Q216" s="575"/>
      <c r="R216" s="575"/>
      <c r="S216" s="12"/>
    </row>
    <row r="217" spans="1:19" x14ac:dyDescent="0.2">
      <c r="A217" s="575"/>
      <c r="B217" s="575"/>
      <c r="C217" s="575"/>
      <c r="D217" s="575"/>
      <c r="E217" s="575"/>
      <c r="F217" s="575"/>
      <c r="G217" s="575"/>
      <c r="H217" s="575"/>
      <c r="I217" s="575"/>
      <c r="J217" s="575"/>
      <c r="K217" s="575"/>
      <c r="L217" s="575"/>
      <c r="M217" s="575"/>
      <c r="N217" s="575"/>
      <c r="O217" s="575"/>
      <c r="P217" s="575"/>
      <c r="Q217" s="575"/>
      <c r="R217" s="575"/>
      <c r="S217" s="12"/>
    </row>
    <row r="218" spans="1:19" x14ac:dyDescent="0.2">
      <c r="A218" s="558" t="str">
        <f>'2 - Serviços'!$A$7</f>
        <v>MANUTENÇÃO E CONSERVAÇÃO DAS PONTES DE MADEIRA</v>
      </c>
      <c r="B218" s="559"/>
      <c r="C218" s="559"/>
      <c r="D218" s="559"/>
      <c r="E218" s="559"/>
      <c r="F218" s="559"/>
      <c r="G218" s="559"/>
      <c r="H218" s="559"/>
      <c r="I218" s="559"/>
      <c r="J218" s="559"/>
      <c r="K218" s="559"/>
      <c r="L218" s="559"/>
      <c r="M218" s="559"/>
      <c r="N218" s="559"/>
      <c r="O218" s="559"/>
      <c r="P218" s="559"/>
      <c r="Q218" s="559"/>
      <c r="R218" s="559"/>
      <c r="S218" s="12"/>
    </row>
    <row r="219" spans="1:19" x14ac:dyDescent="0.2">
      <c r="A219" s="46" t="s">
        <v>80</v>
      </c>
      <c r="B219" s="548" t="s">
        <v>236</v>
      </c>
      <c r="C219" s="548"/>
      <c r="D219" s="548"/>
      <c r="E219" s="548"/>
      <c r="F219" s="46" t="s">
        <v>220</v>
      </c>
      <c r="G219" s="548" t="s">
        <v>216</v>
      </c>
      <c r="H219" s="548"/>
      <c r="I219" s="548"/>
      <c r="J219" s="548" t="s">
        <v>217</v>
      </c>
      <c r="K219" s="548"/>
      <c r="L219" s="548"/>
      <c r="M219" s="548" t="s">
        <v>218</v>
      </c>
      <c r="N219" s="548"/>
      <c r="O219" s="548"/>
      <c r="P219" s="548" t="s">
        <v>219</v>
      </c>
      <c r="Q219" s="548"/>
      <c r="R219" s="548"/>
      <c r="S219" s="12"/>
    </row>
    <row r="220" spans="1:19" x14ac:dyDescent="0.2">
      <c r="A220" s="7"/>
      <c r="B220" s="552"/>
      <c r="C220" s="552"/>
      <c r="D220" s="552"/>
      <c r="E220" s="552"/>
      <c r="F220" s="49"/>
      <c r="G220" s="552"/>
      <c r="H220" s="552"/>
      <c r="I220" s="552"/>
      <c r="J220" s="552"/>
      <c r="K220" s="552"/>
      <c r="L220" s="552"/>
      <c r="M220" s="552"/>
      <c r="N220" s="552"/>
      <c r="O220" s="552"/>
      <c r="P220" s="568"/>
      <c r="Q220" s="568"/>
      <c r="R220" s="568"/>
      <c r="S220" s="12"/>
    </row>
    <row r="221" spans="1:19" x14ac:dyDescent="0.2">
      <c r="A221" s="548" t="s">
        <v>169</v>
      </c>
      <c r="B221" s="548"/>
      <c r="C221" s="46" t="s">
        <v>8</v>
      </c>
      <c r="D221" s="46" t="s">
        <v>9</v>
      </c>
      <c r="E221" s="46" t="s">
        <v>18</v>
      </c>
      <c r="F221" s="46" t="s">
        <v>72</v>
      </c>
      <c r="G221" s="46" t="s">
        <v>11</v>
      </c>
      <c r="H221" s="46" t="s">
        <v>19</v>
      </c>
      <c r="I221" s="46" t="s">
        <v>20</v>
      </c>
      <c r="J221" s="46" t="s">
        <v>14</v>
      </c>
      <c r="K221" s="46" t="s">
        <v>21</v>
      </c>
      <c r="L221" s="46" t="s">
        <v>22</v>
      </c>
      <c r="M221" s="46" t="s">
        <v>23</v>
      </c>
      <c r="N221" s="46" t="s">
        <v>24</v>
      </c>
      <c r="O221" s="46" t="s">
        <v>16</v>
      </c>
      <c r="P221" s="46" t="s">
        <v>81</v>
      </c>
      <c r="Q221" s="548" t="s">
        <v>221</v>
      </c>
      <c r="R221" s="548"/>
      <c r="S221" s="12"/>
    </row>
    <row r="222" spans="1:19" x14ac:dyDescent="0.2">
      <c r="A222" s="573" t="s">
        <v>224</v>
      </c>
      <c r="B222" s="574"/>
      <c r="C222" s="13"/>
      <c r="D222" s="5"/>
      <c r="E222" s="5"/>
      <c r="F222" s="5"/>
      <c r="G222" s="5"/>
      <c r="H222" s="5"/>
      <c r="I222" s="5"/>
      <c r="J222" s="5"/>
      <c r="K222" s="5"/>
      <c r="L222" s="5"/>
      <c r="M222" s="5"/>
      <c r="N222" s="5"/>
      <c r="O222" s="5"/>
      <c r="P222" s="5">
        <f>SUM(C222:O222)</f>
        <v>0</v>
      </c>
      <c r="Q222" s="573">
        <f>P222</f>
        <v>0</v>
      </c>
      <c r="R222" s="574"/>
      <c r="S222" s="14"/>
    </row>
    <row r="223" spans="1:19" x14ac:dyDescent="0.2">
      <c r="A223" s="566" t="s">
        <v>225</v>
      </c>
      <c r="B223" s="567"/>
      <c r="C223" s="13"/>
      <c r="D223" s="5"/>
      <c r="E223" s="5"/>
      <c r="F223" s="5"/>
      <c r="G223" s="5"/>
      <c r="H223" s="5"/>
      <c r="I223" s="5"/>
      <c r="J223" s="5"/>
      <c r="K223" s="5"/>
      <c r="L223" s="5"/>
      <c r="M223" s="5"/>
      <c r="N223" s="5"/>
      <c r="O223" s="5"/>
      <c r="P223" s="5">
        <f t="shared" ref="P223:P233" si="20">SUM(C223:O223)</f>
        <v>0</v>
      </c>
      <c r="Q223" s="566">
        <f t="shared" ref="Q223:Q229" si="21">P223</f>
        <v>0</v>
      </c>
      <c r="R223" s="567"/>
      <c r="S223" s="12"/>
    </row>
    <row r="224" spans="1:19" x14ac:dyDescent="0.2">
      <c r="A224" s="566" t="s">
        <v>226</v>
      </c>
      <c r="B224" s="567"/>
      <c r="C224" s="13"/>
      <c r="D224" s="5"/>
      <c r="E224" s="5"/>
      <c r="F224" s="5"/>
      <c r="G224" s="5"/>
      <c r="H224" s="5"/>
      <c r="I224" s="5"/>
      <c r="J224" s="5"/>
      <c r="K224" s="5"/>
      <c r="L224" s="5"/>
      <c r="M224" s="5"/>
      <c r="N224" s="5"/>
      <c r="O224" s="5"/>
      <c r="P224" s="5">
        <f t="shared" si="20"/>
        <v>0</v>
      </c>
      <c r="Q224" s="566">
        <f t="shared" si="21"/>
        <v>0</v>
      </c>
      <c r="R224" s="567"/>
      <c r="S224" s="8"/>
    </row>
    <row r="225" spans="1:19" x14ac:dyDescent="0.2">
      <c r="A225" s="566" t="s">
        <v>227</v>
      </c>
      <c r="B225" s="567"/>
      <c r="C225" s="13"/>
      <c r="D225" s="5"/>
      <c r="E225" s="5"/>
      <c r="F225" s="5"/>
      <c r="G225" s="5"/>
      <c r="H225" s="5"/>
      <c r="I225" s="5"/>
      <c r="J225" s="5"/>
      <c r="K225" s="5"/>
      <c r="L225" s="5"/>
      <c r="M225" s="5"/>
      <c r="N225" s="5"/>
      <c r="O225" s="5"/>
      <c r="P225" s="5">
        <f t="shared" si="20"/>
        <v>0</v>
      </c>
      <c r="Q225" s="566">
        <f t="shared" si="21"/>
        <v>0</v>
      </c>
      <c r="R225" s="567"/>
      <c r="S225" s="8"/>
    </row>
    <row r="226" spans="1:19" x14ac:dyDescent="0.2">
      <c r="A226" s="566" t="s">
        <v>228</v>
      </c>
      <c r="B226" s="567"/>
      <c r="C226" s="13"/>
      <c r="D226" s="5"/>
      <c r="E226" s="5"/>
      <c r="F226" s="5"/>
      <c r="G226" s="5"/>
      <c r="H226" s="5"/>
      <c r="I226" s="5"/>
      <c r="J226" s="5"/>
      <c r="K226" s="5"/>
      <c r="L226" s="5"/>
      <c r="M226" s="5"/>
      <c r="N226" s="5"/>
      <c r="O226" s="5"/>
      <c r="P226" s="5">
        <f t="shared" si="20"/>
        <v>0</v>
      </c>
      <c r="Q226" s="566">
        <f t="shared" si="21"/>
        <v>0</v>
      </c>
      <c r="R226" s="567"/>
      <c r="S226" s="8"/>
    </row>
    <row r="227" spans="1:19" x14ac:dyDescent="0.2">
      <c r="A227" s="566" t="s">
        <v>229</v>
      </c>
      <c r="B227" s="567"/>
      <c r="C227" s="13"/>
      <c r="D227" s="5"/>
      <c r="E227" s="5"/>
      <c r="F227" s="5"/>
      <c r="G227" s="5"/>
      <c r="H227" s="5"/>
      <c r="I227" s="5"/>
      <c r="J227" s="5"/>
      <c r="K227" s="5"/>
      <c r="L227" s="5"/>
      <c r="M227" s="5"/>
      <c r="N227" s="5"/>
      <c r="O227" s="5"/>
      <c r="P227" s="5">
        <f t="shared" si="20"/>
        <v>0</v>
      </c>
      <c r="Q227" s="566">
        <f t="shared" si="21"/>
        <v>0</v>
      </c>
      <c r="R227" s="567"/>
      <c r="S227" s="8"/>
    </row>
    <row r="228" spans="1:19" x14ac:dyDescent="0.2">
      <c r="A228" s="566" t="s">
        <v>230</v>
      </c>
      <c r="B228" s="567"/>
      <c r="C228" s="13"/>
      <c r="D228" s="5"/>
      <c r="E228" s="5"/>
      <c r="F228" s="5"/>
      <c r="G228" s="5"/>
      <c r="H228" s="5"/>
      <c r="I228" s="5"/>
      <c r="J228" s="5"/>
      <c r="K228" s="5"/>
      <c r="L228" s="5"/>
      <c r="M228" s="5"/>
      <c r="N228" s="5"/>
      <c r="O228" s="5"/>
      <c r="P228" s="5">
        <f t="shared" si="20"/>
        <v>0</v>
      </c>
      <c r="Q228" s="566">
        <f t="shared" si="21"/>
        <v>0</v>
      </c>
      <c r="R228" s="567"/>
      <c r="S228" s="8"/>
    </row>
    <row r="229" spans="1:19" x14ac:dyDescent="0.2">
      <c r="A229" s="566" t="s">
        <v>231</v>
      </c>
      <c r="B229" s="567"/>
      <c r="C229" s="13"/>
      <c r="D229" s="5"/>
      <c r="E229" s="5"/>
      <c r="F229" s="5"/>
      <c r="G229" s="5"/>
      <c r="H229" s="5"/>
      <c r="I229" s="5"/>
      <c r="J229" s="5"/>
      <c r="K229" s="5"/>
      <c r="L229" s="5"/>
      <c r="M229" s="5"/>
      <c r="N229" s="5"/>
      <c r="O229" s="5"/>
      <c r="P229" s="5">
        <f t="shared" si="20"/>
        <v>0</v>
      </c>
      <c r="Q229" s="566">
        <f t="shared" si="21"/>
        <v>0</v>
      </c>
      <c r="R229" s="567"/>
    </row>
    <row r="230" spans="1:19" x14ac:dyDescent="0.2">
      <c r="A230" s="566" t="s">
        <v>232</v>
      </c>
      <c r="B230" s="567"/>
      <c r="C230" s="13"/>
      <c r="D230" s="5"/>
      <c r="E230" s="5"/>
      <c r="F230" s="5"/>
      <c r="G230" s="5"/>
      <c r="H230" s="5"/>
      <c r="I230" s="5"/>
      <c r="J230" s="5"/>
      <c r="K230" s="5"/>
      <c r="L230" s="5"/>
      <c r="M230" s="5"/>
      <c r="N230" s="5"/>
      <c r="O230" s="5"/>
      <c r="P230" s="5">
        <f t="shared" si="20"/>
        <v>0</v>
      </c>
      <c r="Q230" s="566">
        <f>P230*0.125</f>
        <v>0</v>
      </c>
      <c r="R230" s="567"/>
    </row>
    <row r="231" spans="1:19" x14ac:dyDescent="0.2">
      <c r="A231" s="566" t="s">
        <v>233</v>
      </c>
      <c r="B231" s="567"/>
      <c r="C231" s="13"/>
      <c r="D231" s="5"/>
      <c r="E231" s="5"/>
      <c r="F231" s="5"/>
      <c r="G231" s="5"/>
      <c r="H231" s="5"/>
      <c r="I231" s="5"/>
      <c r="J231" s="5"/>
      <c r="K231" s="5"/>
      <c r="L231" s="5"/>
      <c r="M231" s="5"/>
      <c r="N231" s="5"/>
      <c r="O231" s="5"/>
      <c r="P231" s="5">
        <f t="shared" si="20"/>
        <v>0</v>
      </c>
      <c r="Q231" s="566">
        <f>P231*0.125</f>
        <v>0</v>
      </c>
      <c r="R231" s="567"/>
    </row>
    <row r="232" spans="1:19" x14ac:dyDescent="0.2">
      <c r="A232" s="566" t="s">
        <v>234</v>
      </c>
      <c r="B232" s="567"/>
      <c r="C232" s="13"/>
      <c r="D232" s="5"/>
      <c r="E232" s="5"/>
      <c r="F232" s="5"/>
      <c r="G232" s="5"/>
      <c r="H232" s="5"/>
      <c r="I232" s="5"/>
      <c r="J232" s="5"/>
      <c r="K232" s="5"/>
      <c r="L232" s="5"/>
      <c r="M232" s="5"/>
      <c r="N232" s="5"/>
      <c r="O232" s="5"/>
      <c r="P232" s="5">
        <f t="shared" si="20"/>
        <v>0</v>
      </c>
      <c r="Q232" s="566">
        <f>P232*0.125</f>
        <v>0</v>
      </c>
      <c r="R232" s="567"/>
    </row>
    <row r="233" spans="1:19" x14ac:dyDescent="0.2">
      <c r="A233" s="571" t="s">
        <v>235</v>
      </c>
      <c r="B233" s="572"/>
      <c r="C233" s="13"/>
      <c r="D233" s="5"/>
      <c r="E233" s="5"/>
      <c r="F233" s="5"/>
      <c r="G233" s="5"/>
      <c r="H233" s="5"/>
      <c r="I233" s="5"/>
      <c r="J233" s="5"/>
      <c r="K233" s="5"/>
      <c r="L233" s="5"/>
      <c r="M233" s="5"/>
      <c r="N233" s="5"/>
      <c r="O233" s="5"/>
      <c r="P233" s="5">
        <f t="shared" si="20"/>
        <v>0</v>
      </c>
      <c r="Q233" s="566">
        <f>P233*0.125</f>
        <v>0</v>
      </c>
      <c r="R233" s="567"/>
    </row>
    <row r="234" spans="1:19" x14ac:dyDescent="0.2">
      <c r="A234" s="570"/>
      <c r="B234" s="570"/>
      <c r="C234" s="570"/>
      <c r="D234" s="570"/>
      <c r="E234" s="570"/>
      <c r="F234" s="570"/>
      <c r="G234" s="570"/>
      <c r="H234" s="570"/>
      <c r="I234" s="570"/>
      <c r="J234" s="570"/>
      <c r="K234" s="570"/>
      <c r="L234" s="570"/>
      <c r="M234" s="570"/>
      <c r="N234" s="570"/>
      <c r="O234" s="570"/>
      <c r="P234" s="570"/>
      <c r="Q234" s="569">
        <f>SUM(Q222:R233)</f>
        <v>0</v>
      </c>
      <c r="R234" s="570"/>
    </row>
    <row r="235" spans="1:19" x14ac:dyDescent="0.2">
      <c r="A235" s="575" t="s">
        <v>222</v>
      </c>
      <c r="B235" s="575"/>
      <c r="C235" s="575"/>
      <c r="D235" s="575"/>
      <c r="E235" s="575"/>
      <c r="F235" s="575"/>
      <c r="G235" s="575"/>
      <c r="H235" s="575"/>
      <c r="I235" s="575"/>
      <c r="J235" s="575"/>
      <c r="K235" s="575"/>
      <c r="L235" s="575"/>
      <c r="M235" s="575"/>
      <c r="N235" s="575"/>
      <c r="O235" s="575"/>
      <c r="P235" s="575"/>
      <c r="Q235" s="575"/>
      <c r="R235" s="575"/>
    </row>
    <row r="236" spans="1:19" x14ac:dyDescent="0.2">
      <c r="A236" s="575"/>
      <c r="B236" s="575"/>
      <c r="C236" s="575"/>
      <c r="D236" s="575"/>
      <c r="E236" s="575"/>
      <c r="F236" s="575"/>
      <c r="G236" s="575"/>
      <c r="H236" s="575"/>
      <c r="I236" s="575"/>
      <c r="J236" s="575"/>
      <c r="K236" s="575"/>
      <c r="L236" s="575"/>
      <c r="M236" s="575"/>
      <c r="N236" s="575"/>
      <c r="O236" s="575"/>
      <c r="P236" s="575"/>
      <c r="Q236" s="575"/>
      <c r="R236" s="575"/>
    </row>
    <row r="237" spans="1:19" x14ac:dyDescent="0.2">
      <c r="A237" s="558" t="str">
        <f>'2 - Serviços'!$A$7</f>
        <v>MANUTENÇÃO E CONSERVAÇÃO DAS PONTES DE MADEIRA</v>
      </c>
      <c r="B237" s="559"/>
      <c r="C237" s="559"/>
      <c r="D237" s="559"/>
      <c r="E237" s="559"/>
      <c r="F237" s="559"/>
      <c r="G237" s="559"/>
      <c r="H237" s="559"/>
      <c r="I237" s="559"/>
      <c r="J237" s="559"/>
      <c r="K237" s="559"/>
      <c r="L237" s="559"/>
      <c r="M237" s="559"/>
      <c r="N237" s="559"/>
      <c r="O237" s="559"/>
      <c r="P237" s="559"/>
      <c r="Q237" s="559"/>
      <c r="R237" s="559"/>
    </row>
    <row r="238" spans="1:19" x14ac:dyDescent="0.2">
      <c r="A238" s="46" t="s">
        <v>80</v>
      </c>
      <c r="B238" s="548" t="s">
        <v>236</v>
      </c>
      <c r="C238" s="548"/>
      <c r="D238" s="548"/>
      <c r="E238" s="548"/>
      <c r="F238" s="46" t="s">
        <v>220</v>
      </c>
      <c r="G238" s="548" t="s">
        <v>216</v>
      </c>
      <c r="H238" s="548"/>
      <c r="I238" s="548"/>
      <c r="J238" s="548" t="s">
        <v>217</v>
      </c>
      <c r="K238" s="548"/>
      <c r="L238" s="548"/>
      <c r="M238" s="548" t="s">
        <v>218</v>
      </c>
      <c r="N238" s="548"/>
      <c r="O238" s="548"/>
      <c r="P238" s="548" t="s">
        <v>219</v>
      </c>
      <c r="Q238" s="548"/>
      <c r="R238" s="548"/>
    </row>
    <row r="239" spans="1:19" x14ac:dyDescent="0.2">
      <c r="A239" s="7"/>
      <c r="B239" s="552"/>
      <c r="C239" s="552"/>
      <c r="D239" s="552"/>
      <c r="E239" s="552"/>
      <c r="F239" s="49"/>
      <c r="G239" s="552"/>
      <c r="H239" s="552"/>
      <c r="I239" s="552"/>
      <c r="J239" s="552"/>
      <c r="K239" s="552"/>
      <c r="L239" s="552"/>
      <c r="M239" s="552"/>
      <c r="N239" s="552"/>
      <c r="O239" s="552"/>
      <c r="P239" s="568"/>
      <c r="Q239" s="568"/>
      <c r="R239" s="568"/>
    </row>
    <row r="240" spans="1:19" x14ac:dyDescent="0.2">
      <c r="A240" s="548" t="s">
        <v>169</v>
      </c>
      <c r="B240" s="548"/>
      <c r="C240" s="46" t="s">
        <v>8</v>
      </c>
      <c r="D240" s="46" t="s">
        <v>9</v>
      </c>
      <c r="E240" s="46" t="s">
        <v>18</v>
      </c>
      <c r="F240" s="46" t="s">
        <v>72</v>
      </c>
      <c r="G240" s="46" t="s">
        <v>11</v>
      </c>
      <c r="H240" s="46" t="s">
        <v>19</v>
      </c>
      <c r="I240" s="46" t="s">
        <v>20</v>
      </c>
      <c r="J240" s="46" t="s">
        <v>14</v>
      </c>
      <c r="K240" s="46" t="s">
        <v>21</v>
      </c>
      <c r="L240" s="46" t="s">
        <v>22</v>
      </c>
      <c r="M240" s="46" t="s">
        <v>23</v>
      </c>
      <c r="N240" s="46" t="s">
        <v>24</v>
      </c>
      <c r="O240" s="46" t="s">
        <v>16</v>
      </c>
      <c r="P240" s="46" t="s">
        <v>81</v>
      </c>
      <c r="Q240" s="548" t="s">
        <v>221</v>
      </c>
      <c r="R240" s="548"/>
    </row>
    <row r="241" spans="1:18" x14ac:dyDescent="0.2">
      <c r="A241" s="573" t="s">
        <v>224</v>
      </c>
      <c r="B241" s="574"/>
      <c r="C241" s="13"/>
      <c r="D241" s="5"/>
      <c r="E241" s="5"/>
      <c r="F241" s="5"/>
      <c r="G241" s="5"/>
      <c r="H241" s="5"/>
      <c r="I241" s="5"/>
      <c r="J241" s="5"/>
      <c r="K241" s="5"/>
      <c r="L241" s="5"/>
      <c r="M241" s="5"/>
      <c r="N241" s="5"/>
      <c r="O241" s="5"/>
      <c r="P241" s="5">
        <f>SUM(C241:O241)</f>
        <v>0</v>
      </c>
      <c r="Q241" s="573">
        <f>P241</f>
        <v>0</v>
      </c>
      <c r="R241" s="574"/>
    </row>
    <row r="242" spans="1:18" x14ac:dyDescent="0.2">
      <c r="A242" s="566" t="s">
        <v>225</v>
      </c>
      <c r="B242" s="567"/>
      <c r="C242" s="13"/>
      <c r="D242" s="5"/>
      <c r="E242" s="5"/>
      <c r="F242" s="5"/>
      <c r="G242" s="5"/>
      <c r="H242" s="5"/>
      <c r="I242" s="5"/>
      <c r="J242" s="5"/>
      <c r="K242" s="5"/>
      <c r="L242" s="5"/>
      <c r="M242" s="5"/>
      <c r="N242" s="5"/>
      <c r="O242" s="5"/>
      <c r="P242" s="5">
        <f t="shared" ref="P242:P252" si="22">SUM(C242:O242)</f>
        <v>0</v>
      </c>
      <c r="Q242" s="566">
        <f t="shared" ref="Q242:Q248" si="23">P242</f>
        <v>0</v>
      </c>
      <c r="R242" s="567"/>
    </row>
    <row r="243" spans="1:18" x14ac:dyDescent="0.2">
      <c r="A243" s="566" t="s">
        <v>226</v>
      </c>
      <c r="B243" s="567"/>
      <c r="C243" s="13"/>
      <c r="D243" s="5"/>
      <c r="E243" s="5"/>
      <c r="F243" s="5"/>
      <c r="G243" s="5"/>
      <c r="H243" s="5"/>
      <c r="I243" s="5"/>
      <c r="J243" s="5"/>
      <c r="K243" s="5"/>
      <c r="L243" s="5"/>
      <c r="M243" s="5"/>
      <c r="N243" s="5"/>
      <c r="O243" s="5"/>
      <c r="P243" s="5">
        <f t="shared" si="22"/>
        <v>0</v>
      </c>
      <c r="Q243" s="566">
        <f t="shared" si="23"/>
        <v>0</v>
      </c>
      <c r="R243" s="567"/>
    </row>
    <row r="244" spans="1:18" x14ac:dyDescent="0.2">
      <c r="A244" s="566" t="s">
        <v>227</v>
      </c>
      <c r="B244" s="567"/>
      <c r="C244" s="13"/>
      <c r="D244" s="5"/>
      <c r="E244" s="5"/>
      <c r="F244" s="5"/>
      <c r="G244" s="5"/>
      <c r="H244" s="5"/>
      <c r="I244" s="5"/>
      <c r="J244" s="5"/>
      <c r="K244" s="5"/>
      <c r="L244" s="5"/>
      <c r="M244" s="5"/>
      <c r="N244" s="5"/>
      <c r="O244" s="5"/>
      <c r="P244" s="5">
        <f t="shared" si="22"/>
        <v>0</v>
      </c>
      <c r="Q244" s="566">
        <f t="shared" si="23"/>
        <v>0</v>
      </c>
      <c r="R244" s="567"/>
    </row>
    <row r="245" spans="1:18" x14ac:dyDescent="0.2">
      <c r="A245" s="566" t="s">
        <v>228</v>
      </c>
      <c r="B245" s="567"/>
      <c r="C245" s="13"/>
      <c r="D245" s="5"/>
      <c r="E245" s="5"/>
      <c r="F245" s="5"/>
      <c r="G245" s="5"/>
      <c r="H245" s="5"/>
      <c r="I245" s="5"/>
      <c r="J245" s="5"/>
      <c r="K245" s="5"/>
      <c r="L245" s="5"/>
      <c r="M245" s="5"/>
      <c r="N245" s="5"/>
      <c r="O245" s="5"/>
      <c r="P245" s="5">
        <f t="shared" si="22"/>
        <v>0</v>
      </c>
      <c r="Q245" s="566">
        <f t="shared" si="23"/>
        <v>0</v>
      </c>
      <c r="R245" s="567"/>
    </row>
    <row r="246" spans="1:18" x14ac:dyDescent="0.2">
      <c r="A246" s="566" t="s">
        <v>229</v>
      </c>
      <c r="B246" s="567"/>
      <c r="C246" s="13"/>
      <c r="D246" s="5"/>
      <c r="E246" s="5"/>
      <c r="F246" s="5"/>
      <c r="G246" s="5"/>
      <c r="H246" s="5"/>
      <c r="I246" s="5"/>
      <c r="J246" s="5"/>
      <c r="K246" s="5"/>
      <c r="L246" s="5"/>
      <c r="M246" s="5"/>
      <c r="N246" s="5"/>
      <c r="O246" s="5"/>
      <c r="P246" s="5">
        <f t="shared" si="22"/>
        <v>0</v>
      </c>
      <c r="Q246" s="566">
        <f t="shared" si="23"/>
        <v>0</v>
      </c>
      <c r="R246" s="567"/>
    </row>
    <row r="247" spans="1:18" x14ac:dyDescent="0.2">
      <c r="A247" s="566" t="s">
        <v>230</v>
      </c>
      <c r="B247" s="567"/>
      <c r="C247" s="13"/>
      <c r="D247" s="5"/>
      <c r="E247" s="5"/>
      <c r="F247" s="5"/>
      <c r="G247" s="5"/>
      <c r="H247" s="5"/>
      <c r="I247" s="5"/>
      <c r="J247" s="5"/>
      <c r="K247" s="5"/>
      <c r="L247" s="5"/>
      <c r="M247" s="5"/>
      <c r="N247" s="5"/>
      <c r="O247" s="5"/>
      <c r="P247" s="5">
        <f t="shared" si="22"/>
        <v>0</v>
      </c>
      <c r="Q247" s="566">
        <f t="shared" si="23"/>
        <v>0</v>
      </c>
      <c r="R247" s="567"/>
    </row>
    <row r="248" spans="1:18" x14ac:dyDescent="0.2">
      <c r="A248" s="566" t="s">
        <v>231</v>
      </c>
      <c r="B248" s="567"/>
      <c r="C248" s="13"/>
      <c r="D248" s="5"/>
      <c r="E248" s="5"/>
      <c r="F248" s="5"/>
      <c r="G248" s="5"/>
      <c r="H248" s="5"/>
      <c r="I248" s="5"/>
      <c r="J248" s="5"/>
      <c r="K248" s="5"/>
      <c r="L248" s="5"/>
      <c r="M248" s="5"/>
      <c r="N248" s="5"/>
      <c r="O248" s="5"/>
      <c r="P248" s="5">
        <f t="shared" si="22"/>
        <v>0</v>
      </c>
      <c r="Q248" s="566">
        <f t="shared" si="23"/>
        <v>0</v>
      </c>
      <c r="R248" s="567"/>
    </row>
    <row r="249" spans="1:18" x14ac:dyDescent="0.2">
      <c r="A249" s="566" t="s">
        <v>232</v>
      </c>
      <c r="B249" s="567"/>
      <c r="C249" s="13"/>
      <c r="D249" s="5"/>
      <c r="E249" s="5"/>
      <c r="F249" s="5"/>
      <c r="G249" s="5"/>
      <c r="H249" s="5"/>
      <c r="I249" s="5"/>
      <c r="J249" s="5"/>
      <c r="K249" s="5"/>
      <c r="L249" s="5"/>
      <c r="M249" s="5"/>
      <c r="N249" s="5"/>
      <c r="O249" s="5"/>
      <c r="P249" s="5">
        <f t="shared" si="22"/>
        <v>0</v>
      </c>
      <c r="Q249" s="566">
        <f>P249*0.125</f>
        <v>0</v>
      </c>
      <c r="R249" s="567"/>
    </row>
    <row r="250" spans="1:18" x14ac:dyDescent="0.2">
      <c r="A250" s="566" t="s">
        <v>233</v>
      </c>
      <c r="B250" s="567"/>
      <c r="C250" s="13"/>
      <c r="D250" s="5"/>
      <c r="E250" s="5"/>
      <c r="F250" s="5"/>
      <c r="G250" s="5"/>
      <c r="H250" s="5"/>
      <c r="I250" s="5"/>
      <c r="J250" s="5"/>
      <c r="K250" s="5"/>
      <c r="L250" s="5"/>
      <c r="M250" s="5"/>
      <c r="N250" s="5"/>
      <c r="O250" s="5"/>
      <c r="P250" s="5">
        <f t="shared" si="22"/>
        <v>0</v>
      </c>
      <c r="Q250" s="566">
        <f>P250*0.125</f>
        <v>0</v>
      </c>
      <c r="R250" s="567"/>
    </row>
    <row r="251" spans="1:18" x14ac:dyDescent="0.2">
      <c r="A251" s="566" t="s">
        <v>234</v>
      </c>
      <c r="B251" s="567"/>
      <c r="C251" s="13"/>
      <c r="D251" s="5"/>
      <c r="E251" s="5"/>
      <c r="F251" s="5"/>
      <c r="G251" s="5"/>
      <c r="H251" s="5"/>
      <c r="I251" s="5"/>
      <c r="J251" s="5"/>
      <c r="K251" s="5"/>
      <c r="L251" s="5"/>
      <c r="M251" s="5"/>
      <c r="N251" s="5"/>
      <c r="O251" s="5"/>
      <c r="P251" s="5">
        <f t="shared" si="22"/>
        <v>0</v>
      </c>
      <c r="Q251" s="566">
        <f>P251*0.125</f>
        <v>0</v>
      </c>
      <c r="R251" s="567"/>
    </row>
    <row r="252" spans="1:18" x14ac:dyDescent="0.2">
      <c r="A252" s="571" t="s">
        <v>235</v>
      </c>
      <c r="B252" s="572"/>
      <c r="C252" s="13"/>
      <c r="D252" s="5"/>
      <c r="E252" s="5"/>
      <c r="F252" s="5"/>
      <c r="G252" s="5"/>
      <c r="H252" s="5"/>
      <c r="I252" s="5"/>
      <c r="J252" s="5"/>
      <c r="K252" s="5"/>
      <c r="L252" s="5"/>
      <c r="M252" s="5"/>
      <c r="N252" s="5"/>
      <c r="O252" s="5"/>
      <c r="P252" s="5">
        <f t="shared" si="22"/>
        <v>0</v>
      </c>
      <c r="Q252" s="566">
        <f>P252*0.125</f>
        <v>0</v>
      </c>
      <c r="R252" s="567"/>
    </row>
    <row r="253" spans="1:18" x14ac:dyDescent="0.2">
      <c r="A253" s="570"/>
      <c r="B253" s="570"/>
      <c r="C253" s="570"/>
      <c r="D253" s="570"/>
      <c r="E253" s="570"/>
      <c r="F253" s="570"/>
      <c r="G253" s="570"/>
      <c r="H253" s="570"/>
      <c r="I253" s="570"/>
      <c r="J253" s="570"/>
      <c r="K253" s="570"/>
      <c r="L253" s="570"/>
      <c r="M253" s="570"/>
      <c r="N253" s="570"/>
      <c r="O253" s="570"/>
      <c r="P253" s="570"/>
      <c r="Q253" s="569">
        <f>SUM(Q241:R252)</f>
        <v>0</v>
      </c>
      <c r="R253" s="570"/>
    </row>
    <row r="254" spans="1:18" x14ac:dyDescent="0.2">
      <c r="A254" s="575" t="s">
        <v>222</v>
      </c>
      <c r="B254" s="575"/>
      <c r="C254" s="575"/>
      <c r="D254" s="575"/>
      <c r="E254" s="575"/>
      <c r="F254" s="575"/>
      <c r="G254" s="575"/>
      <c r="H254" s="575"/>
      <c r="I254" s="575"/>
      <c r="J254" s="575"/>
      <c r="K254" s="575"/>
      <c r="L254" s="575"/>
      <c r="M254" s="575"/>
      <c r="N254" s="575"/>
      <c r="O254" s="575"/>
      <c r="P254" s="575"/>
      <c r="Q254" s="575"/>
      <c r="R254" s="575"/>
    </row>
    <row r="255" spans="1:18" x14ac:dyDescent="0.2">
      <c r="A255" s="575"/>
      <c r="B255" s="575"/>
      <c r="C255" s="575"/>
      <c r="D255" s="575"/>
      <c r="E255" s="575"/>
      <c r="F255" s="575"/>
      <c r="G255" s="575"/>
      <c r="H255" s="575"/>
      <c r="I255" s="575"/>
      <c r="J255" s="575"/>
      <c r="K255" s="575"/>
      <c r="L255" s="575"/>
      <c r="M255" s="575"/>
      <c r="N255" s="575"/>
      <c r="O255" s="575"/>
      <c r="P255" s="575"/>
      <c r="Q255" s="575"/>
      <c r="R255" s="575"/>
    </row>
    <row r="256" spans="1:18" s="37" customFormat="1" ht="13.15" customHeight="1" x14ac:dyDescent="0.25">
      <c r="A256" s="38" t="s">
        <v>184</v>
      </c>
      <c r="B256" s="39"/>
      <c r="C256" s="39"/>
      <c r="D256" s="39"/>
      <c r="E256" s="39"/>
      <c r="F256" s="39"/>
      <c r="G256" s="39"/>
      <c r="H256" s="40"/>
      <c r="I256" s="38"/>
      <c r="J256" s="39"/>
      <c r="K256" s="39"/>
      <c r="L256" s="41"/>
      <c r="M256" s="38"/>
      <c r="N256" s="39"/>
      <c r="O256" s="39"/>
      <c r="P256" s="63"/>
      <c r="Q256" s="63"/>
      <c r="R256" s="62"/>
    </row>
    <row r="257" spans="1:18" s="37" customFormat="1" ht="13.15" customHeight="1" x14ac:dyDescent="0.25">
      <c r="A257" s="42"/>
      <c r="B257" s="56"/>
      <c r="C257" s="56"/>
      <c r="D257" s="56"/>
      <c r="E257" s="56"/>
      <c r="F257" s="56"/>
      <c r="G257" s="56"/>
      <c r="H257" s="57"/>
      <c r="I257" s="42"/>
      <c r="J257" s="56"/>
      <c r="K257" s="56"/>
      <c r="L257" s="43"/>
      <c r="M257" s="42"/>
      <c r="N257" s="56"/>
      <c r="O257" s="56"/>
      <c r="R257" s="61"/>
    </row>
    <row r="258" spans="1:18" s="37" customFormat="1" ht="13.15" customHeight="1" x14ac:dyDescent="0.25">
      <c r="A258" s="42"/>
      <c r="B258" s="56"/>
      <c r="C258" s="56"/>
      <c r="D258" s="56"/>
      <c r="E258" s="56"/>
      <c r="F258" s="56"/>
      <c r="G258" s="56"/>
      <c r="H258" s="57"/>
      <c r="I258" s="42"/>
      <c r="J258" s="56"/>
      <c r="K258" s="56"/>
      <c r="L258" s="43"/>
      <c r="M258" s="42"/>
      <c r="N258" s="56"/>
      <c r="O258" s="56"/>
      <c r="R258" s="61"/>
    </row>
    <row r="259" spans="1:18" s="37" customFormat="1" ht="13.15" customHeight="1" x14ac:dyDescent="0.25">
      <c r="A259" s="42"/>
      <c r="B259" s="56"/>
      <c r="C259" s="56"/>
      <c r="D259" s="56"/>
      <c r="E259" s="56"/>
      <c r="F259" s="56"/>
      <c r="G259" s="56"/>
      <c r="H259" s="57"/>
      <c r="I259" s="581" t="s">
        <v>261</v>
      </c>
      <c r="J259" s="582"/>
      <c r="K259" s="582"/>
      <c r="L259" s="583"/>
      <c r="M259" s="581" t="s">
        <v>260</v>
      </c>
      <c r="N259" s="582"/>
      <c r="O259" s="582"/>
      <c r="P259" s="582"/>
      <c r="Q259" s="582"/>
      <c r="R259" s="583"/>
    </row>
    <row r="260" spans="1:18" s="37" customFormat="1" ht="13.15" customHeight="1" thickBot="1" x14ac:dyDescent="0.3">
      <c r="A260" s="58"/>
      <c r="B260" s="59"/>
      <c r="C260" s="59"/>
      <c r="D260" s="59"/>
      <c r="E260" s="59"/>
      <c r="F260" s="59"/>
      <c r="G260" s="59"/>
      <c r="H260" s="60"/>
      <c r="I260" s="584" t="s">
        <v>262</v>
      </c>
      <c r="J260" s="585"/>
      <c r="K260" s="585"/>
      <c r="L260" s="586"/>
      <c r="M260" s="587" t="s">
        <v>264</v>
      </c>
      <c r="N260" s="588"/>
      <c r="O260" s="588"/>
      <c r="P260" s="588"/>
      <c r="Q260" s="588"/>
      <c r="R260" s="589"/>
    </row>
    <row r="261" spans="1:18" x14ac:dyDescent="0.2">
      <c r="A261" s="558" t="str">
        <f>'2 - Serviços'!$A$7</f>
        <v>MANUTENÇÃO E CONSERVAÇÃO DAS PONTES DE MADEIRA</v>
      </c>
      <c r="B261" s="559"/>
      <c r="C261" s="559"/>
      <c r="D261" s="559"/>
      <c r="E261" s="559"/>
      <c r="F261" s="559"/>
      <c r="G261" s="559"/>
      <c r="H261" s="559"/>
      <c r="I261" s="559"/>
      <c r="J261" s="559"/>
      <c r="K261" s="559"/>
      <c r="L261" s="559"/>
      <c r="M261" s="559"/>
      <c r="N261" s="559"/>
      <c r="O261" s="559"/>
      <c r="P261" s="559"/>
      <c r="Q261" s="559"/>
      <c r="R261" s="559"/>
    </row>
    <row r="262" spans="1:18" x14ac:dyDescent="0.2">
      <c r="A262" s="46" t="s">
        <v>80</v>
      </c>
      <c r="B262" s="548" t="s">
        <v>236</v>
      </c>
      <c r="C262" s="548"/>
      <c r="D262" s="548"/>
      <c r="E262" s="548"/>
      <c r="F262" s="46" t="s">
        <v>220</v>
      </c>
      <c r="G262" s="548" t="s">
        <v>216</v>
      </c>
      <c r="H262" s="548"/>
      <c r="I262" s="548"/>
      <c r="J262" s="548" t="s">
        <v>217</v>
      </c>
      <c r="K262" s="548"/>
      <c r="L262" s="548"/>
      <c r="M262" s="548" t="s">
        <v>218</v>
      </c>
      <c r="N262" s="548"/>
      <c r="O262" s="548"/>
      <c r="P262" s="548" t="s">
        <v>219</v>
      </c>
      <c r="Q262" s="548"/>
      <c r="R262" s="548"/>
    </row>
    <row r="263" spans="1:18" x14ac:dyDescent="0.2">
      <c r="A263" s="7"/>
      <c r="B263" s="552"/>
      <c r="C263" s="552"/>
      <c r="D263" s="552"/>
      <c r="E263" s="552"/>
      <c r="F263" s="49"/>
      <c r="G263" s="552"/>
      <c r="H263" s="552"/>
      <c r="I263" s="552"/>
      <c r="J263" s="552"/>
      <c r="K263" s="552"/>
      <c r="L263" s="552"/>
      <c r="M263" s="552"/>
      <c r="N263" s="552"/>
      <c r="O263" s="552"/>
      <c r="P263" s="568"/>
      <c r="Q263" s="568"/>
      <c r="R263" s="568"/>
    </row>
    <row r="264" spans="1:18" x14ac:dyDescent="0.2">
      <c r="A264" s="548" t="s">
        <v>169</v>
      </c>
      <c r="B264" s="548"/>
      <c r="C264" s="46" t="s">
        <v>8</v>
      </c>
      <c r="D264" s="46" t="s">
        <v>9</v>
      </c>
      <c r="E264" s="46" t="s">
        <v>18</v>
      </c>
      <c r="F264" s="46" t="s">
        <v>72</v>
      </c>
      <c r="G264" s="46" t="s">
        <v>11</v>
      </c>
      <c r="H264" s="46" t="s">
        <v>19</v>
      </c>
      <c r="I264" s="46" t="s">
        <v>20</v>
      </c>
      <c r="J264" s="46" t="s">
        <v>14</v>
      </c>
      <c r="K264" s="46" t="s">
        <v>21</v>
      </c>
      <c r="L264" s="46" t="s">
        <v>22</v>
      </c>
      <c r="M264" s="46" t="s">
        <v>23</v>
      </c>
      <c r="N264" s="46" t="s">
        <v>24</v>
      </c>
      <c r="O264" s="46" t="s">
        <v>16</v>
      </c>
      <c r="P264" s="46" t="s">
        <v>81</v>
      </c>
      <c r="Q264" s="548" t="s">
        <v>221</v>
      </c>
      <c r="R264" s="548"/>
    </row>
    <row r="265" spans="1:18" x14ac:dyDescent="0.2">
      <c r="A265" s="573" t="s">
        <v>224</v>
      </c>
      <c r="B265" s="574"/>
      <c r="C265" s="13"/>
      <c r="D265" s="5"/>
      <c r="E265" s="5"/>
      <c r="F265" s="5"/>
      <c r="G265" s="5"/>
      <c r="H265" s="5"/>
      <c r="I265" s="5"/>
      <c r="J265" s="5"/>
      <c r="K265" s="5"/>
      <c r="L265" s="5"/>
      <c r="M265" s="5"/>
      <c r="N265" s="5"/>
      <c r="O265" s="5"/>
      <c r="P265" s="5">
        <f>SUM(C265:O265)</f>
        <v>0</v>
      </c>
      <c r="Q265" s="573">
        <f>P265</f>
        <v>0</v>
      </c>
      <c r="R265" s="574"/>
    </row>
    <row r="266" spans="1:18" x14ac:dyDescent="0.2">
      <c r="A266" s="566" t="s">
        <v>225</v>
      </c>
      <c r="B266" s="567"/>
      <c r="C266" s="13"/>
      <c r="D266" s="5"/>
      <c r="E266" s="5"/>
      <c r="F266" s="5"/>
      <c r="G266" s="5"/>
      <c r="H266" s="5"/>
      <c r="I266" s="5"/>
      <c r="J266" s="5"/>
      <c r="K266" s="5"/>
      <c r="L266" s="5"/>
      <c r="M266" s="5"/>
      <c r="N266" s="5"/>
      <c r="O266" s="5"/>
      <c r="P266" s="5">
        <f t="shared" ref="P266:P276" si="24">SUM(C266:O266)</f>
        <v>0</v>
      </c>
      <c r="Q266" s="566">
        <f t="shared" ref="Q266:Q272" si="25">P266</f>
        <v>0</v>
      </c>
      <c r="R266" s="567"/>
    </row>
    <row r="267" spans="1:18" x14ac:dyDescent="0.2">
      <c r="A267" s="566" t="s">
        <v>226</v>
      </c>
      <c r="B267" s="567"/>
      <c r="C267" s="13"/>
      <c r="D267" s="5"/>
      <c r="E267" s="5"/>
      <c r="F267" s="5"/>
      <c r="G267" s="5"/>
      <c r="H267" s="5"/>
      <c r="I267" s="5"/>
      <c r="J267" s="5"/>
      <c r="K267" s="5"/>
      <c r="L267" s="5"/>
      <c r="M267" s="5"/>
      <c r="N267" s="5"/>
      <c r="O267" s="5"/>
      <c r="P267" s="5">
        <f t="shared" si="24"/>
        <v>0</v>
      </c>
      <c r="Q267" s="566">
        <f t="shared" si="25"/>
        <v>0</v>
      </c>
      <c r="R267" s="567"/>
    </row>
    <row r="268" spans="1:18" x14ac:dyDescent="0.2">
      <c r="A268" s="566" t="s">
        <v>227</v>
      </c>
      <c r="B268" s="567"/>
      <c r="C268" s="13"/>
      <c r="D268" s="5"/>
      <c r="E268" s="5"/>
      <c r="F268" s="5"/>
      <c r="G268" s="5"/>
      <c r="H268" s="5"/>
      <c r="I268" s="5"/>
      <c r="J268" s="5"/>
      <c r="K268" s="5"/>
      <c r="L268" s="5"/>
      <c r="M268" s="5"/>
      <c r="N268" s="5"/>
      <c r="O268" s="5"/>
      <c r="P268" s="5">
        <f t="shared" si="24"/>
        <v>0</v>
      </c>
      <c r="Q268" s="566">
        <f t="shared" si="25"/>
        <v>0</v>
      </c>
      <c r="R268" s="567"/>
    </row>
    <row r="269" spans="1:18" x14ac:dyDescent="0.2">
      <c r="A269" s="566" t="s">
        <v>228</v>
      </c>
      <c r="B269" s="567"/>
      <c r="C269" s="13"/>
      <c r="D269" s="5"/>
      <c r="E269" s="5"/>
      <c r="F269" s="5"/>
      <c r="G269" s="5"/>
      <c r="H269" s="5"/>
      <c r="I269" s="5"/>
      <c r="J269" s="5"/>
      <c r="K269" s="5"/>
      <c r="L269" s="5"/>
      <c r="M269" s="5"/>
      <c r="N269" s="5"/>
      <c r="O269" s="5"/>
      <c r="P269" s="5">
        <f t="shared" si="24"/>
        <v>0</v>
      </c>
      <c r="Q269" s="566">
        <f t="shared" si="25"/>
        <v>0</v>
      </c>
      <c r="R269" s="567"/>
    </row>
    <row r="270" spans="1:18" x14ac:dyDescent="0.2">
      <c r="A270" s="566" t="s">
        <v>229</v>
      </c>
      <c r="B270" s="567"/>
      <c r="C270" s="13"/>
      <c r="D270" s="5"/>
      <c r="E270" s="5"/>
      <c r="F270" s="5"/>
      <c r="G270" s="5"/>
      <c r="H270" s="5"/>
      <c r="I270" s="5"/>
      <c r="J270" s="5"/>
      <c r="K270" s="5"/>
      <c r="L270" s="5"/>
      <c r="M270" s="5"/>
      <c r="N270" s="5"/>
      <c r="O270" s="5"/>
      <c r="P270" s="5">
        <f t="shared" si="24"/>
        <v>0</v>
      </c>
      <c r="Q270" s="566">
        <f t="shared" si="25"/>
        <v>0</v>
      </c>
      <c r="R270" s="567"/>
    </row>
    <row r="271" spans="1:18" x14ac:dyDescent="0.2">
      <c r="A271" s="566" t="s">
        <v>230</v>
      </c>
      <c r="B271" s="567"/>
      <c r="C271" s="13"/>
      <c r="D271" s="5"/>
      <c r="E271" s="5"/>
      <c r="F271" s="5"/>
      <c r="G271" s="5"/>
      <c r="H271" s="5"/>
      <c r="I271" s="5"/>
      <c r="J271" s="5"/>
      <c r="K271" s="5"/>
      <c r="L271" s="5"/>
      <c r="M271" s="5"/>
      <c r="N271" s="5"/>
      <c r="O271" s="5"/>
      <c r="P271" s="5">
        <f t="shared" si="24"/>
        <v>0</v>
      </c>
      <c r="Q271" s="566">
        <f t="shared" si="25"/>
        <v>0</v>
      </c>
      <c r="R271" s="567"/>
    </row>
    <row r="272" spans="1:18" x14ac:dyDescent="0.2">
      <c r="A272" s="566" t="s">
        <v>231</v>
      </c>
      <c r="B272" s="567"/>
      <c r="C272" s="13"/>
      <c r="D272" s="5"/>
      <c r="E272" s="5"/>
      <c r="F272" s="5"/>
      <c r="G272" s="5"/>
      <c r="H272" s="5"/>
      <c r="I272" s="5"/>
      <c r="J272" s="5"/>
      <c r="K272" s="5"/>
      <c r="L272" s="5"/>
      <c r="M272" s="5"/>
      <c r="N272" s="5"/>
      <c r="O272" s="5"/>
      <c r="P272" s="5">
        <f t="shared" si="24"/>
        <v>0</v>
      </c>
      <c r="Q272" s="566">
        <f t="shared" si="25"/>
        <v>0</v>
      </c>
      <c r="R272" s="567"/>
    </row>
    <row r="273" spans="1:18" x14ac:dyDescent="0.2">
      <c r="A273" s="566" t="s">
        <v>232</v>
      </c>
      <c r="B273" s="567"/>
      <c r="C273" s="13"/>
      <c r="D273" s="5"/>
      <c r="E273" s="5"/>
      <c r="F273" s="5"/>
      <c r="G273" s="5"/>
      <c r="H273" s="5"/>
      <c r="I273" s="5"/>
      <c r="J273" s="5"/>
      <c r="K273" s="5"/>
      <c r="L273" s="5"/>
      <c r="M273" s="5"/>
      <c r="N273" s="5"/>
      <c r="O273" s="5"/>
      <c r="P273" s="5">
        <f t="shared" si="24"/>
        <v>0</v>
      </c>
      <c r="Q273" s="566">
        <f>P273*0.125</f>
        <v>0</v>
      </c>
      <c r="R273" s="567"/>
    </row>
    <row r="274" spans="1:18" x14ac:dyDescent="0.2">
      <c r="A274" s="566" t="s">
        <v>233</v>
      </c>
      <c r="B274" s="567"/>
      <c r="C274" s="13"/>
      <c r="D274" s="5"/>
      <c r="E274" s="5"/>
      <c r="F274" s="5"/>
      <c r="G274" s="5"/>
      <c r="H274" s="5"/>
      <c r="I274" s="5"/>
      <c r="J274" s="5"/>
      <c r="K274" s="5"/>
      <c r="L274" s="5"/>
      <c r="M274" s="5"/>
      <c r="N274" s="5"/>
      <c r="O274" s="5"/>
      <c r="P274" s="5">
        <f t="shared" si="24"/>
        <v>0</v>
      </c>
      <c r="Q274" s="566">
        <f>P274*0.125</f>
        <v>0</v>
      </c>
      <c r="R274" s="567"/>
    </row>
    <row r="275" spans="1:18" x14ac:dyDescent="0.2">
      <c r="A275" s="566" t="s">
        <v>234</v>
      </c>
      <c r="B275" s="567"/>
      <c r="C275" s="13"/>
      <c r="D275" s="5"/>
      <c r="E275" s="5"/>
      <c r="F275" s="5"/>
      <c r="G275" s="5"/>
      <c r="H275" s="5"/>
      <c r="I275" s="5"/>
      <c r="J275" s="5"/>
      <c r="K275" s="5"/>
      <c r="L275" s="5"/>
      <c r="M275" s="5"/>
      <c r="N275" s="5"/>
      <c r="O275" s="5"/>
      <c r="P275" s="5">
        <f t="shared" si="24"/>
        <v>0</v>
      </c>
      <c r="Q275" s="566">
        <f>P275*0.125</f>
        <v>0</v>
      </c>
      <c r="R275" s="567"/>
    </row>
    <row r="276" spans="1:18" x14ac:dyDescent="0.2">
      <c r="A276" s="571" t="s">
        <v>235</v>
      </c>
      <c r="B276" s="572"/>
      <c r="C276" s="13"/>
      <c r="D276" s="5"/>
      <c r="E276" s="5"/>
      <c r="F276" s="5"/>
      <c r="G276" s="5"/>
      <c r="H276" s="5"/>
      <c r="I276" s="5"/>
      <c r="J276" s="5"/>
      <c r="K276" s="5"/>
      <c r="L276" s="5"/>
      <c r="M276" s="5"/>
      <c r="N276" s="5"/>
      <c r="O276" s="5"/>
      <c r="P276" s="5">
        <f t="shared" si="24"/>
        <v>0</v>
      </c>
      <c r="Q276" s="566">
        <f>P276*0.125</f>
        <v>0</v>
      </c>
      <c r="R276" s="567"/>
    </row>
    <row r="277" spans="1:18" x14ac:dyDescent="0.2">
      <c r="A277" s="570"/>
      <c r="B277" s="570"/>
      <c r="C277" s="570"/>
      <c r="D277" s="570"/>
      <c r="E277" s="570"/>
      <c r="F277" s="570"/>
      <c r="G277" s="570"/>
      <c r="H277" s="570"/>
      <c r="I277" s="570"/>
      <c r="J277" s="570"/>
      <c r="K277" s="570"/>
      <c r="L277" s="570"/>
      <c r="M277" s="570"/>
      <c r="N277" s="570"/>
      <c r="O277" s="570"/>
      <c r="P277" s="570"/>
      <c r="Q277" s="569">
        <f>SUM(Q265:R276)</f>
        <v>0</v>
      </c>
      <c r="R277" s="570"/>
    </row>
    <row r="278" spans="1:18" x14ac:dyDescent="0.2">
      <c r="A278" s="575" t="s">
        <v>222</v>
      </c>
      <c r="B278" s="575"/>
      <c r="C278" s="575"/>
      <c r="D278" s="575"/>
      <c r="E278" s="575"/>
      <c r="F278" s="575"/>
      <c r="G278" s="575"/>
      <c r="H278" s="575"/>
      <c r="I278" s="575"/>
      <c r="J278" s="575"/>
      <c r="K278" s="575"/>
      <c r="L278" s="575"/>
      <c r="M278" s="575"/>
      <c r="N278" s="575"/>
      <c r="O278" s="575"/>
      <c r="P278" s="575"/>
      <c r="Q278" s="575"/>
      <c r="R278" s="575"/>
    </row>
    <row r="279" spans="1:18" x14ac:dyDescent="0.2">
      <c r="A279" s="575"/>
      <c r="B279" s="575"/>
      <c r="C279" s="575"/>
      <c r="D279" s="575"/>
      <c r="E279" s="575"/>
      <c r="F279" s="575"/>
      <c r="G279" s="575"/>
      <c r="H279" s="575"/>
      <c r="I279" s="575"/>
      <c r="J279" s="575"/>
      <c r="K279" s="575"/>
      <c r="L279" s="575"/>
      <c r="M279" s="575"/>
      <c r="N279" s="575"/>
      <c r="O279" s="575"/>
      <c r="P279" s="575"/>
      <c r="Q279" s="575"/>
      <c r="R279" s="575"/>
    </row>
    <row r="280" spans="1:18" x14ac:dyDescent="0.2">
      <c r="A280" s="558" t="str">
        <f>'2 - Serviços'!$A$7</f>
        <v>MANUTENÇÃO E CONSERVAÇÃO DAS PONTES DE MADEIRA</v>
      </c>
      <c r="B280" s="559"/>
      <c r="C280" s="559"/>
      <c r="D280" s="559"/>
      <c r="E280" s="559"/>
      <c r="F280" s="559"/>
      <c r="G280" s="559"/>
      <c r="H280" s="559"/>
      <c r="I280" s="559"/>
      <c r="J280" s="559"/>
      <c r="K280" s="559"/>
      <c r="L280" s="559"/>
      <c r="M280" s="559"/>
      <c r="N280" s="559"/>
      <c r="O280" s="559"/>
      <c r="P280" s="559"/>
      <c r="Q280" s="559"/>
      <c r="R280" s="559"/>
    </row>
    <row r="281" spans="1:18" x14ac:dyDescent="0.2">
      <c r="A281" s="46" t="s">
        <v>80</v>
      </c>
      <c r="B281" s="548" t="s">
        <v>236</v>
      </c>
      <c r="C281" s="548"/>
      <c r="D281" s="548"/>
      <c r="E281" s="548"/>
      <c r="F281" s="46" t="s">
        <v>220</v>
      </c>
      <c r="G281" s="548" t="s">
        <v>216</v>
      </c>
      <c r="H281" s="548"/>
      <c r="I281" s="548"/>
      <c r="J281" s="548" t="s">
        <v>217</v>
      </c>
      <c r="K281" s="548"/>
      <c r="L281" s="548"/>
      <c r="M281" s="548" t="s">
        <v>218</v>
      </c>
      <c r="N281" s="548"/>
      <c r="O281" s="548"/>
      <c r="P281" s="548" t="s">
        <v>219</v>
      </c>
      <c r="Q281" s="548"/>
      <c r="R281" s="548"/>
    </row>
    <row r="282" spans="1:18" x14ac:dyDescent="0.2">
      <c r="A282" s="7"/>
      <c r="B282" s="552"/>
      <c r="C282" s="552"/>
      <c r="D282" s="552"/>
      <c r="E282" s="552"/>
      <c r="F282" s="49"/>
      <c r="G282" s="552"/>
      <c r="H282" s="552"/>
      <c r="I282" s="552"/>
      <c r="J282" s="552"/>
      <c r="K282" s="552"/>
      <c r="L282" s="552"/>
      <c r="M282" s="552"/>
      <c r="N282" s="552"/>
      <c r="O282" s="552"/>
      <c r="P282" s="568"/>
      <c r="Q282" s="568"/>
      <c r="R282" s="568"/>
    </row>
    <row r="283" spans="1:18" x14ac:dyDescent="0.2">
      <c r="A283" s="548" t="s">
        <v>169</v>
      </c>
      <c r="B283" s="548"/>
      <c r="C283" s="46" t="s">
        <v>8</v>
      </c>
      <c r="D283" s="46" t="s">
        <v>9</v>
      </c>
      <c r="E283" s="46" t="s">
        <v>18</v>
      </c>
      <c r="F283" s="46" t="s">
        <v>72</v>
      </c>
      <c r="G283" s="46" t="s">
        <v>11</v>
      </c>
      <c r="H283" s="46" t="s">
        <v>19</v>
      </c>
      <c r="I283" s="46" t="s">
        <v>20</v>
      </c>
      <c r="J283" s="46" t="s">
        <v>14</v>
      </c>
      <c r="K283" s="46" t="s">
        <v>21</v>
      </c>
      <c r="L283" s="46" t="s">
        <v>22</v>
      </c>
      <c r="M283" s="46" t="s">
        <v>23</v>
      </c>
      <c r="N283" s="46" t="s">
        <v>24</v>
      </c>
      <c r="O283" s="46" t="s">
        <v>16</v>
      </c>
      <c r="P283" s="46" t="s">
        <v>81</v>
      </c>
      <c r="Q283" s="548" t="s">
        <v>221</v>
      </c>
      <c r="R283" s="548"/>
    </row>
    <row r="284" spans="1:18" x14ac:dyDescent="0.2">
      <c r="A284" s="573" t="s">
        <v>224</v>
      </c>
      <c r="B284" s="574"/>
      <c r="C284" s="13"/>
      <c r="D284" s="5"/>
      <c r="E284" s="5"/>
      <c r="F284" s="5"/>
      <c r="G284" s="5"/>
      <c r="H284" s="5"/>
      <c r="I284" s="5"/>
      <c r="J284" s="5"/>
      <c r="K284" s="5"/>
      <c r="L284" s="5"/>
      <c r="M284" s="5"/>
      <c r="N284" s="5"/>
      <c r="O284" s="5"/>
      <c r="P284" s="5">
        <f>SUM(C284:O284)</f>
        <v>0</v>
      </c>
      <c r="Q284" s="573">
        <f>P284</f>
        <v>0</v>
      </c>
      <c r="R284" s="574"/>
    </row>
    <row r="285" spans="1:18" x14ac:dyDescent="0.2">
      <c r="A285" s="566" t="s">
        <v>225</v>
      </c>
      <c r="B285" s="567"/>
      <c r="C285" s="13"/>
      <c r="D285" s="5"/>
      <c r="E285" s="5"/>
      <c r="F285" s="5"/>
      <c r="G285" s="5"/>
      <c r="H285" s="5"/>
      <c r="I285" s="5"/>
      <c r="J285" s="5"/>
      <c r="K285" s="5"/>
      <c r="L285" s="5"/>
      <c r="M285" s="5"/>
      <c r="N285" s="5"/>
      <c r="O285" s="5"/>
      <c r="P285" s="5">
        <f t="shared" ref="P285:P295" si="26">SUM(C285:O285)</f>
        <v>0</v>
      </c>
      <c r="Q285" s="566">
        <f t="shared" ref="Q285:Q291" si="27">P285</f>
        <v>0</v>
      </c>
      <c r="R285" s="567"/>
    </row>
    <row r="286" spans="1:18" x14ac:dyDescent="0.2">
      <c r="A286" s="566" t="s">
        <v>226</v>
      </c>
      <c r="B286" s="567"/>
      <c r="C286" s="13"/>
      <c r="D286" s="5"/>
      <c r="E286" s="5"/>
      <c r="F286" s="5"/>
      <c r="G286" s="5"/>
      <c r="H286" s="5"/>
      <c r="I286" s="5"/>
      <c r="J286" s="5"/>
      <c r="K286" s="5"/>
      <c r="L286" s="5"/>
      <c r="M286" s="5"/>
      <c r="N286" s="5"/>
      <c r="O286" s="5"/>
      <c r="P286" s="5">
        <f t="shared" si="26"/>
        <v>0</v>
      </c>
      <c r="Q286" s="566">
        <f t="shared" si="27"/>
        <v>0</v>
      </c>
      <c r="R286" s="567"/>
    </row>
    <row r="287" spans="1:18" x14ac:dyDescent="0.2">
      <c r="A287" s="566" t="s">
        <v>227</v>
      </c>
      <c r="B287" s="567"/>
      <c r="C287" s="13"/>
      <c r="D287" s="5"/>
      <c r="E287" s="5"/>
      <c r="F287" s="5"/>
      <c r="G287" s="5"/>
      <c r="H287" s="5"/>
      <c r="I287" s="5"/>
      <c r="J287" s="5"/>
      <c r="K287" s="5"/>
      <c r="L287" s="5"/>
      <c r="M287" s="5"/>
      <c r="N287" s="5"/>
      <c r="O287" s="5"/>
      <c r="P287" s="5">
        <f t="shared" si="26"/>
        <v>0</v>
      </c>
      <c r="Q287" s="566">
        <f t="shared" si="27"/>
        <v>0</v>
      </c>
      <c r="R287" s="567"/>
    </row>
    <row r="288" spans="1:18" x14ac:dyDescent="0.2">
      <c r="A288" s="566" t="s">
        <v>228</v>
      </c>
      <c r="B288" s="567"/>
      <c r="C288" s="13"/>
      <c r="D288" s="5"/>
      <c r="E288" s="5"/>
      <c r="F288" s="5"/>
      <c r="G288" s="5"/>
      <c r="H288" s="5"/>
      <c r="I288" s="5"/>
      <c r="J288" s="5"/>
      <c r="K288" s="5"/>
      <c r="L288" s="5"/>
      <c r="M288" s="5"/>
      <c r="N288" s="5"/>
      <c r="O288" s="5"/>
      <c r="P288" s="5">
        <f t="shared" si="26"/>
        <v>0</v>
      </c>
      <c r="Q288" s="566">
        <f t="shared" si="27"/>
        <v>0</v>
      </c>
      <c r="R288" s="567"/>
    </row>
    <row r="289" spans="1:18" x14ac:dyDescent="0.2">
      <c r="A289" s="566" t="s">
        <v>229</v>
      </c>
      <c r="B289" s="567"/>
      <c r="C289" s="13"/>
      <c r="D289" s="5"/>
      <c r="E289" s="5"/>
      <c r="F289" s="5"/>
      <c r="G289" s="5"/>
      <c r="H289" s="5"/>
      <c r="I289" s="5"/>
      <c r="J289" s="5"/>
      <c r="K289" s="5"/>
      <c r="L289" s="5"/>
      <c r="M289" s="5"/>
      <c r="N289" s="5"/>
      <c r="O289" s="5"/>
      <c r="P289" s="5">
        <f t="shared" si="26"/>
        <v>0</v>
      </c>
      <c r="Q289" s="566">
        <f t="shared" si="27"/>
        <v>0</v>
      </c>
      <c r="R289" s="567"/>
    </row>
    <row r="290" spans="1:18" x14ac:dyDescent="0.2">
      <c r="A290" s="566" t="s">
        <v>230</v>
      </c>
      <c r="B290" s="567"/>
      <c r="C290" s="13"/>
      <c r="D290" s="5"/>
      <c r="E290" s="5"/>
      <c r="F290" s="5"/>
      <c r="G290" s="5"/>
      <c r="H290" s="5"/>
      <c r="I290" s="5"/>
      <c r="J290" s="5"/>
      <c r="K290" s="5"/>
      <c r="L290" s="5"/>
      <c r="M290" s="5"/>
      <c r="N290" s="5"/>
      <c r="O290" s="5"/>
      <c r="P290" s="5">
        <f t="shared" si="26"/>
        <v>0</v>
      </c>
      <c r="Q290" s="566">
        <f t="shared" si="27"/>
        <v>0</v>
      </c>
      <c r="R290" s="567"/>
    </row>
    <row r="291" spans="1:18" x14ac:dyDescent="0.2">
      <c r="A291" s="566" t="s">
        <v>231</v>
      </c>
      <c r="B291" s="567"/>
      <c r="C291" s="13"/>
      <c r="D291" s="5"/>
      <c r="E291" s="5"/>
      <c r="F291" s="5"/>
      <c r="G291" s="5"/>
      <c r="H291" s="5"/>
      <c r="I291" s="5"/>
      <c r="J291" s="5"/>
      <c r="K291" s="5"/>
      <c r="L291" s="5"/>
      <c r="M291" s="5"/>
      <c r="N291" s="5"/>
      <c r="O291" s="5"/>
      <c r="P291" s="5">
        <f t="shared" si="26"/>
        <v>0</v>
      </c>
      <c r="Q291" s="566">
        <f t="shared" si="27"/>
        <v>0</v>
      </c>
      <c r="R291" s="567"/>
    </row>
    <row r="292" spans="1:18" x14ac:dyDescent="0.2">
      <c r="A292" s="566" t="s">
        <v>232</v>
      </c>
      <c r="B292" s="567"/>
      <c r="C292" s="13"/>
      <c r="D292" s="5"/>
      <c r="E292" s="5"/>
      <c r="F292" s="5"/>
      <c r="G292" s="5"/>
      <c r="H292" s="5"/>
      <c r="I292" s="5"/>
      <c r="J292" s="5"/>
      <c r="K292" s="5"/>
      <c r="L292" s="5"/>
      <c r="M292" s="5"/>
      <c r="N292" s="5"/>
      <c r="O292" s="5"/>
      <c r="P292" s="5">
        <f t="shared" si="26"/>
        <v>0</v>
      </c>
      <c r="Q292" s="566">
        <f>P292*0.125</f>
        <v>0</v>
      </c>
      <c r="R292" s="567"/>
    </row>
    <row r="293" spans="1:18" x14ac:dyDescent="0.2">
      <c r="A293" s="566" t="s">
        <v>233</v>
      </c>
      <c r="B293" s="567"/>
      <c r="C293" s="13"/>
      <c r="D293" s="5"/>
      <c r="E293" s="5"/>
      <c r="F293" s="5"/>
      <c r="G293" s="5"/>
      <c r="H293" s="5"/>
      <c r="I293" s="5"/>
      <c r="J293" s="5"/>
      <c r="K293" s="5"/>
      <c r="L293" s="5"/>
      <c r="M293" s="5"/>
      <c r="N293" s="5"/>
      <c r="O293" s="5"/>
      <c r="P293" s="5">
        <f t="shared" si="26"/>
        <v>0</v>
      </c>
      <c r="Q293" s="566">
        <f>P293*0.125</f>
        <v>0</v>
      </c>
      <c r="R293" s="567"/>
    </row>
    <row r="294" spans="1:18" x14ac:dyDescent="0.2">
      <c r="A294" s="566" t="s">
        <v>234</v>
      </c>
      <c r="B294" s="567"/>
      <c r="C294" s="13"/>
      <c r="D294" s="5"/>
      <c r="E294" s="5"/>
      <c r="F294" s="5"/>
      <c r="G294" s="5"/>
      <c r="H294" s="5"/>
      <c r="I294" s="5"/>
      <c r="J294" s="5"/>
      <c r="K294" s="5"/>
      <c r="L294" s="5"/>
      <c r="M294" s="5"/>
      <c r="N294" s="5"/>
      <c r="O294" s="5"/>
      <c r="P294" s="5">
        <f t="shared" si="26"/>
        <v>0</v>
      </c>
      <c r="Q294" s="566">
        <f>P294*0.125</f>
        <v>0</v>
      </c>
      <c r="R294" s="567"/>
    </row>
    <row r="295" spans="1:18" x14ac:dyDescent="0.2">
      <c r="A295" s="571" t="s">
        <v>235</v>
      </c>
      <c r="B295" s="572"/>
      <c r="C295" s="13"/>
      <c r="D295" s="5"/>
      <c r="E295" s="5"/>
      <c r="F295" s="5"/>
      <c r="G295" s="5"/>
      <c r="H295" s="5"/>
      <c r="I295" s="5"/>
      <c r="J295" s="5"/>
      <c r="K295" s="5"/>
      <c r="L295" s="5"/>
      <c r="M295" s="5"/>
      <c r="N295" s="5"/>
      <c r="O295" s="5"/>
      <c r="P295" s="5">
        <f t="shared" si="26"/>
        <v>0</v>
      </c>
      <c r="Q295" s="566">
        <f>P295*0.125</f>
        <v>0</v>
      </c>
      <c r="R295" s="567"/>
    </row>
    <row r="296" spans="1:18" x14ac:dyDescent="0.2">
      <c r="A296" s="570"/>
      <c r="B296" s="570"/>
      <c r="C296" s="570"/>
      <c r="D296" s="570"/>
      <c r="E296" s="570"/>
      <c r="F296" s="570"/>
      <c r="G296" s="570"/>
      <c r="H296" s="570"/>
      <c r="I296" s="570"/>
      <c r="J296" s="570"/>
      <c r="K296" s="570"/>
      <c r="L296" s="570"/>
      <c r="M296" s="570"/>
      <c r="N296" s="570"/>
      <c r="O296" s="570"/>
      <c r="P296" s="570"/>
      <c r="Q296" s="569">
        <f>SUM(Q284:R295)</f>
        <v>0</v>
      </c>
      <c r="R296" s="570"/>
    </row>
    <row r="297" spans="1:18" x14ac:dyDescent="0.2">
      <c r="A297" s="575" t="s">
        <v>222</v>
      </c>
      <c r="B297" s="575"/>
      <c r="C297" s="575"/>
      <c r="D297" s="575"/>
      <c r="E297" s="575"/>
      <c r="F297" s="575"/>
      <c r="G297" s="575"/>
      <c r="H297" s="575"/>
      <c r="I297" s="575"/>
      <c r="J297" s="575"/>
      <c r="K297" s="575"/>
      <c r="L297" s="575"/>
      <c r="M297" s="575"/>
      <c r="N297" s="575"/>
      <c r="O297" s="575"/>
      <c r="P297" s="575"/>
      <c r="Q297" s="575"/>
      <c r="R297" s="575"/>
    </row>
    <row r="298" spans="1:18" x14ac:dyDescent="0.2">
      <c r="A298" s="575"/>
      <c r="B298" s="575"/>
      <c r="C298" s="575"/>
      <c r="D298" s="575"/>
      <c r="E298" s="575"/>
      <c r="F298" s="575"/>
      <c r="G298" s="575"/>
      <c r="H298" s="575"/>
      <c r="I298" s="575"/>
      <c r="J298" s="575"/>
      <c r="K298" s="575"/>
      <c r="L298" s="575"/>
      <c r="M298" s="575"/>
      <c r="N298" s="575"/>
      <c r="O298" s="575"/>
      <c r="P298" s="575"/>
      <c r="Q298" s="575"/>
      <c r="R298" s="575"/>
    </row>
    <row r="299" spans="1:18" x14ac:dyDescent="0.2">
      <c r="A299" s="558" t="str">
        <f>'2 - Serviços'!$A$7</f>
        <v>MANUTENÇÃO E CONSERVAÇÃO DAS PONTES DE MADEIRA</v>
      </c>
      <c r="B299" s="559"/>
      <c r="C299" s="559"/>
      <c r="D299" s="559"/>
      <c r="E299" s="559"/>
      <c r="F299" s="559"/>
      <c r="G299" s="559"/>
      <c r="H299" s="559"/>
      <c r="I299" s="559"/>
      <c r="J299" s="559"/>
      <c r="K299" s="559"/>
      <c r="L299" s="559"/>
      <c r="M299" s="559"/>
      <c r="N299" s="559"/>
      <c r="O299" s="559"/>
      <c r="P299" s="559"/>
      <c r="Q299" s="559"/>
      <c r="R299" s="559"/>
    </row>
    <row r="300" spans="1:18" x14ac:dyDescent="0.2">
      <c r="A300" s="46" t="s">
        <v>80</v>
      </c>
      <c r="B300" s="548" t="s">
        <v>236</v>
      </c>
      <c r="C300" s="548"/>
      <c r="D300" s="548"/>
      <c r="E300" s="548"/>
      <c r="F300" s="46" t="s">
        <v>220</v>
      </c>
      <c r="G300" s="548" t="s">
        <v>216</v>
      </c>
      <c r="H300" s="548"/>
      <c r="I300" s="548"/>
      <c r="J300" s="548" t="s">
        <v>217</v>
      </c>
      <c r="K300" s="548"/>
      <c r="L300" s="548"/>
      <c r="M300" s="548" t="s">
        <v>218</v>
      </c>
      <c r="N300" s="548"/>
      <c r="O300" s="548"/>
      <c r="P300" s="548" t="s">
        <v>219</v>
      </c>
      <c r="Q300" s="548"/>
      <c r="R300" s="548"/>
    </row>
    <row r="301" spans="1:18" x14ac:dyDescent="0.2">
      <c r="A301" s="7"/>
      <c r="B301" s="552"/>
      <c r="C301" s="552"/>
      <c r="D301" s="552"/>
      <c r="E301" s="552"/>
      <c r="F301" s="49"/>
      <c r="G301" s="552"/>
      <c r="H301" s="552"/>
      <c r="I301" s="552"/>
      <c r="J301" s="552"/>
      <c r="K301" s="552"/>
      <c r="L301" s="552"/>
      <c r="M301" s="552"/>
      <c r="N301" s="552"/>
      <c r="O301" s="552"/>
      <c r="P301" s="568"/>
      <c r="Q301" s="568"/>
      <c r="R301" s="568"/>
    </row>
    <row r="302" spans="1:18" x14ac:dyDescent="0.2">
      <c r="A302" s="548" t="s">
        <v>169</v>
      </c>
      <c r="B302" s="548"/>
      <c r="C302" s="46" t="s">
        <v>8</v>
      </c>
      <c r="D302" s="46" t="s">
        <v>9</v>
      </c>
      <c r="E302" s="46" t="s">
        <v>18</v>
      </c>
      <c r="F302" s="46" t="s">
        <v>72</v>
      </c>
      <c r="G302" s="46" t="s">
        <v>11</v>
      </c>
      <c r="H302" s="46" t="s">
        <v>19</v>
      </c>
      <c r="I302" s="46" t="s">
        <v>20</v>
      </c>
      <c r="J302" s="46" t="s">
        <v>14</v>
      </c>
      <c r="K302" s="46" t="s">
        <v>21</v>
      </c>
      <c r="L302" s="46" t="s">
        <v>22</v>
      </c>
      <c r="M302" s="46" t="s">
        <v>23</v>
      </c>
      <c r="N302" s="46" t="s">
        <v>24</v>
      </c>
      <c r="O302" s="46" t="s">
        <v>16</v>
      </c>
      <c r="P302" s="46" t="s">
        <v>81</v>
      </c>
      <c r="Q302" s="548" t="s">
        <v>221</v>
      </c>
      <c r="R302" s="548"/>
    </row>
    <row r="303" spans="1:18" x14ac:dyDescent="0.2">
      <c r="A303" s="573" t="s">
        <v>224</v>
      </c>
      <c r="B303" s="574"/>
      <c r="C303" s="13"/>
      <c r="D303" s="5"/>
      <c r="E303" s="5"/>
      <c r="F303" s="5"/>
      <c r="G303" s="5"/>
      <c r="H303" s="5"/>
      <c r="I303" s="5"/>
      <c r="J303" s="5"/>
      <c r="K303" s="5"/>
      <c r="L303" s="5"/>
      <c r="M303" s="5"/>
      <c r="N303" s="5"/>
      <c r="O303" s="5"/>
      <c r="P303" s="5">
        <f>SUM(C303:O303)</f>
        <v>0</v>
      </c>
      <c r="Q303" s="573">
        <f>P303</f>
        <v>0</v>
      </c>
      <c r="R303" s="574"/>
    </row>
    <row r="304" spans="1:18" x14ac:dyDescent="0.2">
      <c r="A304" s="566" t="s">
        <v>225</v>
      </c>
      <c r="B304" s="567"/>
      <c r="C304" s="13"/>
      <c r="D304" s="5"/>
      <c r="E304" s="5"/>
      <c r="F304" s="5"/>
      <c r="G304" s="5"/>
      <c r="H304" s="5"/>
      <c r="I304" s="5"/>
      <c r="J304" s="5"/>
      <c r="K304" s="5"/>
      <c r="L304" s="5"/>
      <c r="M304" s="5"/>
      <c r="N304" s="5"/>
      <c r="O304" s="5"/>
      <c r="P304" s="5">
        <f t="shared" ref="P304:P319" si="28">SUM(C304:O304)</f>
        <v>0</v>
      </c>
      <c r="Q304" s="566">
        <f t="shared" ref="Q304:Q315" si="29">P304</f>
        <v>0</v>
      </c>
      <c r="R304" s="567"/>
    </row>
    <row r="305" spans="1:18" x14ac:dyDescent="0.2">
      <c r="A305" s="566" t="s">
        <v>226</v>
      </c>
      <c r="B305" s="567"/>
      <c r="C305" s="13"/>
      <c r="D305" s="5"/>
      <c r="E305" s="5"/>
      <c r="F305" s="5"/>
      <c r="G305" s="5"/>
      <c r="H305" s="5"/>
      <c r="I305" s="5"/>
      <c r="J305" s="5"/>
      <c r="K305" s="5"/>
      <c r="L305" s="5"/>
      <c r="M305" s="5"/>
      <c r="N305" s="5"/>
      <c r="O305" s="5"/>
      <c r="P305" s="5">
        <f t="shared" si="28"/>
        <v>0</v>
      </c>
      <c r="Q305" s="566">
        <f t="shared" si="29"/>
        <v>0</v>
      </c>
      <c r="R305" s="567"/>
    </row>
    <row r="306" spans="1:18" x14ac:dyDescent="0.2">
      <c r="A306" s="566" t="s">
        <v>227</v>
      </c>
      <c r="B306" s="567"/>
      <c r="C306" s="13"/>
      <c r="D306" s="5"/>
      <c r="E306" s="5"/>
      <c r="F306" s="5"/>
      <c r="G306" s="5"/>
      <c r="H306" s="5"/>
      <c r="I306" s="5"/>
      <c r="J306" s="5"/>
      <c r="K306" s="5"/>
      <c r="L306" s="5"/>
      <c r="M306" s="5"/>
      <c r="N306" s="5"/>
      <c r="O306" s="5"/>
      <c r="P306" s="5">
        <f t="shared" si="28"/>
        <v>0</v>
      </c>
      <c r="Q306" s="566">
        <f t="shared" si="29"/>
        <v>0</v>
      </c>
      <c r="R306" s="567"/>
    </row>
    <row r="307" spans="1:18" x14ac:dyDescent="0.2">
      <c r="A307" s="566" t="s">
        <v>228</v>
      </c>
      <c r="B307" s="567"/>
      <c r="C307" s="13"/>
      <c r="D307" s="5"/>
      <c r="E307" s="5"/>
      <c r="F307" s="5"/>
      <c r="G307" s="5"/>
      <c r="H307" s="5"/>
      <c r="I307" s="5"/>
      <c r="J307" s="5"/>
      <c r="K307" s="5"/>
      <c r="L307" s="5"/>
      <c r="M307" s="5"/>
      <c r="N307" s="5"/>
      <c r="O307" s="5"/>
      <c r="P307" s="5">
        <f t="shared" si="28"/>
        <v>0</v>
      </c>
      <c r="Q307" s="566">
        <f t="shared" si="29"/>
        <v>0</v>
      </c>
      <c r="R307" s="567"/>
    </row>
    <row r="308" spans="1:18" x14ac:dyDescent="0.2">
      <c r="A308" s="566" t="s">
        <v>229</v>
      </c>
      <c r="B308" s="567"/>
      <c r="C308" s="13"/>
      <c r="D308" s="5"/>
      <c r="E308" s="5"/>
      <c r="F308" s="5"/>
      <c r="G308" s="5"/>
      <c r="H308" s="5"/>
      <c r="I308" s="5"/>
      <c r="J308" s="5"/>
      <c r="K308" s="5"/>
      <c r="L308" s="5"/>
      <c r="M308" s="5"/>
      <c r="N308" s="5"/>
      <c r="O308" s="5"/>
      <c r="P308" s="5">
        <f t="shared" si="28"/>
        <v>0</v>
      </c>
      <c r="Q308" s="566">
        <f t="shared" si="29"/>
        <v>0</v>
      </c>
      <c r="R308" s="567"/>
    </row>
    <row r="309" spans="1:18" s="37" customFormat="1" ht="13.15" customHeight="1" x14ac:dyDescent="0.25">
      <c r="A309" s="38" t="s">
        <v>184</v>
      </c>
      <c r="B309" s="39"/>
      <c r="C309" s="39"/>
      <c r="D309" s="39"/>
      <c r="E309" s="39"/>
      <c r="F309" s="39"/>
      <c r="G309" s="39"/>
      <c r="H309" s="40"/>
      <c r="I309" s="38"/>
      <c r="J309" s="39"/>
      <c r="K309" s="39"/>
      <c r="L309" s="41"/>
      <c r="M309" s="38"/>
      <c r="N309" s="39"/>
      <c r="O309" s="39"/>
      <c r="P309" s="63"/>
      <c r="Q309" s="63"/>
      <c r="R309" s="62"/>
    </row>
    <row r="310" spans="1:18" s="37" customFormat="1" ht="13.15" customHeight="1" x14ac:dyDescent="0.25">
      <c r="A310" s="42"/>
      <c r="B310" s="56"/>
      <c r="C310" s="56"/>
      <c r="D310" s="56"/>
      <c r="E310" s="56"/>
      <c r="F310" s="56"/>
      <c r="G310" s="56"/>
      <c r="H310" s="57"/>
      <c r="I310" s="42"/>
      <c r="J310" s="56"/>
      <c r="K310" s="56"/>
      <c r="L310" s="43"/>
      <c r="M310" s="42"/>
      <c r="N310" s="56"/>
      <c r="O310" s="56"/>
      <c r="R310" s="61"/>
    </row>
    <row r="311" spans="1:18" s="37" customFormat="1" ht="13.15" customHeight="1" x14ac:dyDescent="0.25">
      <c r="A311" s="42"/>
      <c r="B311" s="56"/>
      <c r="C311" s="56"/>
      <c r="D311" s="56"/>
      <c r="E311" s="56"/>
      <c r="F311" s="56"/>
      <c r="G311" s="56"/>
      <c r="H311" s="57"/>
      <c r="I311" s="42"/>
      <c r="J311" s="56"/>
      <c r="K311" s="56"/>
      <c r="L311" s="43"/>
      <c r="M311" s="42"/>
      <c r="N311" s="56"/>
      <c r="O311" s="56"/>
      <c r="R311" s="61"/>
    </row>
    <row r="312" spans="1:18" s="37" customFormat="1" ht="13.15" customHeight="1" x14ac:dyDescent="0.25">
      <c r="A312" s="42"/>
      <c r="B312" s="56"/>
      <c r="C312" s="56"/>
      <c r="D312" s="56"/>
      <c r="E312" s="56"/>
      <c r="F312" s="56"/>
      <c r="G312" s="56"/>
      <c r="H312" s="57"/>
      <c r="I312" s="581" t="s">
        <v>261</v>
      </c>
      <c r="J312" s="582"/>
      <c r="K312" s="582"/>
      <c r="L312" s="583"/>
      <c r="M312" s="581" t="s">
        <v>260</v>
      </c>
      <c r="N312" s="582"/>
      <c r="O312" s="582"/>
      <c r="P312" s="582"/>
      <c r="Q312" s="582"/>
      <c r="R312" s="583"/>
    </row>
    <row r="313" spans="1:18" s="37" customFormat="1" ht="13.15" customHeight="1" thickBot="1" x14ac:dyDescent="0.3">
      <c r="A313" s="58"/>
      <c r="B313" s="59"/>
      <c r="C313" s="59"/>
      <c r="D313" s="59"/>
      <c r="E313" s="59"/>
      <c r="F313" s="59"/>
      <c r="G313" s="59"/>
      <c r="H313" s="60"/>
      <c r="I313" s="584" t="s">
        <v>262</v>
      </c>
      <c r="J313" s="585"/>
      <c r="K313" s="585"/>
      <c r="L313" s="586"/>
      <c r="M313" s="587" t="s">
        <v>264</v>
      </c>
      <c r="N313" s="588"/>
      <c r="O313" s="588"/>
      <c r="P313" s="588"/>
      <c r="Q313" s="588"/>
      <c r="R313" s="589"/>
    </row>
    <row r="314" spans="1:18" x14ac:dyDescent="0.2">
      <c r="A314" s="566" t="s">
        <v>230</v>
      </c>
      <c r="B314" s="567"/>
      <c r="C314" s="13"/>
      <c r="D314" s="5"/>
      <c r="E314" s="5"/>
      <c r="F314" s="5"/>
      <c r="G314" s="5"/>
      <c r="H314" s="5"/>
      <c r="I314" s="5"/>
      <c r="J314" s="5"/>
      <c r="K314" s="5"/>
      <c r="L314" s="5"/>
      <c r="M314" s="5"/>
      <c r="N314" s="5"/>
      <c r="O314" s="5"/>
      <c r="P314" s="5">
        <f t="shared" si="28"/>
        <v>0</v>
      </c>
      <c r="Q314" s="566">
        <f t="shared" si="29"/>
        <v>0</v>
      </c>
      <c r="R314" s="567"/>
    </row>
    <row r="315" spans="1:18" x14ac:dyDescent="0.2">
      <c r="A315" s="566" t="s">
        <v>231</v>
      </c>
      <c r="B315" s="567"/>
      <c r="C315" s="13"/>
      <c r="D315" s="5"/>
      <c r="E315" s="5"/>
      <c r="F315" s="5"/>
      <c r="G315" s="5"/>
      <c r="H315" s="5"/>
      <c r="I315" s="5"/>
      <c r="J315" s="5"/>
      <c r="K315" s="5"/>
      <c r="L315" s="5"/>
      <c r="M315" s="5"/>
      <c r="N315" s="5"/>
      <c r="O315" s="5"/>
      <c r="P315" s="5">
        <f t="shared" si="28"/>
        <v>0</v>
      </c>
      <c r="Q315" s="566">
        <f t="shared" si="29"/>
        <v>0</v>
      </c>
      <c r="R315" s="567"/>
    </row>
    <row r="316" spans="1:18" x14ac:dyDescent="0.2">
      <c r="A316" s="566" t="s">
        <v>232</v>
      </c>
      <c r="B316" s="567"/>
      <c r="C316" s="13"/>
      <c r="D316" s="5"/>
      <c r="E316" s="5"/>
      <c r="F316" s="5"/>
      <c r="G316" s="5"/>
      <c r="H316" s="5"/>
      <c r="I316" s="5"/>
      <c r="J316" s="5"/>
      <c r="K316" s="5"/>
      <c r="L316" s="5"/>
      <c r="M316" s="5"/>
      <c r="N316" s="5"/>
      <c r="O316" s="5"/>
      <c r="P316" s="5">
        <f t="shared" si="28"/>
        <v>0</v>
      </c>
      <c r="Q316" s="566">
        <f>P316*0.125</f>
        <v>0</v>
      </c>
      <c r="R316" s="567"/>
    </row>
    <row r="317" spans="1:18" x14ac:dyDescent="0.2">
      <c r="A317" s="566" t="s">
        <v>233</v>
      </c>
      <c r="B317" s="567"/>
      <c r="C317" s="13"/>
      <c r="D317" s="5"/>
      <c r="E317" s="5"/>
      <c r="F317" s="5"/>
      <c r="G317" s="5"/>
      <c r="H317" s="5"/>
      <c r="I317" s="5"/>
      <c r="J317" s="5"/>
      <c r="K317" s="5"/>
      <c r="L317" s="5"/>
      <c r="M317" s="5"/>
      <c r="N317" s="5"/>
      <c r="O317" s="5"/>
      <c r="P317" s="5">
        <f t="shared" si="28"/>
        <v>0</v>
      </c>
      <c r="Q317" s="566">
        <f>P317*0.125</f>
        <v>0</v>
      </c>
      <c r="R317" s="567"/>
    </row>
    <row r="318" spans="1:18" x14ac:dyDescent="0.2">
      <c r="A318" s="566" t="s">
        <v>234</v>
      </c>
      <c r="B318" s="567"/>
      <c r="C318" s="13"/>
      <c r="D318" s="5"/>
      <c r="E318" s="5"/>
      <c r="F318" s="5"/>
      <c r="G318" s="5"/>
      <c r="H318" s="5"/>
      <c r="I318" s="5"/>
      <c r="J318" s="5"/>
      <c r="K318" s="5"/>
      <c r="L318" s="5"/>
      <c r="M318" s="5"/>
      <c r="N318" s="5"/>
      <c r="O318" s="5"/>
      <c r="P318" s="5">
        <f t="shared" si="28"/>
        <v>0</v>
      </c>
      <c r="Q318" s="566">
        <f>P318*0.125</f>
        <v>0</v>
      </c>
      <c r="R318" s="567"/>
    </row>
    <row r="319" spans="1:18" x14ac:dyDescent="0.2">
      <c r="A319" s="571" t="s">
        <v>235</v>
      </c>
      <c r="B319" s="572"/>
      <c r="C319" s="13"/>
      <c r="D319" s="5"/>
      <c r="E319" s="5"/>
      <c r="F319" s="5"/>
      <c r="G319" s="5"/>
      <c r="H319" s="5"/>
      <c r="I319" s="5"/>
      <c r="J319" s="5"/>
      <c r="K319" s="5"/>
      <c r="L319" s="5"/>
      <c r="M319" s="5"/>
      <c r="N319" s="5"/>
      <c r="O319" s="5"/>
      <c r="P319" s="5">
        <f t="shared" si="28"/>
        <v>0</v>
      </c>
      <c r="Q319" s="566">
        <f>P319*0.125</f>
        <v>0</v>
      </c>
      <c r="R319" s="567"/>
    </row>
    <row r="320" spans="1:18" x14ac:dyDescent="0.2">
      <c r="A320" s="570"/>
      <c r="B320" s="570"/>
      <c r="C320" s="570"/>
      <c r="D320" s="570"/>
      <c r="E320" s="570"/>
      <c r="F320" s="570"/>
      <c r="G320" s="570"/>
      <c r="H320" s="570"/>
      <c r="I320" s="570"/>
      <c r="J320" s="570"/>
      <c r="K320" s="570"/>
      <c r="L320" s="570"/>
      <c r="M320" s="570"/>
      <c r="N320" s="570"/>
      <c r="O320" s="570"/>
      <c r="P320" s="570"/>
      <c r="Q320" s="569">
        <f>SUM(Q303:R319)</f>
        <v>0</v>
      </c>
      <c r="R320" s="570"/>
    </row>
    <row r="321" spans="1:18" x14ac:dyDescent="0.2">
      <c r="A321" s="575" t="s">
        <v>222</v>
      </c>
      <c r="B321" s="575"/>
      <c r="C321" s="575"/>
      <c r="D321" s="575"/>
      <c r="E321" s="575"/>
      <c r="F321" s="575"/>
      <c r="G321" s="575"/>
      <c r="H321" s="575"/>
      <c r="I321" s="575"/>
      <c r="J321" s="575"/>
      <c r="K321" s="575"/>
      <c r="L321" s="575"/>
      <c r="M321" s="575"/>
      <c r="N321" s="575"/>
      <c r="O321" s="575"/>
      <c r="P321" s="575"/>
      <c r="Q321" s="575"/>
      <c r="R321" s="575"/>
    </row>
    <row r="322" spans="1:18" x14ac:dyDescent="0.2">
      <c r="A322" s="575"/>
      <c r="B322" s="575"/>
      <c r="C322" s="575"/>
      <c r="D322" s="575"/>
      <c r="E322" s="575"/>
      <c r="F322" s="575"/>
      <c r="G322" s="575"/>
      <c r="H322" s="575"/>
      <c r="I322" s="575"/>
      <c r="J322" s="575"/>
      <c r="K322" s="575"/>
      <c r="L322" s="575"/>
      <c r="M322" s="575"/>
      <c r="N322" s="575"/>
      <c r="O322" s="575"/>
      <c r="P322" s="575"/>
      <c r="Q322" s="575"/>
      <c r="R322" s="575"/>
    </row>
    <row r="323" spans="1:18" x14ac:dyDescent="0.2">
      <c r="A323" s="558" t="str">
        <f>'2 - Serviços'!$A$7</f>
        <v>MANUTENÇÃO E CONSERVAÇÃO DAS PONTES DE MADEIRA</v>
      </c>
      <c r="B323" s="559"/>
      <c r="C323" s="559"/>
      <c r="D323" s="559"/>
      <c r="E323" s="559"/>
      <c r="F323" s="559"/>
      <c r="G323" s="559"/>
      <c r="H323" s="559"/>
      <c r="I323" s="559"/>
      <c r="J323" s="559"/>
      <c r="K323" s="559"/>
      <c r="L323" s="559"/>
      <c r="M323" s="559"/>
      <c r="N323" s="559"/>
      <c r="O323" s="559"/>
      <c r="P323" s="559"/>
      <c r="Q323" s="559"/>
      <c r="R323" s="559"/>
    </row>
    <row r="324" spans="1:18" x14ac:dyDescent="0.2">
      <c r="A324" s="46" t="s">
        <v>80</v>
      </c>
      <c r="B324" s="548" t="s">
        <v>236</v>
      </c>
      <c r="C324" s="548"/>
      <c r="D324" s="548"/>
      <c r="E324" s="548"/>
      <c r="F324" s="46" t="s">
        <v>220</v>
      </c>
      <c r="G324" s="548" t="s">
        <v>216</v>
      </c>
      <c r="H324" s="548"/>
      <c r="I324" s="548"/>
      <c r="J324" s="548" t="s">
        <v>217</v>
      </c>
      <c r="K324" s="548"/>
      <c r="L324" s="548"/>
      <c r="M324" s="548" t="s">
        <v>218</v>
      </c>
      <c r="N324" s="548"/>
      <c r="O324" s="548"/>
      <c r="P324" s="548" t="s">
        <v>219</v>
      </c>
      <c r="Q324" s="548"/>
      <c r="R324" s="548"/>
    </row>
    <row r="325" spans="1:18" x14ac:dyDescent="0.2">
      <c r="A325" s="7"/>
      <c r="B325" s="552"/>
      <c r="C325" s="552"/>
      <c r="D325" s="552"/>
      <c r="E325" s="552"/>
      <c r="F325" s="49"/>
      <c r="G325" s="552"/>
      <c r="H325" s="552"/>
      <c r="I325" s="552"/>
      <c r="J325" s="552"/>
      <c r="K325" s="552"/>
      <c r="L325" s="552"/>
      <c r="M325" s="552"/>
      <c r="N325" s="552"/>
      <c r="O325" s="552"/>
      <c r="P325" s="568"/>
      <c r="Q325" s="568"/>
      <c r="R325" s="568"/>
    </row>
    <row r="326" spans="1:18" x14ac:dyDescent="0.2">
      <c r="A326" s="548" t="s">
        <v>169</v>
      </c>
      <c r="B326" s="548"/>
      <c r="C326" s="46" t="s">
        <v>8</v>
      </c>
      <c r="D326" s="46" t="s">
        <v>9</v>
      </c>
      <c r="E326" s="46" t="s">
        <v>18</v>
      </c>
      <c r="F326" s="46" t="s">
        <v>72</v>
      </c>
      <c r="G326" s="46" t="s">
        <v>11</v>
      </c>
      <c r="H326" s="46" t="s">
        <v>19</v>
      </c>
      <c r="I326" s="46" t="s">
        <v>20</v>
      </c>
      <c r="J326" s="46" t="s">
        <v>14</v>
      </c>
      <c r="K326" s="46" t="s">
        <v>21</v>
      </c>
      <c r="L326" s="46" t="s">
        <v>22</v>
      </c>
      <c r="M326" s="46" t="s">
        <v>23</v>
      </c>
      <c r="N326" s="46" t="s">
        <v>24</v>
      </c>
      <c r="O326" s="46" t="s">
        <v>16</v>
      </c>
      <c r="P326" s="46" t="s">
        <v>81</v>
      </c>
      <c r="Q326" s="548" t="s">
        <v>221</v>
      </c>
      <c r="R326" s="548"/>
    </row>
    <row r="327" spans="1:18" x14ac:dyDescent="0.2">
      <c r="A327" s="573" t="s">
        <v>224</v>
      </c>
      <c r="B327" s="574"/>
      <c r="C327" s="13"/>
      <c r="D327" s="5"/>
      <c r="E327" s="5"/>
      <c r="F327" s="5"/>
      <c r="G327" s="5"/>
      <c r="H327" s="5"/>
      <c r="I327" s="5"/>
      <c r="J327" s="5"/>
      <c r="K327" s="5"/>
      <c r="L327" s="5"/>
      <c r="M327" s="5"/>
      <c r="N327" s="5"/>
      <c r="O327" s="5"/>
      <c r="P327" s="5">
        <f>SUM(C327:O327)</f>
        <v>0</v>
      </c>
      <c r="Q327" s="573">
        <f>P327</f>
        <v>0</v>
      </c>
      <c r="R327" s="574"/>
    </row>
    <row r="328" spans="1:18" x14ac:dyDescent="0.2">
      <c r="A328" s="566" t="s">
        <v>225</v>
      </c>
      <c r="B328" s="567"/>
      <c r="C328" s="13"/>
      <c r="D328" s="5"/>
      <c r="E328" s="5"/>
      <c r="F328" s="5"/>
      <c r="G328" s="5"/>
      <c r="H328" s="5"/>
      <c r="I328" s="5"/>
      <c r="J328" s="5"/>
      <c r="K328" s="5"/>
      <c r="L328" s="5"/>
      <c r="M328" s="5"/>
      <c r="N328" s="5"/>
      <c r="O328" s="5"/>
      <c r="P328" s="5">
        <f t="shared" ref="P328:P338" si="30">SUM(C328:O328)</f>
        <v>0</v>
      </c>
      <c r="Q328" s="566">
        <f t="shared" ref="Q328:Q334" si="31">P328</f>
        <v>0</v>
      </c>
      <c r="R328" s="567"/>
    </row>
    <row r="329" spans="1:18" x14ac:dyDescent="0.2">
      <c r="A329" s="566" t="s">
        <v>226</v>
      </c>
      <c r="B329" s="567"/>
      <c r="C329" s="13"/>
      <c r="D329" s="5"/>
      <c r="E329" s="5"/>
      <c r="F329" s="5"/>
      <c r="G329" s="5"/>
      <c r="H329" s="5"/>
      <c r="I329" s="5"/>
      <c r="J329" s="5"/>
      <c r="K329" s="5"/>
      <c r="L329" s="5"/>
      <c r="M329" s="5"/>
      <c r="N329" s="5"/>
      <c r="O329" s="5"/>
      <c r="P329" s="5">
        <f t="shared" si="30"/>
        <v>0</v>
      </c>
      <c r="Q329" s="566">
        <f t="shared" si="31"/>
        <v>0</v>
      </c>
      <c r="R329" s="567"/>
    </row>
    <row r="330" spans="1:18" x14ac:dyDescent="0.2">
      <c r="A330" s="566" t="s">
        <v>227</v>
      </c>
      <c r="B330" s="567"/>
      <c r="C330" s="13"/>
      <c r="D330" s="5"/>
      <c r="E330" s="5"/>
      <c r="F330" s="5"/>
      <c r="G330" s="5"/>
      <c r="H330" s="5"/>
      <c r="I330" s="5"/>
      <c r="J330" s="5"/>
      <c r="K330" s="5"/>
      <c r="L330" s="5"/>
      <c r="M330" s="5"/>
      <c r="N330" s="5"/>
      <c r="O330" s="5"/>
      <c r="P330" s="5">
        <f t="shared" si="30"/>
        <v>0</v>
      </c>
      <c r="Q330" s="566">
        <f t="shared" si="31"/>
        <v>0</v>
      </c>
      <c r="R330" s="567"/>
    </row>
    <row r="331" spans="1:18" x14ac:dyDescent="0.2">
      <c r="A331" s="566" t="s">
        <v>228</v>
      </c>
      <c r="B331" s="567"/>
      <c r="C331" s="13"/>
      <c r="D331" s="5"/>
      <c r="E331" s="5"/>
      <c r="F331" s="5"/>
      <c r="G331" s="5"/>
      <c r="H331" s="5"/>
      <c r="I331" s="5"/>
      <c r="J331" s="5"/>
      <c r="K331" s="5"/>
      <c r="L331" s="5"/>
      <c r="M331" s="5"/>
      <c r="N331" s="5"/>
      <c r="O331" s="5"/>
      <c r="P331" s="5">
        <f t="shared" si="30"/>
        <v>0</v>
      </c>
      <c r="Q331" s="566">
        <f t="shared" si="31"/>
        <v>0</v>
      </c>
      <c r="R331" s="567"/>
    </row>
    <row r="332" spans="1:18" x14ac:dyDescent="0.2">
      <c r="A332" s="566" t="s">
        <v>229</v>
      </c>
      <c r="B332" s="567"/>
      <c r="C332" s="13"/>
      <c r="D332" s="5"/>
      <c r="E332" s="5"/>
      <c r="F332" s="5"/>
      <c r="G332" s="5"/>
      <c r="H332" s="5"/>
      <c r="I332" s="5"/>
      <c r="J332" s="5"/>
      <c r="K332" s="5"/>
      <c r="L332" s="5"/>
      <c r="M332" s="5"/>
      <c r="N332" s="5"/>
      <c r="O332" s="5"/>
      <c r="P332" s="5">
        <f t="shared" si="30"/>
        <v>0</v>
      </c>
      <c r="Q332" s="566">
        <f t="shared" si="31"/>
        <v>0</v>
      </c>
      <c r="R332" s="567"/>
    </row>
    <row r="333" spans="1:18" x14ac:dyDescent="0.2">
      <c r="A333" s="566" t="s">
        <v>230</v>
      </c>
      <c r="B333" s="567"/>
      <c r="C333" s="13"/>
      <c r="D333" s="5"/>
      <c r="E333" s="5"/>
      <c r="F333" s="5"/>
      <c r="G333" s="5"/>
      <c r="H333" s="5"/>
      <c r="I333" s="5"/>
      <c r="J333" s="5"/>
      <c r="K333" s="5"/>
      <c r="L333" s="5"/>
      <c r="M333" s="5"/>
      <c r="N333" s="5"/>
      <c r="O333" s="5"/>
      <c r="P333" s="5">
        <f t="shared" si="30"/>
        <v>0</v>
      </c>
      <c r="Q333" s="566">
        <f t="shared" si="31"/>
        <v>0</v>
      </c>
      <c r="R333" s="567"/>
    </row>
    <row r="334" spans="1:18" x14ac:dyDescent="0.2">
      <c r="A334" s="566" t="s">
        <v>231</v>
      </c>
      <c r="B334" s="567"/>
      <c r="C334" s="13"/>
      <c r="D334" s="5"/>
      <c r="E334" s="5"/>
      <c r="F334" s="5"/>
      <c r="G334" s="5"/>
      <c r="H334" s="5"/>
      <c r="I334" s="5"/>
      <c r="J334" s="5"/>
      <c r="K334" s="5"/>
      <c r="L334" s="5"/>
      <c r="M334" s="5"/>
      <c r="N334" s="5"/>
      <c r="O334" s="5"/>
      <c r="P334" s="5">
        <f t="shared" si="30"/>
        <v>0</v>
      </c>
      <c r="Q334" s="566">
        <f t="shared" si="31"/>
        <v>0</v>
      </c>
      <c r="R334" s="567"/>
    </row>
    <row r="335" spans="1:18" x14ac:dyDescent="0.2">
      <c r="A335" s="566" t="s">
        <v>232</v>
      </c>
      <c r="B335" s="567"/>
      <c r="C335" s="13"/>
      <c r="D335" s="5"/>
      <c r="E335" s="5"/>
      <c r="F335" s="5"/>
      <c r="G335" s="5"/>
      <c r="H335" s="5"/>
      <c r="I335" s="5"/>
      <c r="J335" s="5"/>
      <c r="K335" s="5"/>
      <c r="L335" s="5"/>
      <c r="M335" s="5"/>
      <c r="N335" s="5"/>
      <c r="O335" s="5"/>
      <c r="P335" s="5">
        <f t="shared" si="30"/>
        <v>0</v>
      </c>
      <c r="Q335" s="566">
        <f>P335*0.125</f>
        <v>0</v>
      </c>
      <c r="R335" s="567"/>
    </row>
    <row r="336" spans="1:18" x14ac:dyDescent="0.2">
      <c r="A336" s="566" t="s">
        <v>233</v>
      </c>
      <c r="B336" s="567"/>
      <c r="C336" s="13"/>
      <c r="D336" s="5"/>
      <c r="E336" s="5"/>
      <c r="F336" s="5"/>
      <c r="G336" s="5"/>
      <c r="H336" s="5"/>
      <c r="I336" s="5"/>
      <c r="J336" s="5"/>
      <c r="K336" s="5"/>
      <c r="L336" s="5"/>
      <c r="M336" s="5"/>
      <c r="N336" s="5"/>
      <c r="O336" s="5"/>
      <c r="P336" s="5">
        <f t="shared" si="30"/>
        <v>0</v>
      </c>
      <c r="Q336" s="566">
        <f>P336*0.125</f>
        <v>0</v>
      </c>
      <c r="R336" s="567"/>
    </row>
    <row r="337" spans="1:18" x14ac:dyDescent="0.2">
      <c r="A337" s="566" t="s">
        <v>234</v>
      </c>
      <c r="B337" s="567"/>
      <c r="C337" s="13"/>
      <c r="D337" s="5"/>
      <c r="E337" s="5"/>
      <c r="F337" s="5"/>
      <c r="G337" s="5"/>
      <c r="H337" s="5"/>
      <c r="I337" s="5"/>
      <c r="J337" s="5"/>
      <c r="K337" s="5"/>
      <c r="L337" s="5"/>
      <c r="M337" s="5"/>
      <c r="N337" s="5"/>
      <c r="O337" s="5"/>
      <c r="P337" s="5">
        <f t="shared" si="30"/>
        <v>0</v>
      </c>
      <c r="Q337" s="566">
        <f>P337*0.125</f>
        <v>0</v>
      </c>
      <c r="R337" s="567"/>
    </row>
    <row r="338" spans="1:18" x14ac:dyDescent="0.2">
      <c r="A338" s="571" t="s">
        <v>235</v>
      </c>
      <c r="B338" s="572"/>
      <c r="C338" s="13"/>
      <c r="D338" s="5"/>
      <c r="E338" s="5"/>
      <c r="F338" s="5"/>
      <c r="G338" s="5"/>
      <c r="H338" s="5"/>
      <c r="I338" s="5"/>
      <c r="J338" s="5"/>
      <c r="K338" s="5"/>
      <c r="L338" s="5"/>
      <c r="M338" s="5"/>
      <c r="N338" s="5"/>
      <c r="O338" s="5"/>
      <c r="P338" s="5">
        <f t="shared" si="30"/>
        <v>0</v>
      </c>
      <c r="Q338" s="566">
        <f>P338*0.125</f>
        <v>0</v>
      </c>
      <c r="R338" s="567"/>
    </row>
    <row r="339" spans="1:18" x14ac:dyDescent="0.2">
      <c r="A339" s="570"/>
      <c r="B339" s="570"/>
      <c r="C339" s="570"/>
      <c r="D339" s="570"/>
      <c r="E339" s="570"/>
      <c r="F339" s="570"/>
      <c r="G339" s="570"/>
      <c r="H339" s="570"/>
      <c r="I339" s="570"/>
      <c r="J339" s="570"/>
      <c r="K339" s="570"/>
      <c r="L339" s="570"/>
      <c r="M339" s="570"/>
      <c r="N339" s="570"/>
      <c r="O339" s="570"/>
      <c r="P339" s="570"/>
      <c r="Q339" s="569">
        <f>SUM(Q327:R338)</f>
        <v>0</v>
      </c>
      <c r="R339" s="570"/>
    </row>
    <row r="340" spans="1:18" x14ac:dyDescent="0.2">
      <c r="A340" s="575" t="s">
        <v>222</v>
      </c>
      <c r="B340" s="575"/>
      <c r="C340" s="575"/>
      <c r="D340" s="575"/>
      <c r="E340" s="575"/>
      <c r="F340" s="575"/>
      <c r="G340" s="575"/>
      <c r="H340" s="575"/>
      <c r="I340" s="575"/>
      <c r="J340" s="575"/>
      <c r="K340" s="575"/>
      <c r="L340" s="575"/>
      <c r="M340" s="575"/>
      <c r="N340" s="575"/>
      <c r="O340" s="575"/>
      <c r="P340" s="575"/>
      <c r="Q340" s="575"/>
      <c r="R340" s="575"/>
    </row>
    <row r="341" spans="1:18" x14ac:dyDescent="0.2">
      <c r="A341" s="575"/>
      <c r="B341" s="575"/>
      <c r="C341" s="575"/>
      <c r="D341" s="575"/>
      <c r="E341" s="575"/>
      <c r="F341" s="575"/>
      <c r="G341" s="575"/>
      <c r="H341" s="575"/>
      <c r="I341" s="575"/>
      <c r="J341" s="575"/>
      <c r="K341" s="575"/>
      <c r="L341" s="575"/>
      <c r="M341" s="575"/>
      <c r="N341" s="575"/>
      <c r="O341" s="575"/>
      <c r="P341" s="575"/>
      <c r="Q341" s="575"/>
      <c r="R341" s="575"/>
    </row>
    <row r="342" spans="1:18" x14ac:dyDescent="0.2">
      <c r="A342" s="558" t="str">
        <f>'2 - Serviços'!$A$7</f>
        <v>MANUTENÇÃO E CONSERVAÇÃO DAS PONTES DE MADEIRA</v>
      </c>
      <c r="B342" s="559"/>
      <c r="C342" s="559"/>
      <c r="D342" s="559"/>
      <c r="E342" s="559"/>
      <c r="F342" s="559"/>
      <c r="G342" s="559"/>
      <c r="H342" s="559"/>
      <c r="I342" s="559"/>
      <c r="J342" s="559"/>
      <c r="K342" s="559"/>
      <c r="L342" s="559"/>
      <c r="M342" s="559"/>
      <c r="N342" s="559"/>
      <c r="O342" s="559"/>
      <c r="P342" s="559"/>
      <c r="Q342" s="559"/>
      <c r="R342" s="559"/>
    </row>
    <row r="343" spans="1:18" x14ac:dyDescent="0.2">
      <c r="A343" s="46" t="s">
        <v>80</v>
      </c>
      <c r="B343" s="548" t="s">
        <v>236</v>
      </c>
      <c r="C343" s="548"/>
      <c r="D343" s="548"/>
      <c r="E343" s="548"/>
      <c r="F343" s="46" t="s">
        <v>220</v>
      </c>
      <c r="G343" s="548" t="s">
        <v>216</v>
      </c>
      <c r="H343" s="548"/>
      <c r="I343" s="548"/>
      <c r="J343" s="548" t="s">
        <v>217</v>
      </c>
      <c r="K343" s="548"/>
      <c r="L343" s="548"/>
      <c r="M343" s="548" t="s">
        <v>218</v>
      </c>
      <c r="N343" s="548"/>
      <c r="O343" s="548"/>
      <c r="P343" s="548" t="s">
        <v>219</v>
      </c>
      <c r="Q343" s="548"/>
      <c r="R343" s="548"/>
    </row>
    <row r="344" spans="1:18" x14ac:dyDescent="0.2">
      <c r="A344" s="7"/>
      <c r="B344" s="552"/>
      <c r="C344" s="552"/>
      <c r="D344" s="552"/>
      <c r="E344" s="552"/>
      <c r="F344" s="49"/>
      <c r="G344" s="552"/>
      <c r="H344" s="552"/>
      <c r="I344" s="552"/>
      <c r="J344" s="552"/>
      <c r="K344" s="552"/>
      <c r="L344" s="552"/>
      <c r="M344" s="552"/>
      <c r="N344" s="552"/>
      <c r="O344" s="552"/>
      <c r="P344" s="568"/>
      <c r="Q344" s="568"/>
      <c r="R344" s="568"/>
    </row>
    <row r="345" spans="1:18" x14ac:dyDescent="0.2">
      <c r="A345" s="548" t="s">
        <v>169</v>
      </c>
      <c r="B345" s="548"/>
      <c r="C345" s="46" t="s">
        <v>8</v>
      </c>
      <c r="D345" s="46" t="s">
        <v>9</v>
      </c>
      <c r="E345" s="46" t="s">
        <v>18</v>
      </c>
      <c r="F345" s="46" t="s">
        <v>72</v>
      </c>
      <c r="G345" s="46" t="s">
        <v>11</v>
      </c>
      <c r="H345" s="46" t="s">
        <v>19</v>
      </c>
      <c r="I345" s="46" t="s">
        <v>20</v>
      </c>
      <c r="J345" s="46" t="s">
        <v>14</v>
      </c>
      <c r="K345" s="46" t="s">
        <v>21</v>
      </c>
      <c r="L345" s="46" t="s">
        <v>22</v>
      </c>
      <c r="M345" s="46" t="s">
        <v>23</v>
      </c>
      <c r="N345" s="46" t="s">
        <v>24</v>
      </c>
      <c r="O345" s="46" t="s">
        <v>16</v>
      </c>
      <c r="P345" s="46" t="s">
        <v>81</v>
      </c>
      <c r="Q345" s="548" t="s">
        <v>221</v>
      </c>
      <c r="R345" s="548"/>
    </row>
    <row r="346" spans="1:18" x14ac:dyDescent="0.2">
      <c r="A346" s="573" t="s">
        <v>224</v>
      </c>
      <c r="B346" s="574"/>
      <c r="C346" s="13"/>
      <c r="D346" s="5"/>
      <c r="E346" s="5"/>
      <c r="F346" s="5"/>
      <c r="G346" s="5"/>
      <c r="H346" s="5"/>
      <c r="I346" s="5"/>
      <c r="J346" s="5"/>
      <c r="K346" s="5"/>
      <c r="L346" s="5"/>
      <c r="M346" s="5"/>
      <c r="N346" s="5"/>
      <c r="O346" s="5"/>
      <c r="P346" s="5">
        <f>SUM(C346:O346)</f>
        <v>0</v>
      </c>
      <c r="Q346" s="573">
        <f>P346</f>
        <v>0</v>
      </c>
      <c r="R346" s="574"/>
    </row>
    <row r="347" spans="1:18" x14ac:dyDescent="0.2">
      <c r="A347" s="566" t="s">
        <v>225</v>
      </c>
      <c r="B347" s="567"/>
      <c r="C347" s="13"/>
      <c r="D347" s="5"/>
      <c r="E347" s="5"/>
      <c r="F347" s="5"/>
      <c r="G347" s="5"/>
      <c r="H347" s="5"/>
      <c r="I347" s="5"/>
      <c r="J347" s="5"/>
      <c r="K347" s="5"/>
      <c r="L347" s="5"/>
      <c r="M347" s="5"/>
      <c r="N347" s="5"/>
      <c r="O347" s="5"/>
      <c r="P347" s="5">
        <f t="shared" ref="P347:P357" si="32">SUM(C347:O347)</f>
        <v>0</v>
      </c>
      <c r="Q347" s="566">
        <f t="shared" ref="Q347:Q353" si="33">P347</f>
        <v>0</v>
      </c>
      <c r="R347" s="567"/>
    </row>
    <row r="348" spans="1:18" x14ac:dyDescent="0.2">
      <c r="A348" s="566" t="s">
        <v>226</v>
      </c>
      <c r="B348" s="567"/>
      <c r="C348" s="13"/>
      <c r="D348" s="5"/>
      <c r="E348" s="5"/>
      <c r="F348" s="5"/>
      <c r="G348" s="5"/>
      <c r="H348" s="5"/>
      <c r="I348" s="5"/>
      <c r="J348" s="5"/>
      <c r="K348" s="5"/>
      <c r="L348" s="5"/>
      <c r="M348" s="5"/>
      <c r="N348" s="5"/>
      <c r="O348" s="5"/>
      <c r="P348" s="5">
        <f t="shared" si="32"/>
        <v>0</v>
      </c>
      <c r="Q348" s="566">
        <f t="shared" si="33"/>
        <v>0</v>
      </c>
      <c r="R348" s="567"/>
    </row>
    <row r="349" spans="1:18" x14ac:dyDescent="0.2">
      <c r="A349" s="566" t="s">
        <v>227</v>
      </c>
      <c r="B349" s="567"/>
      <c r="C349" s="13"/>
      <c r="D349" s="5"/>
      <c r="E349" s="5"/>
      <c r="F349" s="5"/>
      <c r="G349" s="5"/>
      <c r="H349" s="5"/>
      <c r="I349" s="5"/>
      <c r="J349" s="5"/>
      <c r="K349" s="5"/>
      <c r="L349" s="5"/>
      <c r="M349" s="5"/>
      <c r="N349" s="5"/>
      <c r="O349" s="5"/>
      <c r="P349" s="5">
        <f t="shared" si="32"/>
        <v>0</v>
      </c>
      <c r="Q349" s="566">
        <f t="shared" si="33"/>
        <v>0</v>
      </c>
      <c r="R349" s="567"/>
    </row>
    <row r="350" spans="1:18" x14ac:dyDescent="0.2">
      <c r="A350" s="566" t="s">
        <v>228</v>
      </c>
      <c r="B350" s="567"/>
      <c r="C350" s="13"/>
      <c r="D350" s="5"/>
      <c r="E350" s="5"/>
      <c r="F350" s="5"/>
      <c r="G350" s="5"/>
      <c r="H350" s="5"/>
      <c r="I350" s="5"/>
      <c r="J350" s="5"/>
      <c r="K350" s="5"/>
      <c r="L350" s="5"/>
      <c r="M350" s="5"/>
      <c r="N350" s="5"/>
      <c r="O350" s="5"/>
      <c r="P350" s="5">
        <f t="shared" si="32"/>
        <v>0</v>
      </c>
      <c r="Q350" s="566">
        <f t="shared" si="33"/>
        <v>0</v>
      </c>
      <c r="R350" s="567"/>
    </row>
    <row r="351" spans="1:18" x14ac:dyDescent="0.2">
      <c r="A351" s="566" t="s">
        <v>229</v>
      </c>
      <c r="B351" s="567"/>
      <c r="C351" s="13"/>
      <c r="D351" s="5"/>
      <c r="E351" s="5"/>
      <c r="F351" s="5"/>
      <c r="G351" s="5"/>
      <c r="H351" s="5"/>
      <c r="I351" s="5"/>
      <c r="J351" s="5"/>
      <c r="K351" s="5"/>
      <c r="L351" s="5"/>
      <c r="M351" s="5"/>
      <c r="N351" s="5"/>
      <c r="O351" s="5"/>
      <c r="P351" s="5">
        <f t="shared" si="32"/>
        <v>0</v>
      </c>
      <c r="Q351" s="566">
        <f t="shared" si="33"/>
        <v>0</v>
      </c>
      <c r="R351" s="567"/>
    </row>
    <row r="352" spans="1:18" x14ac:dyDescent="0.2">
      <c r="A352" s="566" t="s">
        <v>230</v>
      </c>
      <c r="B352" s="567"/>
      <c r="C352" s="13"/>
      <c r="D352" s="5"/>
      <c r="E352" s="5"/>
      <c r="F352" s="5"/>
      <c r="G352" s="5"/>
      <c r="H352" s="5"/>
      <c r="I352" s="5"/>
      <c r="J352" s="5"/>
      <c r="K352" s="5"/>
      <c r="L352" s="5"/>
      <c r="M352" s="5"/>
      <c r="N352" s="5"/>
      <c r="O352" s="5"/>
      <c r="P352" s="5">
        <f t="shared" si="32"/>
        <v>0</v>
      </c>
      <c r="Q352" s="566">
        <f t="shared" si="33"/>
        <v>0</v>
      </c>
      <c r="R352" s="567"/>
    </row>
    <row r="353" spans="1:18" x14ac:dyDescent="0.2">
      <c r="A353" s="566" t="s">
        <v>231</v>
      </c>
      <c r="B353" s="567"/>
      <c r="C353" s="13"/>
      <c r="D353" s="5"/>
      <c r="E353" s="5"/>
      <c r="F353" s="5"/>
      <c r="G353" s="5"/>
      <c r="H353" s="5"/>
      <c r="I353" s="5"/>
      <c r="J353" s="5"/>
      <c r="K353" s="5"/>
      <c r="L353" s="5"/>
      <c r="M353" s="5"/>
      <c r="N353" s="5"/>
      <c r="O353" s="5"/>
      <c r="P353" s="5">
        <f t="shared" si="32"/>
        <v>0</v>
      </c>
      <c r="Q353" s="566">
        <f t="shared" si="33"/>
        <v>0</v>
      </c>
      <c r="R353" s="567"/>
    </row>
    <row r="354" spans="1:18" x14ac:dyDescent="0.2">
      <c r="A354" s="566" t="s">
        <v>232</v>
      </c>
      <c r="B354" s="567"/>
      <c r="C354" s="13"/>
      <c r="D354" s="5"/>
      <c r="E354" s="5"/>
      <c r="F354" s="5"/>
      <c r="G354" s="5"/>
      <c r="H354" s="5"/>
      <c r="I354" s="5"/>
      <c r="J354" s="5"/>
      <c r="K354" s="5"/>
      <c r="L354" s="5"/>
      <c r="M354" s="5"/>
      <c r="N354" s="5"/>
      <c r="O354" s="5"/>
      <c r="P354" s="5">
        <f t="shared" si="32"/>
        <v>0</v>
      </c>
      <c r="Q354" s="566">
        <f>P354*0.125</f>
        <v>0</v>
      </c>
      <c r="R354" s="567"/>
    </row>
    <row r="355" spans="1:18" x14ac:dyDescent="0.2">
      <c r="A355" s="566" t="s">
        <v>233</v>
      </c>
      <c r="B355" s="567"/>
      <c r="C355" s="13"/>
      <c r="D355" s="5"/>
      <c r="E355" s="5"/>
      <c r="F355" s="5"/>
      <c r="G355" s="5"/>
      <c r="H355" s="5"/>
      <c r="I355" s="5"/>
      <c r="J355" s="5"/>
      <c r="K355" s="5"/>
      <c r="L355" s="5"/>
      <c r="M355" s="5"/>
      <c r="N355" s="5"/>
      <c r="O355" s="5"/>
      <c r="P355" s="5">
        <f t="shared" si="32"/>
        <v>0</v>
      </c>
      <c r="Q355" s="566">
        <f>P355*0.125</f>
        <v>0</v>
      </c>
      <c r="R355" s="567"/>
    </row>
    <row r="356" spans="1:18" x14ac:dyDescent="0.2">
      <c r="A356" s="566" t="s">
        <v>234</v>
      </c>
      <c r="B356" s="567"/>
      <c r="C356" s="13"/>
      <c r="D356" s="5"/>
      <c r="E356" s="5"/>
      <c r="F356" s="5"/>
      <c r="G356" s="5"/>
      <c r="H356" s="5"/>
      <c r="I356" s="5"/>
      <c r="J356" s="5"/>
      <c r="K356" s="5"/>
      <c r="L356" s="5"/>
      <c r="M356" s="5"/>
      <c r="N356" s="5"/>
      <c r="O356" s="5"/>
      <c r="P356" s="5">
        <f t="shared" si="32"/>
        <v>0</v>
      </c>
      <c r="Q356" s="566">
        <f>P356*0.125</f>
        <v>0</v>
      </c>
      <c r="R356" s="567"/>
    </row>
    <row r="357" spans="1:18" x14ac:dyDescent="0.2">
      <c r="A357" s="571" t="s">
        <v>235</v>
      </c>
      <c r="B357" s="572"/>
      <c r="C357" s="13"/>
      <c r="D357" s="5"/>
      <c r="E357" s="5"/>
      <c r="F357" s="5"/>
      <c r="G357" s="5"/>
      <c r="H357" s="5"/>
      <c r="I357" s="5"/>
      <c r="J357" s="5"/>
      <c r="K357" s="5"/>
      <c r="L357" s="5"/>
      <c r="M357" s="5"/>
      <c r="N357" s="5"/>
      <c r="O357" s="5"/>
      <c r="P357" s="5">
        <f t="shared" si="32"/>
        <v>0</v>
      </c>
      <c r="Q357" s="566">
        <f>P357*0.125</f>
        <v>0</v>
      </c>
      <c r="R357" s="567"/>
    </row>
    <row r="358" spans="1:18" x14ac:dyDescent="0.2">
      <c r="A358" s="570"/>
      <c r="B358" s="570"/>
      <c r="C358" s="570"/>
      <c r="D358" s="570"/>
      <c r="E358" s="570"/>
      <c r="F358" s="570"/>
      <c r="G358" s="570"/>
      <c r="H358" s="570"/>
      <c r="I358" s="570"/>
      <c r="J358" s="570"/>
      <c r="K358" s="570"/>
      <c r="L358" s="570"/>
      <c r="M358" s="570"/>
      <c r="N358" s="570"/>
      <c r="O358" s="570"/>
      <c r="P358" s="570"/>
      <c r="Q358" s="569">
        <f>SUM(Q346:R357)</f>
        <v>0</v>
      </c>
      <c r="R358" s="570"/>
    </row>
    <row r="359" spans="1:18" x14ac:dyDescent="0.2">
      <c r="A359" s="575" t="s">
        <v>222</v>
      </c>
      <c r="B359" s="575"/>
      <c r="C359" s="575"/>
      <c r="D359" s="575"/>
      <c r="E359" s="575"/>
      <c r="F359" s="575"/>
      <c r="G359" s="575"/>
      <c r="H359" s="575"/>
      <c r="I359" s="575"/>
      <c r="J359" s="575"/>
      <c r="K359" s="575"/>
      <c r="L359" s="575"/>
      <c r="M359" s="575"/>
      <c r="N359" s="575"/>
      <c r="O359" s="575"/>
      <c r="P359" s="575"/>
      <c r="Q359" s="575"/>
      <c r="R359" s="575"/>
    </row>
    <row r="360" spans="1:18" x14ac:dyDescent="0.2">
      <c r="A360" s="575"/>
      <c r="B360" s="575"/>
      <c r="C360" s="575"/>
      <c r="D360" s="575"/>
      <c r="E360" s="575"/>
      <c r="F360" s="575"/>
      <c r="G360" s="575"/>
      <c r="H360" s="575"/>
      <c r="I360" s="575"/>
      <c r="J360" s="575"/>
      <c r="K360" s="575"/>
      <c r="L360" s="575"/>
      <c r="M360" s="575"/>
      <c r="N360" s="575"/>
      <c r="O360" s="575"/>
      <c r="P360" s="575"/>
      <c r="Q360" s="575"/>
      <c r="R360" s="575"/>
    </row>
    <row r="361" spans="1:18" s="37" customFormat="1" ht="13.15" customHeight="1" x14ac:dyDescent="0.25">
      <c r="A361" s="38" t="s">
        <v>184</v>
      </c>
      <c r="B361" s="39"/>
      <c r="C361" s="39"/>
      <c r="D361" s="39"/>
      <c r="E361" s="39"/>
      <c r="F361" s="39"/>
      <c r="G361" s="39"/>
      <c r="H361" s="40"/>
      <c r="I361" s="38"/>
      <c r="J361" s="39"/>
      <c r="K361" s="39"/>
      <c r="L361" s="41"/>
      <c r="M361" s="38"/>
      <c r="N361" s="39"/>
      <c r="O361" s="39"/>
      <c r="P361" s="63"/>
      <c r="Q361" s="63"/>
      <c r="R361" s="62"/>
    </row>
    <row r="362" spans="1:18" s="37" customFormat="1" ht="13.15" customHeight="1" x14ac:dyDescent="0.25">
      <c r="A362" s="42"/>
      <c r="B362" s="56"/>
      <c r="C362" s="56"/>
      <c r="D362" s="56"/>
      <c r="E362" s="56"/>
      <c r="F362" s="56"/>
      <c r="G362" s="56"/>
      <c r="H362" s="57"/>
      <c r="I362" s="42"/>
      <c r="J362" s="56"/>
      <c r="K362" s="56"/>
      <c r="L362" s="43"/>
      <c r="M362" s="42"/>
      <c r="N362" s="56"/>
      <c r="O362" s="56"/>
      <c r="R362" s="61"/>
    </row>
    <row r="363" spans="1:18" s="37" customFormat="1" ht="13.15" customHeight="1" x14ac:dyDescent="0.25">
      <c r="A363" s="42"/>
      <c r="B363" s="56"/>
      <c r="C363" s="56"/>
      <c r="D363" s="56"/>
      <c r="E363" s="56"/>
      <c r="F363" s="56"/>
      <c r="G363" s="56"/>
      <c r="H363" s="57"/>
      <c r="I363" s="42"/>
      <c r="J363" s="56"/>
      <c r="K363" s="56"/>
      <c r="L363" s="43"/>
      <c r="M363" s="42"/>
      <c r="N363" s="56"/>
      <c r="O363" s="56"/>
      <c r="R363" s="61"/>
    </row>
    <row r="364" spans="1:18" s="37" customFormat="1" ht="13.15" customHeight="1" x14ac:dyDescent="0.25">
      <c r="A364" s="42"/>
      <c r="B364" s="56"/>
      <c r="C364" s="56"/>
      <c r="D364" s="56"/>
      <c r="E364" s="56"/>
      <c r="F364" s="56"/>
      <c r="G364" s="56"/>
      <c r="H364" s="57"/>
      <c r="I364" s="581" t="s">
        <v>261</v>
      </c>
      <c r="J364" s="582"/>
      <c r="K364" s="582"/>
      <c r="L364" s="583"/>
      <c r="M364" s="581" t="s">
        <v>260</v>
      </c>
      <c r="N364" s="582"/>
      <c r="O364" s="582"/>
      <c r="P364" s="582"/>
      <c r="Q364" s="582"/>
      <c r="R364" s="583"/>
    </row>
    <row r="365" spans="1:18" s="37" customFormat="1" ht="13.15" customHeight="1" thickBot="1" x14ac:dyDescent="0.3">
      <c r="A365" s="58"/>
      <c r="B365" s="59"/>
      <c r="C365" s="59"/>
      <c r="D365" s="59"/>
      <c r="E365" s="59"/>
      <c r="F365" s="59"/>
      <c r="G365" s="59"/>
      <c r="H365" s="60"/>
      <c r="I365" s="584" t="s">
        <v>262</v>
      </c>
      <c r="J365" s="585"/>
      <c r="K365" s="585"/>
      <c r="L365" s="586"/>
      <c r="M365" s="587" t="s">
        <v>264</v>
      </c>
      <c r="N365" s="588"/>
      <c r="O365" s="588"/>
      <c r="P365" s="588"/>
      <c r="Q365" s="588"/>
      <c r="R365" s="589"/>
    </row>
  </sheetData>
  <mergeCells count="740">
    <mergeCell ref="I364:L364"/>
    <mergeCell ref="M364:R364"/>
    <mergeCell ref="I365:L365"/>
    <mergeCell ref="M365:R365"/>
    <mergeCell ref="I154:L154"/>
    <mergeCell ref="M154:R154"/>
    <mergeCell ref="I155:L155"/>
    <mergeCell ref="M155:R155"/>
    <mergeCell ref="I207:L207"/>
    <mergeCell ref="M207:R207"/>
    <mergeCell ref="I208:L208"/>
    <mergeCell ref="M208:R208"/>
    <mergeCell ref="I259:L259"/>
    <mergeCell ref="M259:R259"/>
    <mergeCell ref="A342:R342"/>
    <mergeCell ref="B343:E343"/>
    <mergeCell ref="G343:I343"/>
    <mergeCell ref="J343:L343"/>
    <mergeCell ref="M343:O343"/>
    <mergeCell ref="P343:R343"/>
    <mergeCell ref="A338:B338"/>
    <mergeCell ref="Q338:R338"/>
    <mergeCell ref="A339:P339"/>
    <mergeCell ref="Q339:R339"/>
    <mergeCell ref="A357:B357"/>
    <mergeCell ref="Q357:R357"/>
    <mergeCell ref="A358:P358"/>
    <mergeCell ref="Q358:R358"/>
    <mergeCell ref="A359:R360"/>
    <mergeCell ref="A354:B354"/>
    <mergeCell ref="Q354:R354"/>
    <mergeCell ref="A355:B355"/>
    <mergeCell ref="Q355:R355"/>
    <mergeCell ref="A356:B356"/>
    <mergeCell ref="Q356:R356"/>
    <mergeCell ref="A351:B351"/>
    <mergeCell ref="Q351:R351"/>
    <mergeCell ref="A352:B352"/>
    <mergeCell ref="Q352:R352"/>
    <mergeCell ref="A353:B353"/>
    <mergeCell ref="Q353:R353"/>
    <mergeCell ref="A348:B348"/>
    <mergeCell ref="Q348:R348"/>
    <mergeCell ref="A349:B349"/>
    <mergeCell ref="Q349:R349"/>
    <mergeCell ref="A350:B350"/>
    <mergeCell ref="Q350:R350"/>
    <mergeCell ref="A345:B345"/>
    <mergeCell ref="Q345:R345"/>
    <mergeCell ref="A346:B346"/>
    <mergeCell ref="Q346:R346"/>
    <mergeCell ref="A347:B347"/>
    <mergeCell ref="Q347:R347"/>
    <mergeCell ref="B344:E344"/>
    <mergeCell ref="G344:I344"/>
    <mergeCell ref="J344:L344"/>
    <mergeCell ref="M344:O344"/>
    <mergeCell ref="P344:R344"/>
    <mergeCell ref="A340:R341"/>
    <mergeCell ref="A335:B335"/>
    <mergeCell ref="Q335:R335"/>
    <mergeCell ref="A336:B336"/>
    <mergeCell ref="Q336:R336"/>
    <mergeCell ref="A337:B337"/>
    <mergeCell ref="Q337:R337"/>
    <mergeCell ref="A332:B332"/>
    <mergeCell ref="Q332:R332"/>
    <mergeCell ref="A333:B333"/>
    <mergeCell ref="Q333:R333"/>
    <mergeCell ref="A334:B334"/>
    <mergeCell ref="Q334:R334"/>
    <mergeCell ref="A329:B329"/>
    <mergeCell ref="Q329:R329"/>
    <mergeCell ref="A330:B330"/>
    <mergeCell ref="Q330:R330"/>
    <mergeCell ref="A331:B331"/>
    <mergeCell ref="Q331:R331"/>
    <mergeCell ref="A326:B326"/>
    <mergeCell ref="Q326:R326"/>
    <mergeCell ref="A327:B327"/>
    <mergeCell ref="Q327:R327"/>
    <mergeCell ref="A328:B328"/>
    <mergeCell ref="Q328:R328"/>
    <mergeCell ref="B325:E325"/>
    <mergeCell ref="G325:I325"/>
    <mergeCell ref="J325:L325"/>
    <mergeCell ref="M325:O325"/>
    <mergeCell ref="P325:R325"/>
    <mergeCell ref="A323:R323"/>
    <mergeCell ref="B324:E324"/>
    <mergeCell ref="G324:I324"/>
    <mergeCell ref="J324:L324"/>
    <mergeCell ref="M324:O324"/>
    <mergeCell ref="P324:R324"/>
    <mergeCell ref="A319:B319"/>
    <mergeCell ref="Q319:R319"/>
    <mergeCell ref="A320:P320"/>
    <mergeCell ref="Q320:R320"/>
    <mergeCell ref="A321:R322"/>
    <mergeCell ref="A316:B316"/>
    <mergeCell ref="Q316:R316"/>
    <mergeCell ref="A317:B317"/>
    <mergeCell ref="Q317:R317"/>
    <mergeCell ref="A318:B318"/>
    <mergeCell ref="Q318:R318"/>
    <mergeCell ref="A308:B308"/>
    <mergeCell ref="Q308:R308"/>
    <mergeCell ref="A314:B314"/>
    <mergeCell ref="Q314:R314"/>
    <mergeCell ref="A315:B315"/>
    <mergeCell ref="Q315:R315"/>
    <mergeCell ref="A305:B305"/>
    <mergeCell ref="Q305:R305"/>
    <mergeCell ref="A306:B306"/>
    <mergeCell ref="Q306:R306"/>
    <mergeCell ref="A307:B307"/>
    <mergeCell ref="Q307:R307"/>
    <mergeCell ref="I312:L312"/>
    <mergeCell ref="M312:R312"/>
    <mergeCell ref="I313:L313"/>
    <mergeCell ref="M313:R313"/>
    <mergeCell ref="A302:B302"/>
    <mergeCell ref="Q302:R302"/>
    <mergeCell ref="A303:B303"/>
    <mergeCell ref="Q303:R303"/>
    <mergeCell ref="A304:B304"/>
    <mergeCell ref="Q304:R304"/>
    <mergeCell ref="B301:E301"/>
    <mergeCell ref="G301:I301"/>
    <mergeCell ref="J301:L301"/>
    <mergeCell ref="M301:O301"/>
    <mergeCell ref="P301:R301"/>
    <mergeCell ref="A299:R299"/>
    <mergeCell ref="B300:E300"/>
    <mergeCell ref="G300:I300"/>
    <mergeCell ref="J300:L300"/>
    <mergeCell ref="M300:O300"/>
    <mergeCell ref="P300:R300"/>
    <mergeCell ref="A295:B295"/>
    <mergeCell ref="Q295:R295"/>
    <mergeCell ref="A296:P296"/>
    <mergeCell ref="Q296:R296"/>
    <mergeCell ref="A297:R298"/>
    <mergeCell ref="A292:B292"/>
    <mergeCell ref="Q292:R292"/>
    <mergeCell ref="A293:B293"/>
    <mergeCell ref="Q293:R293"/>
    <mergeCell ref="A294:B294"/>
    <mergeCell ref="Q294:R294"/>
    <mergeCell ref="A289:B289"/>
    <mergeCell ref="Q289:R289"/>
    <mergeCell ref="A290:B290"/>
    <mergeCell ref="Q290:R290"/>
    <mergeCell ref="A291:B291"/>
    <mergeCell ref="Q291:R291"/>
    <mergeCell ref="A286:B286"/>
    <mergeCell ref="Q286:R286"/>
    <mergeCell ref="A287:B287"/>
    <mergeCell ref="Q287:R287"/>
    <mergeCell ref="A288:B288"/>
    <mergeCell ref="Q288:R288"/>
    <mergeCell ref="A283:B283"/>
    <mergeCell ref="Q283:R283"/>
    <mergeCell ref="A284:B284"/>
    <mergeCell ref="Q284:R284"/>
    <mergeCell ref="A285:B285"/>
    <mergeCell ref="Q285:R285"/>
    <mergeCell ref="B282:E282"/>
    <mergeCell ref="G282:I282"/>
    <mergeCell ref="J282:L282"/>
    <mergeCell ref="M282:O282"/>
    <mergeCell ref="P282:R282"/>
    <mergeCell ref="A280:R280"/>
    <mergeCell ref="B281:E281"/>
    <mergeCell ref="G281:I281"/>
    <mergeCell ref="J281:L281"/>
    <mergeCell ref="M281:O281"/>
    <mergeCell ref="P281:R281"/>
    <mergeCell ref="A276:B276"/>
    <mergeCell ref="Q276:R276"/>
    <mergeCell ref="A277:P277"/>
    <mergeCell ref="Q277:R277"/>
    <mergeCell ref="A278:R279"/>
    <mergeCell ref="A273:B273"/>
    <mergeCell ref="Q273:R273"/>
    <mergeCell ref="A274:B274"/>
    <mergeCell ref="Q274:R274"/>
    <mergeCell ref="A275:B275"/>
    <mergeCell ref="Q275:R275"/>
    <mergeCell ref="A270:B270"/>
    <mergeCell ref="Q270:R270"/>
    <mergeCell ref="A271:B271"/>
    <mergeCell ref="Q271:R271"/>
    <mergeCell ref="A272:B272"/>
    <mergeCell ref="Q272:R272"/>
    <mergeCell ref="A267:B267"/>
    <mergeCell ref="Q267:R267"/>
    <mergeCell ref="A268:B268"/>
    <mergeCell ref="Q268:R268"/>
    <mergeCell ref="A269:B269"/>
    <mergeCell ref="Q269:R269"/>
    <mergeCell ref="A264:B264"/>
    <mergeCell ref="Q264:R264"/>
    <mergeCell ref="A265:B265"/>
    <mergeCell ref="Q265:R265"/>
    <mergeCell ref="A266:B266"/>
    <mergeCell ref="Q266:R266"/>
    <mergeCell ref="B263:E263"/>
    <mergeCell ref="G263:I263"/>
    <mergeCell ref="J263:L263"/>
    <mergeCell ref="M263:O263"/>
    <mergeCell ref="P263:R263"/>
    <mergeCell ref="A261:R261"/>
    <mergeCell ref="B262:E262"/>
    <mergeCell ref="G262:I262"/>
    <mergeCell ref="J262:L262"/>
    <mergeCell ref="M262:O262"/>
    <mergeCell ref="P262:R262"/>
    <mergeCell ref="A252:B252"/>
    <mergeCell ref="Q252:R252"/>
    <mergeCell ref="A253:P253"/>
    <mergeCell ref="Q253:R253"/>
    <mergeCell ref="A254:R255"/>
    <mergeCell ref="I260:L260"/>
    <mergeCell ref="M260:R260"/>
    <mergeCell ref="A249:B249"/>
    <mergeCell ref="Q249:R249"/>
    <mergeCell ref="A250:B250"/>
    <mergeCell ref="Q250:R250"/>
    <mergeCell ref="A251:B251"/>
    <mergeCell ref="Q251:R251"/>
    <mergeCell ref="A246:B246"/>
    <mergeCell ref="Q246:R246"/>
    <mergeCell ref="A247:B247"/>
    <mergeCell ref="Q247:R247"/>
    <mergeCell ref="A248:B248"/>
    <mergeCell ref="Q248:R248"/>
    <mergeCell ref="A243:B243"/>
    <mergeCell ref="Q243:R243"/>
    <mergeCell ref="A244:B244"/>
    <mergeCell ref="Q244:R244"/>
    <mergeCell ref="A245:B245"/>
    <mergeCell ref="Q245:R245"/>
    <mergeCell ref="A240:B240"/>
    <mergeCell ref="Q240:R240"/>
    <mergeCell ref="A241:B241"/>
    <mergeCell ref="Q241:R241"/>
    <mergeCell ref="A242:B242"/>
    <mergeCell ref="Q242:R242"/>
    <mergeCell ref="B239:E239"/>
    <mergeCell ref="G239:I239"/>
    <mergeCell ref="J239:L239"/>
    <mergeCell ref="M239:O239"/>
    <mergeCell ref="P239:R239"/>
    <mergeCell ref="A237:R237"/>
    <mergeCell ref="B238:E238"/>
    <mergeCell ref="G238:I238"/>
    <mergeCell ref="J238:L238"/>
    <mergeCell ref="M238:O238"/>
    <mergeCell ref="P238:R238"/>
    <mergeCell ref="A233:B233"/>
    <mergeCell ref="Q233:R233"/>
    <mergeCell ref="A234:P234"/>
    <mergeCell ref="Q234:R234"/>
    <mergeCell ref="A235:R236"/>
    <mergeCell ref="A230:B230"/>
    <mergeCell ref="Q230:R230"/>
    <mergeCell ref="A231:B231"/>
    <mergeCell ref="Q231:R231"/>
    <mergeCell ref="A232:B232"/>
    <mergeCell ref="Q232:R232"/>
    <mergeCell ref="A227:B227"/>
    <mergeCell ref="Q227:R227"/>
    <mergeCell ref="A228:B228"/>
    <mergeCell ref="Q228:R228"/>
    <mergeCell ref="A229:B229"/>
    <mergeCell ref="Q229:R229"/>
    <mergeCell ref="A224:B224"/>
    <mergeCell ref="Q224:R224"/>
    <mergeCell ref="A225:B225"/>
    <mergeCell ref="Q225:R225"/>
    <mergeCell ref="A226:B226"/>
    <mergeCell ref="Q226:R226"/>
    <mergeCell ref="A221:B221"/>
    <mergeCell ref="Q221:R221"/>
    <mergeCell ref="A222:B222"/>
    <mergeCell ref="Q222:R222"/>
    <mergeCell ref="A223:B223"/>
    <mergeCell ref="Q223:R223"/>
    <mergeCell ref="B220:E220"/>
    <mergeCell ref="G220:I220"/>
    <mergeCell ref="J220:L220"/>
    <mergeCell ref="M220:O220"/>
    <mergeCell ref="P220:R220"/>
    <mergeCell ref="Q215:R215"/>
    <mergeCell ref="A216:R217"/>
    <mergeCell ref="A218:R218"/>
    <mergeCell ref="B219:E219"/>
    <mergeCell ref="G219:I219"/>
    <mergeCell ref="J219:L219"/>
    <mergeCell ref="M219:O219"/>
    <mergeCell ref="P219:R219"/>
    <mergeCell ref="A203:B203"/>
    <mergeCell ref="Q203:R203"/>
    <mergeCell ref="A209:B209"/>
    <mergeCell ref="Q209:R209"/>
    <mergeCell ref="A210:B210"/>
    <mergeCell ref="Q210:R210"/>
    <mergeCell ref="Q214:R214"/>
    <mergeCell ref="A211:B211"/>
    <mergeCell ref="Q211:R211"/>
    <mergeCell ref="A212:B212"/>
    <mergeCell ref="Q212:R212"/>
    <mergeCell ref="A213:B213"/>
    <mergeCell ref="Q213:R213"/>
    <mergeCell ref="A214:B214"/>
    <mergeCell ref="A215:P215"/>
    <mergeCell ref="A200:B200"/>
    <mergeCell ref="Q200:R200"/>
    <mergeCell ref="A201:B201"/>
    <mergeCell ref="Q201:R201"/>
    <mergeCell ref="A202:B202"/>
    <mergeCell ref="Q202:R202"/>
    <mergeCell ref="A197:B197"/>
    <mergeCell ref="Q197:R197"/>
    <mergeCell ref="A198:B198"/>
    <mergeCell ref="Q198:R198"/>
    <mergeCell ref="A199:B199"/>
    <mergeCell ref="Q199:R199"/>
    <mergeCell ref="B196:E196"/>
    <mergeCell ref="G196:I196"/>
    <mergeCell ref="J196:L196"/>
    <mergeCell ref="M196:O196"/>
    <mergeCell ref="P196:R196"/>
    <mergeCell ref="A194:R194"/>
    <mergeCell ref="B195:E195"/>
    <mergeCell ref="G195:I195"/>
    <mergeCell ref="J195:L195"/>
    <mergeCell ref="M195:O195"/>
    <mergeCell ref="P195:R195"/>
    <mergeCell ref="A190:B190"/>
    <mergeCell ref="Q190:R190"/>
    <mergeCell ref="A191:P191"/>
    <mergeCell ref="Q191:R191"/>
    <mergeCell ref="A192:R193"/>
    <mergeCell ref="A187:B187"/>
    <mergeCell ref="Q187:R187"/>
    <mergeCell ref="A188:B188"/>
    <mergeCell ref="Q188:R188"/>
    <mergeCell ref="A189:B189"/>
    <mergeCell ref="Q189:R189"/>
    <mergeCell ref="A184:B184"/>
    <mergeCell ref="Q184:R184"/>
    <mergeCell ref="A185:B185"/>
    <mergeCell ref="Q185:R185"/>
    <mergeCell ref="A186:B186"/>
    <mergeCell ref="Q186:R186"/>
    <mergeCell ref="A181:B181"/>
    <mergeCell ref="Q181:R181"/>
    <mergeCell ref="A182:B182"/>
    <mergeCell ref="Q182:R182"/>
    <mergeCell ref="A183:B183"/>
    <mergeCell ref="Q183:R183"/>
    <mergeCell ref="A178:B178"/>
    <mergeCell ref="Q178:R178"/>
    <mergeCell ref="A179:B179"/>
    <mergeCell ref="Q179:R179"/>
    <mergeCell ref="A180:B180"/>
    <mergeCell ref="Q180:R180"/>
    <mergeCell ref="B177:E177"/>
    <mergeCell ref="G177:I177"/>
    <mergeCell ref="J177:L177"/>
    <mergeCell ref="M177:O177"/>
    <mergeCell ref="P177:R177"/>
    <mergeCell ref="A175:R175"/>
    <mergeCell ref="B176:E176"/>
    <mergeCell ref="G176:I176"/>
    <mergeCell ref="J176:L176"/>
    <mergeCell ref="M176:O176"/>
    <mergeCell ref="P176:R176"/>
    <mergeCell ref="A171:B171"/>
    <mergeCell ref="Q171:R171"/>
    <mergeCell ref="A172:P172"/>
    <mergeCell ref="Q172:R172"/>
    <mergeCell ref="A173:R174"/>
    <mergeCell ref="A168:B168"/>
    <mergeCell ref="Q168:R168"/>
    <mergeCell ref="A169:B169"/>
    <mergeCell ref="Q169:R169"/>
    <mergeCell ref="A170:B170"/>
    <mergeCell ref="Q170:R170"/>
    <mergeCell ref="A165:B165"/>
    <mergeCell ref="Q165:R165"/>
    <mergeCell ref="A166:B166"/>
    <mergeCell ref="Q166:R166"/>
    <mergeCell ref="A167:B167"/>
    <mergeCell ref="Q167:R167"/>
    <mergeCell ref="A162:B162"/>
    <mergeCell ref="Q162:R162"/>
    <mergeCell ref="A163:B163"/>
    <mergeCell ref="Q163:R163"/>
    <mergeCell ref="A164:B164"/>
    <mergeCell ref="Q164:R164"/>
    <mergeCell ref="A159:B159"/>
    <mergeCell ref="Q159:R159"/>
    <mergeCell ref="A160:B160"/>
    <mergeCell ref="Q160:R160"/>
    <mergeCell ref="A161:B161"/>
    <mergeCell ref="Q161:R161"/>
    <mergeCell ref="B158:E158"/>
    <mergeCell ref="G158:I158"/>
    <mergeCell ref="J158:L158"/>
    <mergeCell ref="M158:O158"/>
    <mergeCell ref="P158:R158"/>
    <mergeCell ref="A156:R156"/>
    <mergeCell ref="B157:E157"/>
    <mergeCell ref="G157:I157"/>
    <mergeCell ref="J157:L157"/>
    <mergeCell ref="M157:O157"/>
    <mergeCell ref="P157:R157"/>
    <mergeCell ref="A147:B147"/>
    <mergeCell ref="Q147:R147"/>
    <mergeCell ref="A148:P148"/>
    <mergeCell ref="Q148:R148"/>
    <mergeCell ref="A149:R150"/>
    <mergeCell ref="A144:B144"/>
    <mergeCell ref="Q144:R144"/>
    <mergeCell ref="A145:B145"/>
    <mergeCell ref="Q145:R145"/>
    <mergeCell ref="A146:B146"/>
    <mergeCell ref="Q146:R146"/>
    <mergeCell ref="A141:B141"/>
    <mergeCell ref="Q141:R141"/>
    <mergeCell ref="A142:B142"/>
    <mergeCell ref="Q142:R142"/>
    <mergeCell ref="A143:B143"/>
    <mergeCell ref="Q143:R143"/>
    <mergeCell ref="B134:E134"/>
    <mergeCell ref="G134:I134"/>
    <mergeCell ref="J134:L134"/>
    <mergeCell ref="M134:O134"/>
    <mergeCell ref="P134:R134"/>
    <mergeCell ref="Q136:R136"/>
    <mergeCell ref="A135:B135"/>
    <mergeCell ref="Q135:R135"/>
    <mergeCell ref="A136:B136"/>
    <mergeCell ref="A137:B137"/>
    <mergeCell ref="Q137:R137"/>
    <mergeCell ref="A138:B138"/>
    <mergeCell ref="Q138:R138"/>
    <mergeCell ref="A139:B139"/>
    <mergeCell ref="Q139:R139"/>
    <mergeCell ref="A140:B140"/>
    <mergeCell ref="Q140:R140"/>
    <mergeCell ref="B133:E133"/>
    <mergeCell ref="G133:I133"/>
    <mergeCell ref="J133:L133"/>
    <mergeCell ref="M133:O133"/>
    <mergeCell ref="P133:R133"/>
    <mergeCell ref="A125:B125"/>
    <mergeCell ref="Q125:R125"/>
    <mergeCell ref="A126:B126"/>
    <mergeCell ref="A127:B127"/>
    <mergeCell ref="Q127:R127"/>
    <mergeCell ref="Q126:R126"/>
    <mergeCell ref="A128:B128"/>
    <mergeCell ref="Q128:R128"/>
    <mergeCell ref="A129:P129"/>
    <mergeCell ref="Q129:R129"/>
    <mergeCell ref="A130:R131"/>
    <mergeCell ref="A132:R132"/>
    <mergeCell ref="A122:B122"/>
    <mergeCell ref="Q122:R122"/>
    <mergeCell ref="A123:B123"/>
    <mergeCell ref="Q123:R123"/>
    <mergeCell ref="A124:B124"/>
    <mergeCell ref="Q124:R124"/>
    <mergeCell ref="A119:B119"/>
    <mergeCell ref="Q119:R119"/>
    <mergeCell ref="A120:B120"/>
    <mergeCell ref="Q120:R120"/>
    <mergeCell ref="A121:B121"/>
    <mergeCell ref="Q121:R121"/>
    <mergeCell ref="A116:B116"/>
    <mergeCell ref="Q116:R116"/>
    <mergeCell ref="A117:B117"/>
    <mergeCell ref="A118:B118"/>
    <mergeCell ref="Q118:R118"/>
    <mergeCell ref="B115:E115"/>
    <mergeCell ref="G115:I115"/>
    <mergeCell ref="J115:L115"/>
    <mergeCell ref="M115:O115"/>
    <mergeCell ref="P115:R115"/>
    <mergeCell ref="A113:R113"/>
    <mergeCell ref="B114:E114"/>
    <mergeCell ref="G114:I114"/>
    <mergeCell ref="J114:L114"/>
    <mergeCell ref="M114:O114"/>
    <mergeCell ref="P114:R114"/>
    <mergeCell ref="A109:B109"/>
    <mergeCell ref="Q109:R109"/>
    <mergeCell ref="A110:P110"/>
    <mergeCell ref="Q110:R110"/>
    <mergeCell ref="A111:R112"/>
    <mergeCell ref="A106:B106"/>
    <mergeCell ref="Q106:R106"/>
    <mergeCell ref="A107:B107"/>
    <mergeCell ref="A108:B108"/>
    <mergeCell ref="Q108:R108"/>
    <mergeCell ref="A98:B98"/>
    <mergeCell ref="Q98:R98"/>
    <mergeCell ref="A99:B99"/>
    <mergeCell ref="Q99:R99"/>
    <mergeCell ref="A105:B105"/>
    <mergeCell ref="Q105:R105"/>
    <mergeCell ref="Q107:R107"/>
    <mergeCell ref="I103:L103"/>
    <mergeCell ref="M103:R103"/>
    <mergeCell ref="I104:L104"/>
    <mergeCell ref="M104:R104"/>
    <mergeCell ref="A95:B95"/>
    <mergeCell ref="Q95:R95"/>
    <mergeCell ref="A96:B96"/>
    <mergeCell ref="Q96:R96"/>
    <mergeCell ref="A97:B97"/>
    <mergeCell ref="Q97:R97"/>
    <mergeCell ref="A92:B92"/>
    <mergeCell ref="Q92:R92"/>
    <mergeCell ref="A93:B93"/>
    <mergeCell ref="Q93:R93"/>
    <mergeCell ref="A94:B94"/>
    <mergeCell ref="Q94:R94"/>
    <mergeCell ref="B91:E91"/>
    <mergeCell ref="G91:I91"/>
    <mergeCell ref="J91:L91"/>
    <mergeCell ref="M91:O91"/>
    <mergeCell ref="P91:R91"/>
    <mergeCell ref="A89:R89"/>
    <mergeCell ref="B90:E90"/>
    <mergeCell ref="G90:I90"/>
    <mergeCell ref="J90:L90"/>
    <mergeCell ref="M90:O90"/>
    <mergeCell ref="P90:R90"/>
    <mergeCell ref="A85:B85"/>
    <mergeCell ref="Q85:R85"/>
    <mergeCell ref="A86:P86"/>
    <mergeCell ref="Q86:R86"/>
    <mergeCell ref="A87:R88"/>
    <mergeCell ref="A82:B82"/>
    <mergeCell ref="Q82:R82"/>
    <mergeCell ref="A83:B83"/>
    <mergeCell ref="Q83:R83"/>
    <mergeCell ref="A84:B84"/>
    <mergeCell ref="Q84:R84"/>
    <mergeCell ref="A79:B79"/>
    <mergeCell ref="Q79:R79"/>
    <mergeCell ref="A80:B80"/>
    <mergeCell ref="Q80:R80"/>
    <mergeCell ref="A81:B81"/>
    <mergeCell ref="Q81:R81"/>
    <mergeCell ref="A76:B76"/>
    <mergeCell ref="Q76:R76"/>
    <mergeCell ref="A77:B77"/>
    <mergeCell ref="Q77:R77"/>
    <mergeCell ref="A78:B78"/>
    <mergeCell ref="Q78:R78"/>
    <mergeCell ref="Q67:R67"/>
    <mergeCell ref="A68:R69"/>
    <mergeCell ref="A73:B73"/>
    <mergeCell ref="Q73:R73"/>
    <mergeCell ref="A74:B74"/>
    <mergeCell ref="Q74:R74"/>
    <mergeCell ref="A75:B75"/>
    <mergeCell ref="Q75:R75"/>
    <mergeCell ref="B72:E72"/>
    <mergeCell ref="G72:I72"/>
    <mergeCell ref="J72:L72"/>
    <mergeCell ref="M72:O72"/>
    <mergeCell ref="P72:R72"/>
    <mergeCell ref="J71:L71"/>
    <mergeCell ref="M71:O71"/>
    <mergeCell ref="P71:R71"/>
    <mergeCell ref="A63:B63"/>
    <mergeCell ref="Q63:R63"/>
    <mergeCell ref="A64:B64"/>
    <mergeCell ref="Q64:R64"/>
    <mergeCell ref="A65:B65"/>
    <mergeCell ref="Q65:R65"/>
    <mergeCell ref="A60:B60"/>
    <mergeCell ref="Q60:R60"/>
    <mergeCell ref="A61:B61"/>
    <mergeCell ref="Q61:R61"/>
    <mergeCell ref="A62:B62"/>
    <mergeCell ref="Q62:R62"/>
    <mergeCell ref="A57:B57"/>
    <mergeCell ref="Q57:R57"/>
    <mergeCell ref="A58:B58"/>
    <mergeCell ref="Q58:R58"/>
    <mergeCell ref="A59:B59"/>
    <mergeCell ref="Q59:R59"/>
    <mergeCell ref="A54:B54"/>
    <mergeCell ref="Q54:R54"/>
    <mergeCell ref="A55:B55"/>
    <mergeCell ref="Q55:R55"/>
    <mergeCell ref="A56:B56"/>
    <mergeCell ref="Q56:R56"/>
    <mergeCell ref="B53:E53"/>
    <mergeCell ref="G53:I53"/>
    <mergeCell ref="J53:L53"/>
    <mergeCell ref="M53:O53"/>
    <mergeCell ref="P53:R53"/>
    <mergeCell ref="A44:R45"/>
    <mergeCell ref="A51:R51"/>
    <mergeCell ref="B52:E52"/>
    <mergeCell ref="G52:I52"/>
    <mergeCell ref="J52:L52"/>
    <mergeCell ref="M52:O52"/>
    <mergeCell ref="P52:R52"/>
    <mergeCell ref="I49:L49"/>
    <mergeCell ref="I50:L50"/>
    <mergeCell ref="M49:R49"/>
    <mergeCell ref="M50:R50"/>
    <mergeCell ref="A12:B12"/>
    <mergeCell ref="A13:B13"/>
    <mergeCell ref="A42:B42"/>
    <mergeCell ref="Q42:R42"/>
    <mergeCell ref="A43:P43"/>
    <mergeCell ref="Q43:R43"/>
    <mergeCell ref="Q38:R38"/>
    <mergeCell ref="A39:B39"/>
    <mergeCell ref="Q39:R39"/>
    <mergeCell ref="A40:B40"/>
    <mergeCell ref="Q40:R40"/>
    <mergeCell ref="A41:B41"/>
    <mergeCell ref="Q41:R41"/>
    <mergeCell ref="Q21:R21"/>
    <mergeCell ref="Q22:R22"/>
    <mergeCell ref="A37:B37"/>
    <mergeCell ref="Q37:R37"/>
    <mergeCell ref="A38:B38"/>
    <mergeCell ref="A24:P24"/>
    <mergeCell ref="A22:B22"/>
    <mergeCell ref="A23:B23"/>
    <mergeCell ref="Q34:R34"/>
    <mergeCell ref="C1:L5"/>
    <mergeCell ref="Q12:R12"/>
    <mergeCell ref="Q13:R13"/>
    <mergeCell ref="Q14:R14"/>
    <mergeCell ref="Q15:R15"/>
    <mergeCell ref="A1:B5"/>
    <mergeCell ref="A6:R6"/>
    <mergeCell ref="A30:B30"/>
    <mergeCell ref="Q30:R30"/>
    <mergeCell ref="M28:O28"/>
    <mergeCell ref="P28:R28"/>
    <mergeCell ref="B29:E29"/>
    <mergeCell ref="G29:I29"/>
    <mergeCell ref="J29:L29"/>
    <mergeCell ref="M29:O29"/>
    <mergeCell ref="P29:R29"/>
    <mergeCell ref="B9:E9"/>
    <mergeCell ref="J9:L9"/>
    <mergeCell ref="M9:O9"/>
    <mergeCell ref="G9:I9"/>
    <mergeCell ref="G10:I10"/>
    <mergeCell ref="A16:B16"/>
    <mergeCell ref="Q19:R19"/>
    <mergeCell ref="Q20:R20"/>
    <mergeCell ref="T26:W26"/>
    <mergeCell ref="Q117:R117"/>
    <mergeCell ref="T27:W27"/>
    <mergeCell ref="T28:W28"/>
    <mergeCell ref="T29:W29"/>
    <mergeCell ref="T30:W30"/>
    <mergeCell ref="T31:W31"/>
    <mergeCell ref="A25:R26"/>
    <mergeCell ref="A27:R27"/>
    <mergeCell ref="B28:E28"/>
    <mergeCell ref="G28:I28"/>
    <mergeCell ref="J28:L28"/>
    <mergeCell ref="T32:W32"/>
    <mergeCell ref="T33:W33"/>
    <mergeCell ref="T34:W34"/>
    <mergeCell ref="A33:B33"/>
    <mergeCell ref="Q33:R33"/>
    <mergeCell ref="A36:B36"/>
    <mergeCell ref="Q36:R36"/>
    <mergeCell ref="A31:B31"/>
    <mergeCell ref="Q31:R31"/>
    <mergeCell ref="A32:B32"/>
    <mergeCell ref="Q32:R32"/>
    <mergeCell ref="A34:B34"/>
    <mergeCell ref="B10:E10"/>
    <mergeCell ref="Q11:R11"/>
    <mergeCell ref="T25:W25"/>
    <mergeCell ref="A70:R70"/>
    <mergeCell ref="B71:E71"/>
    <mergeCell ref="G71:I71"/>
    <mergeCell ref="A35:B35"/>
    <mergeCell ref="Q35:R35"/>
    <mergeCell ref="A21:B21"/>
    <mergeCell ref="A19:B19"/>
    <mergeCell ref="A20:B20"/>
    <mergeCell ref="Q24:R24"/>
    <mergeCell ref="A66:B66"/>
    <mergeCell ref="Q66:R66"/>
    <mergeCell ref="A67:P67"/>
    <mergeCell ref="T17:W17"/>
    <mergeCell ref="T18:W18"/>
    <mergeCell ref="Q18:R18"/>
    <mergeCell ref="Q23:R23"/>
    <mergeCell ref="T19:W19"/>
    <mergeCell ref="T21:AJ21"/>
    <mergeCell ref="T22:W22"/>
    <mergeCell ref="T23:W23"/>
    <mergeCell ref="T24:W24"/>
    <mergeCell ref="T6:AJ6"/>
    <mergeCell ref="T7:W7"/>
    <mergeCell ref="M1:R5"/>
    <mergeCell ref="A17:B17"/>
    <mergeCell ref="A18:B18"/>
    <mergeCell ref="Q17:R17"/>
    <mergeCell ref="T11:W11"/>
    <mergeCell ref="T12:W12"/>
    <mergeCell ref="T13:W13"/>
    <mergeCell ref="T14:W14"/>
    <mergeCell ref="T15:W15"/>
    <mergeCell ref="T8:W8"/>
    <mergeCell ref="T9:W9"/>
    <mergeCell ref="T10:W10"/>
    <mergeCell ref="T16:W16"/>
    <mergeCell ref="Q16:R16"/>
    <mergeCell ref="A11:B11"/>
    <mergeCell ref="A8:R8"/>
    <mergeCell ref="P9:R9"/>
    <mergeCell ref="P10:R10"/>
    <mergeCell ref="M10:O10"/>
    <mergeCell ref="A14:B14"/>
    <mergeCell ref="A15:B15"/>
    <mergeCell ref="J10:L10"/>
  </mergeCells>
  <pageMargins left="0.51181102362204722" right="0.51181102362204722" top="0.78740157480314965" bottom="0.77" header="0.31496062992125984" footer="0.31496062992125984"/>
  <pageSetup paperSize="9" scale="68" orientation="landscape" r:id="rId1"/>
  <rowBreaks count="5" manualBreakCount="5">
    <brk id="50" max="16383" man="1"/>
    <brk id="155" max="16383" man="1"/>
    <brk id="208" max="16383" man="1"/>
    <brk id="260" max="16383" man="1"/>
    <brk id="313" max="16383" man="1"/>
  </rowBreaks>
  <drawing r:id="rId2"/>
  <legacyDrawing r:id="rId3"/>
  <oleObjects>
    <mc:AlternateContent xmlns:mc="http://schemas.openxmlformats.org/markup-compatibility/2006">
      <mc:Choice Requires="x14">
        <oleObject progId="PBrush" shapeId="31745" r:id="rId4">
          <objectPr defaultSize="0" autoPict="0" r:id="rId5">
            <anchor moveWithCells="1" sizeWithCells="1">
              <from>
                <xdr:col>0</xdr:col>
                <xdr:colOff>152400</xdr:colOff>
                <xdr:row>0</xdr:row>
                <xdr:rowOff>95250</xdr:rowOff>
              </from>
              <to>
                <xdr:col>1</xdr:col>
                <xdr:colOff>1438275</xdr:colOff>
                <xdr:row>4</xdr:row>
                <xdr:rowOff>28575</xdr:rowOff>
              </to>
            </anchor>
          </objectPr>
        </oleObject>
      </mc:Choice>
      <mc:Fallback>
        <oleObject progId="PBrush" shapeId="31745" r:id="rId4"/>
      </mc:Fallback>
    </mc:AlternateContent>
  </oleObjec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00B0F0"/>
    <pageSetUpPr fitToPage="1"/>
  </sheetPr>
  <dimension ref="A1:BF41"/>
  <sheetViews>
    <sheetView view="pageBreakPreview" zoomScaleNormal="100" zoomScaleSheetLayoutView="100" workbookViewId="0">
      <selection activeCell="Q29" sqref="Q29"/>
    </sheetView>
  </sheetViews>
  <sheetFormatPr defaultColWidth="9.140625" defaultRowHeight="12" x14ac:dyDescent="0.2"/>
  <cols>
    <col min="1" max="1" width="4.7109375" style="1" customWidth="1"/>
    <col min="2" max="2" width="29.5703125" style="1" customWidth="1"/>
    <col min="3" max="3" width="12.28515625" style="1" customWidth="1"/>
    <col min="4" max="4" width="12.85546875" style="1" customWidth="1"/>
    <col min="5" max="5" width="9.5703125" style="1" bestFit="1" customWidth="1"/>
    <col min="6" max="6" width="12.85546875" style="1" bestFit="1" customWidth="1"/>
    <col min="7" max="7" width="8" style="1" customWidth="1"/>
    <col min="8" max="15" width="9.28515625" style="1" customWidth="1"/>
    <col min="16" max="16" width="9.28515625" style="1" hidden="1" customWidth="1"/>
    <col min="17" max="21" width="9.28515625" style="1" customWidth="1"/>
    <col min="22" max="16384" width="9.140625" style="1"/>
  </cols>
  <sheetData>
    <row r="1" spans="1:58" ht="15" customHeight="1" x14ac:dyDescent="0.2">
      <c r="A1" s="388" t="s">
        <v>522</v>
      </c>
      <c r="B1" s="389"/>
      <c r="C1" s="390"/>
      <c r="D1" s="390"/>
      <c r="E1" s="390"/>
      <c r="F1" s="390"/>
      <c r="G1" s="390"/>
      <c r="H1" s="390"/>
      <c r="I1" s="390"/>
      <c r="J1" s="390"/>
      <c r="K1" s="390"/>
      <c r="L1" s="390"/>
      <c r="M1" s="390"/>
      <c r="N1" s="390"/>
      <c r="O1" s="390"/>
      <c r="P1" s="390"/>
      <c r="Q1" s="390"/>
      <c r="R1" s="390"/>
      <c r="S1" s="390"/>
      <c r="T1" s="390"/>
      <c r="U1" s="391"/>
    </row>
    <row r="2" spans="1:58" ht="15" customHeight="1" thickBot="1" x14ac:dyDescent="0.25">
      <c r="A2" s="392" t="s">
        <v>523</v>
      </c>
      <c r="B2" s="393"/>
      <c r="C2" s="394"/>
      <c r="D2" s="394"/>
      <c r="E2" s="394"/>
      <c r="F2" s="394"/>
      <c r="G2" s="394"/>
      <c r="H2" s="394"/>
      <c r="I2" s="394"/>
      <c r="J2" s="394"/>
      <c r="K2" s="394"/>
      <c r="L2" s="394"/>
      <c r="M2" s="394"/>
      <c r="N2" s="394"/>
      <c r="O2" s="394"/>
      <c r="P2" s="394"/>
      <c r="Q2" s="394"/>
      <c r="R2" s="394"/>
      <c r="S2" s="394"/>
      <c r="T2" s="394"/>
      <c r="U2" s="395"/>
    </row>
    <row r="3" spans="1:58" ht="15" customHeight="1" thickBot="1" x14ac:dyDescent="0.25">
      <c r="A3" s="392" t="s">
        <v>521</v>
      </c>
      <c r="B3" s="393"/>
      <c r="C3" s="394"/>
      <c r="D3" s="394"/>
      <c r="E3" s="394"/>
      <c r="F3" s="394"/>
      <c r="G3" s="394"/>
      <c r="H3" s="394"/>
      <c r="I3" s="394"/>
      <c r="J3" s="394"/>
      <c r="K3" s="394"/>
      <c r="L3" s="394"/>
      <c r="M3" s="394"/>
      <c r="N3" s="394"/>
      <c r="O3" s="394"/>
      <c r="P3" s="394"/>
      <c r="Q3" s="394"/>
      <c r="R3" s="394"/>
      <c r="S3" s="394"/>
      <c r="T3" s="394"/>
      <c r="U3" s="395"/>
      <c r="W3" s="595" t="s">
        <v>36</v>
      </c>
      <c r="X3" s="596"/>
      <c r="Y3" s="596"/>
      <c r="Z3" s="596"/>
      <c r="AA3" s="596"/>
      <c r="AB3" s="596"/>
      <c r="AC3" s="596"/>
      <c r="AD3" s="596"/>
      <c r="AE3" s="596"/>
      <c r="AF3" s="596"/>
      <c r="AG3" s="596"/>
      <c r="AH3" s="597"/>
    </row>
    <row r="4" spans="1:58" ht="20.100000000000001" customHeight="1" x14ac:dyDescent="0.2">
      <c r="A4" s="392" t="s">
        <v>520</v>
      </c>
      <c r="B4" s="393"/>
      <c r="C4" s="394"/>
      <c r="D4" s="394"/>
      <c r="E4" s="394"/>
      <c r="F4" s="394"/>
      <c r="G4" s="394"/>
      <c r="H4" s="394"/>
      <c r="I4" s="394"/>
      <c r="J4" s="394"/>
      <c r="K4" s="394"/>
      <c r="L4" s="394"/>
      <c r="M4" s="394"/>
      <c r="N4" s="394"/>
      <c r="O4" s="394"/>
      <c r="P4" s="394"/>
      <c r="Q4" s="394"/>
      <c r="R4" s="394"/>
      <c r="S4" s="394"/>
      <c r="T4" s="394"/>
      <c r="U4" s="395"/>
      <c r="W4" s="51" t="s">
        <v>8</v>
      </c>
      <c r="X4" s="22" t="s">
        <v>9</v>
      </c>
      <c r="Y4" s="23" t="s">
        <v>10</v>
      </c>
      <c r="Z4" s="24" t="s">
        <v>11</v>
      </c>
      <c r="AA4" s="23" t="s">
        <v>12</v>
      </c>
      <c r="AB4" s="22" t="s">
        <v>13</v>
      </c>
      <c r="AC4" s="25" t="s">
        <v>37</v>
      </c>
      <c r="AD4" s="23" t="s">
        <v>38</v>
      </c>
      <c r="AE4" s="23" t="s">
        <v>41</v>
      </c>
      <c r="AF4" s="23" t="s">
        <v>40</v>
      </c>
      <c r="AG4" s="23" t="s">
        <v>15</v>
      </c>
      <c r="AH4" s="26" t="s">
        <v>16</v>
      </c>
    </row>
    <row r="5" spans="1:58" ht="12.95" customHeight="1" thickBot="1" x14ac:dyDescent="0.25">
      <c r="A5" s="396"/>
      <c r="B5" s="397"/>
      <c r="C5" s="397"/>
      <c r="D5" s="397"/>
      <c r="E5" s="397"/>
      <c r="F5" s="397"/>
      <c r="G5" s="397"/>
      <c r="H5" s="397"/>
      <c r="I5" s="397"/>
      <c r="J5" s="397"/>
      <c r="K5" s="397"/>
      <c r="L5" s="397"/>
      <c r="M5" s="397"/>
      <c r="N5" s="397"/>
      <c r="O5" s="397"/>
      <c r="P5" s="397"/>
      <c r="Q5" s="397"/>
      <c r="R5" s="397"/>
      <c r="S5" s="397"/>
      <c r="T5" s="397"/>
      <c r="U5" s="398"/>
      <c r="W5" s="52">
        <f>0.16*0.07</f>
        <v>1.1200000000000002E-2</v>
      </c>
      <c r="X5" s="27">
        <f>0.06*0.3</f>
        <v>1.7999999999999999E-2</v>
      </c>
      <c r="Y5" s="27">
        <f>0.15*0.15</f>
        <v>2.2499999999999999E-2</v>
      </c>
      <c r="Z5" s="27">
        <f>0.25*0.3</f>
        <v>7.4999999999999997E-2</v>
      </c>
      <c r="AA5" s="27">
        <f>0.25*0.3</f>
        <v>7.4999999999999997E-2</v>
      </c>
      <c r="AB5" s="16"/>
      <c r="AC5" s="27">
        <f>0.25*0.3</f>
        <v>7.4999999999999997E-2</v>
      </c>
      <c r="AD5" s="27">
        <f>0.25*0.25</f>
        <v>6.25E-2</v>
      </c>
      <c r="AE5" s="27">
        <f>AD5</f>
        <v>6.25E-2</v>
      </c>
      <c r="AF5" s="27">
        <f>0.25*0.2</f>
        <v>0.05</v>
      </c>
      <c r="AG5" s="27">
        <f>0.15*0.2</f>
        <v>0.03</v>
      </c>
      <c r="AH5" s="28">
        <f>0.25*0.3</f>
        <v>7.4999999999999997E-2</v>
      </c>
    </row>
    <row r="6" spans="1:58" ht="12.95" customHeight="1" x14ac:dyDescent="0.2">
      <c r="A6" s="599" t="str">
        <f>'2 - Serviços'!A7:S7</f>
        <v>MANUTENÇÃO E CONSERVAÇÃO DAS PONTES DE MADEIRA</v>
      </c>
      <c r="B6" s="599"/>
      <c r="C6" s="599"/>
      <c r="D6" s="599"/>
      <c r="E6" s="599"/>
      <c r="F6" s="599"/>
      <c r="G6" s="599"/>
      <c r="H6" s="599"/>
      <c r="I6" s="599"/>
      <c r="J6" s="599"/>
      <c r="K6" s="599"/>
      <c r="L6" s="599"/>
      <c r="M6" s="599"/>
      <c r="N6" s="599"/>
      <c r="O6" s="599"/>
      <c r="P6" s="599"/>
      <c r="Q6" s="599"/>
      <c r="R6" s="599"/>
      <c r="S6" s="599"/>
      <c r="T6" s="599"/>
      <c r="U6" s="599"/>
    </row>
    <row r="7" spans="1:58" ht="12.95" customHeight="1" x14ac:dyDescent="0.2">
      <c r="A7" s="598" t="s">
        <v>265</v>
      </c>
      <c r="B7" s="598"/>
      <c r="C7" s="598"/>
      <c r="D7" s="598"/>
      <c r="E7" s="598"/>
      <c r="F7" s="598"/>
      <c r="G7" s="598"/>
      <c r="H7" s="598"/>
      <c r="I7" s="598"/>
      <c r="J7" s="598"/>
      <c r="K7" s="598"/>
      <c r="L7" s="598"/>
      <c r="M7" s="598"/>
      <c r="N7" s="598"/>
      <c r="O7" s="598"/>
      <c r="P7" s="598"/>
      <c r="Q7" s="598"/>
      <c r="R7" s="598"/>
      <c r="S7" s="598"/>
      <c r="T7" s="598"/>
      <c r="U7" s="598"/>
      <c r="Z7" s="17"/>
    </row>
    <row r="8" spans="1:58" ht="12.95" customHeight="1" x14ac:dyDescent="0.2">
      <c r="A8" s="590" t="s">
        <v>0</v>
      </c>
      <c r="B8" s="592" t="s">
        <v>1</v>
      </c>
      <c r="C8" s="593"/>
      <c r="D8" s="593"/>
      <c r="E8" s="593"/>
      <c r="F8" s="593"/>
      <c r="G8" s="594"/>
      <c r="H8" s="548" t="s">
        <v>238</v>
      </c>
      <c r="I8" s="548"/>
      <c r="J8" s="548"/>
      <c r="K8" s="548"/>
      <c r="L8" s="548"/>
      <c r="M8" s="548"/>
      <c r="N8" s="548"/>
      <c r="O8" s="548"/>
      <c r="P8" s="548"/>
      <c r="Q8" s="548"/>
      <c r="R8" s="548"/>
      <c r="S8" s="548"/>
      <c r="T8" s="548"/>
      <c r="U8" s="548"/>
      <c r="V8" s="29"/>
      <c r="W8" s="29"/>
      <c r="X8" s="29"/>
      <c r="Y8" s="29"/>
      <c r="Z8" s="29"/>
      <c r="AA8" s="29"/>
      <c r="AB8" s="29"/>
      <c r="AC8" s="29"/>
      <c r="AD8" s="29"/>
      <c r="AE8" s="29"/>
      <c r="AF8" s="29"/>
      <c r="AG8" s="29"/>
      <c r="AH8" s="29"/>
    </row>
    <row r="9" spans="1:58" ht="37.5" customHeight="1" x14ac:dyDescent="0.2">
      <c r="A9" s="591"/>
      <c r="B9" s="94" t="str">
        <f>'2 - Serviços'!$B$9</f>
        <v>Ponte</v>
      </c>
      <c r="C9" s="94" t="str">
        <f>'2 - Serviços'!$C$9</f>
        <v>Latitude</v>
      </c>
      <c r="D9" s="66" t="str">
        <f>'2 - Serviços'!$D$9</f>
        <v>Longitude</v>
      </c>
      <c r="E9" s="66" t="str">
        <f>'2 - Serviços'!$E$9</f>
        <v>Vigamento</v>
      </c>
      <c r="F9" s="66" t="str">
        <f>'2 - Serviços'!$F$9</f>
        <v>Largura (m)</v>
      </c>
      <c r="G9" s="83" t="str">
        <f>'2 - Serviços'!$G$9</f>
        <v>Extensão (m)</v>
      </c>
      <c r="H9" s="50" t="s">
        <v>8</v>
      </c>
      <c r="I9" s="313" t="s">
        <v>9</v>
      </c>
      <c r="J9" s="50" t="s">
        <v>10</v>
      </c>
      <c r="K9" s="325" t="s">
        <v>58</v>
      </c>
      <c r="L9" s="50" t="s">
        <v>12</v>
      </c>
      <c r="M9" s="313" t="s">
        <v>13</v>
      </c>
      <c r="N9" s="46" t="s">
        <v>37</v>
      </c>
      <c r="O9" s="50" t="s">
        <v>38</v>
      </c>
      <c r="P9" s="50" t="s">
        <v>39</v>
      </c>
      <c r="Q9" s="50" t="s">
        <v>40</v>
      </c>
      <c r="R9" s="50" t="s">
        <v>15</v>
      </c>
      <c r="S9" s="325" t="s">
        <v>17</v>
      </c>
      <c r="T9" s="325" t="s">
        <v>209</v>
      </c>
      <c r="U9" s="325" t="s">
        <v>239</v>
      </c>
      <c r="V9" s="30"/>
      <c r="W9" s="30"/>
      <c r="X9" s="30"/>
      <c r="Y9" s="30"/>
      <c r="Z9" s="30"/>
      <c r="AA9" s="30"/>
      <c r="AB9" s="30"/>
      <c r="AC9" s="30"/>
      <c r="AD9" s="30"/>
      <c r="AE9" s="30"/>
      <c r="AF9" s="29"/>
      <c r="AG9" s="29"/>
      <c r="AH9" s="30"/>
    </row>
    <row r="10" spans="1:58" s="21" customFormat="1" ht="12.95" customHeight="1" x14ac:dyDescent="0.2">
      <c r="A10" s="132">
        <f>'4 - Resumo de Ferragem'!A10</f>
        <v>1</v>
      </c>
      <c r="B10" s="133" t="str">
        <f>'4 - Resumo de Ferragem'!B10</f>
        <v>CÓRREGO DO CHINELO</v>
      </c>
      <c r="C10" s="133" t="str">
        <f>'4 - Resumo de Ferragem'!C10</f>
        <v>21°53'30.35''S</v>
      </c>
      <c r="D10" s="133" t="str">
        <f>'4 - Resumo de Ferragem'!D10</f>
        <v>54°35'16.91''W</v>
      </c>
      <c r="E10" s="123" t="str">
        <f>'4 - Resumo de Ferragem'!E10</f>
        <v>Simples</v>
      </c>
      <c r="F10" s="133">
        <f>'4 - Resumo de Ferragem'!F10</f>
        <v>5</v>
      </c>
      <c r="G10" s="123">
        <f>'4 - Resumo de Ferragem'!G10</f>
        <v>13</v>
      </c>
      <c r="H10" s="123">
        <v>66.019199999999998</v>
      </c>
      <c r="I10" s="123">
        <v>26.956799999999998</v>
      </c>
      <c r="J10" s="123">
        <v>7.4879999999999995</v>
      </c>
      <c r="K10" s="123">
        <v>23.1</v>
      </c>
      <c r="L10" s="123">
        <v>11.55</v>
      </c>
      <c r="M10" s="123">
        <v>18</v>
      </c>
      <c r="N10" s="123">
        <v>15.840000000000003</v>
      </c>
      <c r="O10" s="123">
        <v>8.8000000000000007</v>
      </c>
      <c r="P10" s="123">
        <v>0</v>
      </c>
      <c r="Q10" s="123">
        <v>7.9200000000000008</v>
      </c>
      <c r="R10" s="123">
        <v>6.9440000000000008</v>
      </c>
      <c r="S10" s="123">
        <v>192.61799999999999</v>
      </c>
      <c r="T10" s="123">
        <v>0.115</v>
      </c>
      <c r="U10" s="123">
        <v>0.115</v>
      </c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</row>
    <row r="11" spans="1:58" s="21" customFormat="1" ht="12.95" customHeight="1" x14ac:dyDescent="0.2">
      <c r="A11" s="132">
        <f>'4 - Resumo de Ferragem'!A11</f>
        <v>2</v>
      </c>
      <c r="B11" s="133" t="str">
        <f>'4 - Resumo de Ferragem'!B11</f>
        <v>CÓRREGO AREIAS</v>
      </c>
      <c r="C11" s="133" t="str">
        <f>'4 - Resumo de Ferragem'!C11</f>
        <v>21°48'55.89''S</v>
      </c>
      <c r="D11" s="133" t="str">
        <f>'4 - Resumo de Ferragem'!D11</f>
        <v>54°32'36.89''W</v>
      </c>
      <c r="E11" s="123" t="str">
        <f>'4 - Resumo de Ferragem'!E11</f>
        <v>Simples</v>
      </c>
      <c r="F11" s="133">
        <f>'4 - Resumo de Ferragem'!F11</f>
        <v>4.4000000000000004</v>
      </c>
      <c r="G11" s="123">
        <f>'4 - Resumo de Ferragem'!G11</f>
        <v>6</v>
      </c>
      <c r="H11" s="123">
        <v>30.470400000000005</v>
      </c>
      <c r="I11" s="123">
        <v>12.441600000000001</v>
      </c>
      <c r="J11" s="123">
        <v>3.4560000000000004</v>
      </c>
      <c r="K11" s="123">
        <v>13.200000000000001</v>
      </c>
      <c r="L11" s="123">
        <v>6.6000000000000005</v>
      </c>
      <c r="M11" s="123">
        <v>15.840000000000002</v>
      </c>
      <c r="N11" s="123">
        <v>10.560000000000002</v>
      </c>
      <c r="O11" s="123">
        <v>3.9200000000000004</v>
      </c>
      <c r="P11" s="123">
        <v>0</v>
      </c>
      <c r="Q11" s="123">
        <v>3.5280000000000005</v>
      </c>
      <c r="R11" s="123">
        <v>3.08</v>
      </c>
      <c r="S11" s="123">
        <v>103.096</v>
      </c>
      <c r="T11" s="123">
        <v>6.0999999999999999E-2</v>
      </c>
      <c r="U11" s="123">
        <v>6.0999999999999999E-2</v>
      </c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</row>
    <row r="12" spans="1:58" s="21" customFormat="1" ht="12.95" customHeight="1" x14ac:dyDescent="0.2">
      <c r="A12" s="132">
        <f>'4 - Resumo de Ferragem'!A12</f>
        <v>3</v>
      </c>
      <c r="B12" s="133" t="str">
        <f>'4 - Resumo de Ferragem'!B12</f>
        <v>CÓRREGO ARARAS</v>
      </c>
      <c r="C12" s="133" t="str">
        <f>'4 - Resumo de Ferragem'!C12</f>
        <v>21°47'42.63''S</v>
      </c>
      <c r="D12" s="133" t="str">
        <f>'4 - Resumo de Ferragem'!D12</f>
        <v>54°31'56.42''W</v>
      </c>
      <c r="E12" s="123" t="str">
        <f>'4 - Resumo de Ferragem'!E12</f>
        <v>Simples</v>
      </c>
      <c r="F12" s="133">
        <f>'4 - Resumo de Ferragem'!F12</f>
        <v>4.8</v>
      </c>
      <c r="G12" s="123">
        <f>'4 - Resumo de Ferragem'!G12</f>
        <v>12</v>
      </c>
      <c r="H12" s="123">
        <v>60.94080000000001</v>
      </c>
      <c r="I12" s="123">
        <v>24.883200000000002</v>
      </c>
      <c r="J12" s="123">
        <v>6.9120000000000008</v>
      </c>
      <c r="K12" s="123">
        <v>23.1</v>
      </c>
      <c r="L12" s="123">
        <v>11.55</v>
      </c>
      <c r="M12" s="123">
        <v>17.28</v>
      </c>
      <c r="N12" s="123">
        <v>15.840000000000003</v>
      </c>
      <c r="O12" s="123">
        <v>8.48</v>
      </c>
      <c r="P12" s="123">
        <v>0</v>
      </c>
      <c r="Q12" s="123">
        <v>7.6320000000000006</v>
      </c>
      <c r="R12" s="123">
        <v>6.6080000000000005</v>
      </c>
      <c r="S12" s="123">
        <v>183.226</v>
      </c>
      <c r="T12" s="123">
        <v>0.109</v>
      </c>
      <c r="U12" s="123">
        <v>0.109</v>
      </c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</row>
    <row r="13" spans="1:58" s="21" customFormat="1" ht="12.95" customHeight="1" x14ac:dyDescent="0.2">
      <c r="A13" s="132">
        <f>'4 - Resumo de Ferragem'!A13</f>
        <v>4</v>
      </c>
      <c r="B13" s="133" t="str">
        <f>'4 - Resumo de Ferragem'!B13</f>
        <v>CÓRREGO FORMIGA</v>
      </c>
      <c r="C13" s="133" t="str">
        <f>'4 - Resumo de Ferragem'!C13</f>
        <v>21°39'27.48''S</v>
      </c>
      <c r="D13" s="133" t="str">
        <f>'4 - Resumo de Ferragem'!D13</f>
        <v>54°25'31.76''W</v>
      </c>
      <c r="E13" s="123" t="str">
        <f>'4 - Resumo de Ferragem'!E13</f>
        <v>Simples</v>
      </c>
      <c r="F13" s="133">
        <f>'4 - Resumo de Ferragem'!F13</f>
        <v>4.4000000000000004</v>
      </c>
      <c r="G13" s="123">
        <f>'4 - Resumo de Ferragem'!G13</f>
        <v>13.2</v>
      </c>
      <c r="H13" s="123">
        <v>66.865600000000001</v>
      </c>
      <c r="I13" s="123">
        <v>27.302399999999999</v>
      </c>
      <c r="J13" s="123">
        <v>7.5839999999999996</v>
      </c>
      <c r="K13" s="123">
        <v>23.1</v>
      </c>
      <c r="L13" s="123">
        <v>11.55</v>
      </c>
      <c r="M13" s="123">
        <v>15.840000000000002</v>
      </c>
      <c r="N13" s="123">
        <v>15.840000000000003</v>
      </c>
      <c r="O13" s="123">
        <v>7.8400000000000007</v>
      </c>
      <c r="P13" s="123">
        <v>0</v>
      </c>
      <c r="Q13" s="123">
        <v>7.0560000000000009</v>
      </c>
      <c r="R13" s="123">
        <v>6.16</v>
      </c>
      <c r="S13" s="123">
        <v>189.13800000000001</v>
      </c>
      <c r="T13" s="123">
        <v>0.113</v>
      </c>
      <c r="U13" s="123">
        <v>0.113</v>
      </c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</row>
    <row r="14" spans="1:58" s="21" customFormat="1" ht="12.95" customHeight="1" x14ac:dyDescent="0.2">
      <c r="A14" s="132">
        <f>'4 - Resumo de Ferragem'!A14</f>
        <v>5</v>
      </c>
      <c r="B14" s="133" t="str">
        <f>'4 - Resumo de Ferragem'!B14</f>
        <v>CÓRREGO ANTINHA</v>
      </c>
      <c r="C14" s="133" t="str">
        <f>'4 - Resumo de Ferragem'!C14</f>
        <v>21°38'42.22''S</v>
      </c>
      <c r="D14" s="133" t="str">
        <f>'4 - Resumo de Ferragem'!D14</f>
        <v>54°27'12.82''W</v>
      </c>
      <c r="E14" s="123" t="str">
        <f>'4 - Resumo de Ferragem'!E14</f>
        <v>Simples</v>
      </c>
      <c r="F14" s="133">
        <f>'4 - Resumo de Ferragem'!F14</f>
        <v>4.4000000000000004</v>
      </c>
      <c r="G14" s="123">
        <f>'4 - Resumo de Ferragem'!G14</f>
        <v>7.2</v>
      </c>
      <c r="H14" s="123">
        <v>36.395199999999996</v>
      </c>
      <c r="I14" s="123">
        <v>14.860799999999999</v>
      </c>
      <c r="J14" s="123">
        <v>4.1280000000000001</v>
      </c>
      <c r="K14" s="123">
        <v>13.200000000000001</v>
      </c>
      <c r="L14" s="123">
        <v>6.6000000000000005</v>
      </c>
      <c r="M14" s="123">
        <v>15.840000000000002</v>
      </c>
      <c r="N14" s="123">
        <v>10.560000000000002</v>
      </c>
      <c r="O14" s="123">
        <v>3.9200000000000004</v>
      </c>
      <c r="P14" s="123">
        <v>0</v>
      </c>
      <c r="Q14" s="123">
        <v>3.5280000000000005</v>
      </c>
      <c r="R14" s="123">
        <v>3.08</v>
      </c>
      <c r="S14" s="123">
        <v>112.11199999999999</v>
      </c>
      <c r="T14" s="123">
        <v>6.7000000000000004E-2</v>
      </c>
      <c r="U14" s="123">
        <v>6.7000000000000004E-2</v>
      </c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</row>
    <row r="15" spans="1:58" s="21" customFormat="1" ht="12.95" customHeight="1" x14ac:dyDescent="0.2">
      <c r="A15" s="132">
        <f>'4 - Resumo de Ferragem'!A15</f>
        <v>6</v>
      </c>
      <c r="B15" s="133" t="str">
        <f>'4 - Resumo de Ferragem'!B15</f>
        <v>CÓRREGO FORMIGA</v>
      </c>
      <c r="C15" s="133" t="str">
        <f>'4 - Resumo de Ferragem'!C15</f>
        <v>21°38'56.23''S</v>
      </c>
      <c r="D15" s="133" t="str">
        <f>'4 - Resumo de Ferragem'!D15</f>
        <v>54°25'01.82''W</v>
      </c>
      <c r="E15" s="123" t="str">
        <f>'4 - Resumo de Ferragem'!E15</f>
        <v>Simples</v>
      </c>
      <c r="F15" s="133">
        <f>'4 - Resumo de Ferragem'!F15</f>
        <v>4.4000000000000004</v>
      </c>
      <c r="G15" s="123">
        <f>'4 - Resumo de Ferragem'!G15</f>
        <v>12</v>
      </c>
      <c r="H15" s="123">
        <v>60.94080000000001</v>
      </c>
      <c r="I15" s="123">
        <v>24.883200000000002</v>
      </c>
      <c r="J15" s="123">
        <v>6.9120000000000008</v>
      </c>
      <c r="K15" s="123">
        <v>23.1</v>
      </c>
      <c r="L15" s="123">
        <v>11.55</v>
      </c>
      <c r="M15" s="123">
        <v>15.840000000000002</v>
      </c>
      <c r="N15" s="123">
        <v>15.840000000000003</v>
      </c>
      <c r="O15" s="123">
        <v>7.8400000000000007</v>
      </c>
      <c r="P15" s="123">
        <v>0</v>
      </c>
      <c r="Q15" s="123">
        <v>7.0560000000000009</v>
      </c>
      <c r="R15" s="123">
        <v>6.16</v>
      </c>
      <c r="S15" s="123">
        <v>180.12200000000001</v>
      </c>
      <c r="T15" s="123">
        <v>0.108</v>
      </c>
      <c r="U15" s="123">
        <v>0.108</v>
      </c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</row>
    <row r="16" spans="1:58" s="21" customFormat="1" ht="12.95" customHeight="1" x14ac:dyDescent="0.2">
      <c r="A16" s="132">
        <f>'4 - Resumo de Ferragem'!A16</f>
        <v>7</v>
      </c>
      <c r="B16" s="133" t="str">
        <f>'4 - Resumo de Ferragem'!B16</f>
        <v>CÓRREGO QUILOMBO</v>
      </c>
      <c r="C16" s="133" t="str">
        <f>'4 - Resumo de Ferragem'!C16</f>
        <v>21°42'14.33''S</v>
      </c>
      <c r="D16" s="133" t="str">
        <f>'4 - Resumo de Ferragem'!D16</f>
        <v>54°20'39.58''W</v>
      </c>
      <c r="E16" s="123" t="str">
        <f>'4 - Resumo de Ferragem'!E16</f>
        <v>Simples</v>
      </c>
      <c r="F16" s="133">
        <f>'4 - Resumo de Ferragem'!F16</f>
        <v>4.4000000000000004</v>
      </c>
      <c r="G16" s="123">
        <f>'4 - Resumo de Ferragem'!G16</f>
        <v>6.8</v>
      </c>
      <c r="H16" s="123">
        <v>34.702399999999997</v>
      </c>
      <c r="I16" s="123">
        <v>14.169599999999999</v>
      </c>
      <c r="J16" s="123">
        <v>3.9359999999999995</v>
      </c>
      <c r="K16" s="123">
        <v>13.200000000000001</v>
      </c>
      <c r="L16" s="123">
        <v>6.6000000000000005</v>
      </c>
      <c r="M16" s="123">
        <v>15.840000000000002</v>
      </c>
      <c r="N16" s="123">
        <v>10.560000000000002</v>
      </c>
      <c r="O16" s="123">
        <v>3.9200000000000004</v>
      </c>
      <c r="P16" s="123">
        <v>0</v>
      </c>
      <c r="Q16" s="123">
        <v>3.5280000000000005</v>
      </c>
      <c r="R16" s="123">
        <v>3.08</v>
      </c>
      <c r="S16" s="123">
        <v>109.536</v>
      </c>
      <c r="T16" s="123">
        <v>6.5000000000000002E-2</v>
      </c>
      <c r="U16" s="123">
        <v>6.5000000000000002E-2</v>
      </c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</row>
    <row r="17" spans="1:58" s="21" customFormat="1" ht="12.95" customHeight="1" x14ac:dyDescent="0.2">
      <c r="A17" s="132">
        <f>'4 - Resumo de Ferragem'!A17</f>
        <v>8</v>
      </c>
      <c r="B17" s="133" t="str">
        <f>'4 - Resumo de Ferragem'!B17</f>
        <v>ARROIO CORREGUINHO</v>
      </c>
      <c r="C17" s="133" t="str">
        <f>'4 - Resumo de Ferragem'!C17</f>
        <v>21°42'39.87''S</v>
      </c>
      <c r="D17" s="133" t="str">
        <f>'4 - Resumo de Ferragem'!D17</f>
        <v>54°18'52.81''W</v>
      </c>
      <c r="E17" s="123" t="str">
        <f>'4 - Resumo de Ferragem'!E17</f>
        <v>Simples</v>
      </c>
      <c r="F17" s="133">
        <f>'4 - Resumo de Ferragem'!F17</f>
        <v>4.4000000000000004</v>
      </c>
      <c r="G17" s="123">
        <f>'4 - Resumo de Ferragem'!G17</f>
        <v>5.8</v>
      </c>
      <c r="H17" s="123">
        <v>29.624000000000002</v>
      </c>
      <c r="I17" s="123">
        <v>12.096</v>
      </c>
      <c r="J17" s="123">
        <v>3.3600000000000003</v>
      </c>
      <c r="K17" s="123">
        <v>13.200000000000001</v>
      </c>
      <c r="L17" s="123">
        <v>6.6000000000000005</v>
      </c>
      <c r="M17" s="123">
        <v>15.840000000000002</v>
      </c>
      <c r="N17" s="123">
        <v>10.560000000000002</v>
      </c>
      <c r="O17" s="123">
        <v>3.9200000000000004</v>
      </c>
      <c r="P17" s="123">
        <v>0</v>
      </c>
      <c r="Q17" s="123">
        <v>3.5280000000000005</v>
      </c>
      <c r="R17" s="123">
        <v>3.08</v>
      </c>
      <c r="S17" s="123">
        <v>101.80800000000001</v>
      </c>
      <c r="T17" s="123">
        <v>6.0999999999999999E-2</v>
      </c>
      <c r="U17" s="123">
        <v>6.0999999999999999E-2</v>
      </c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</row>
    <row r="18" spans="1:58" s="21" customFormat="1" ht="12.95" customHeight="1" x14ac:dyDescent="0.2">
      <c r="A18" s="132">
        <f>'4 - Resumo de Ferragem'!A18</f>
        <v>9</v>
      </c>
      <c r="B18" s="133" t="str">
        <f>'4 - Resumo de Ferragem'!B18</f>
        <v>CÓRREGO GUATAMBU</v>
      </c>
      <c r="C18" s="133" t="str">
        <f>'4 - Resumo de Ferragem'!C18</f>
        <v>21°43'17.70"S</v>
      </c>
      <c r="D18" s="133" t="str">
        <f>'4 - Resumo de Ferragem'!D18</f>
        <v>54°16'36.10"W</v>
      </c>
      <c r="E18" s="123" t="str">
        <f>'4 - Resumo de Ferragem'!E18</f>
        <v>Simples</v>
      </c>
      <c r="F18" s="133">
        <f>'4 - Resumo de Ferragem'!F18</f>
        <v>4.4000000000000004</v>
      </c>
      <c r="G18" s="123">
        <f>'4 - Resumo de Ferragem'!G18</f>
        <v>10.6</v>
      </c>
      <c r="H18" s="123">
        <v>54.16960000000001</v>
      </c>
      <c r="I18" s="123">
        <v>22.118400000000005</v>
      </c>
      <c r="J18" s="123">
        <v>6.144000000000001</v>
      </c>
      <c r="K18" s="123">
        <v>23.1</v>
      </c>
      <c r="L18" s="123">
        <v>11.55</v>
      </c>
      <c r="M18" s="123">
        <v>15.840000000000002</v>
      </c>
      <c r="N18" s="123">
        <v>15.840000000000003</v>
      </c>
      <c r="O18" s="123">
        <v>7.8400000000000007</v>
      </c>
      <c r="P18" s="123">
        <v>0</v>
      </c>
      <c r="Q18" s="123">
        <v>7.0560000000000009</v>
      </c>
      <c r="R18" s="123">
        <v>6.16</v>
      </c>
      <c r="S18" s="123">
        <v>169.81800000000001</v>
      </c>
      <c r="T18" s="123">
        <v>0.10100000000000001</v>
      </c>
      <c r="U18" s="123">
        <v>0.10100000000000001</v>
      </c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</row>
    <row r="19" spans="1:58" s="21" customFormat="1" ht="12.95" customHeight="1" x14ac:dyDescent="0.2">
      <c r="A19" s="132">
        <f>'4 - Resumo de Ferragem'!A19</f>
        <v>10</v>
      </c>
      <c r="B19" s="133" t="str">
        <f>'4 - Resumo de Ferragem'!B19</f>
        <v>CÓRREGO QUILOMBO</v>
      </c>
      <c r="C19" s="133" t="str">
        <f>'4 - Resumo de Ferragem'!C19</f>
        <v>21°42'51.11''S</v>
      </c>
      <c r="D19" s="133" t="str">
        <f>'4 - Resumo de Ferragem'!D19</f>
        <v>54°16'52.81''W</v>
      </c>
      <c r="E19" s="123" t="str">
        <f>'4 - Resumo de Ferragem'!E19</f>
        <v>Simples</v>
      </c>
      <c r="F19" s="133">
        <f>'4 - Resumo de Ferragem'!F19</f>
        <v>4.4000000000000004</v>
      </c>
      <c r="G19" s="123">
        <f>'4 - Resumo de Ferragem'!G19</f>
        <v>5.8</v>
      </c>
      <c r="H19" s="123">
        <v>29.624000000000002</v>
      </c>
      <c r="I19" s="123">
        <v>12.096</v>
      </c>
      <c r="J19" s="123">
        <v>3.3600000000000003</v>
      </c>
      <c r="K19" s="123">
        <v>13.200000000000001</v>
      </c>
      <c r="L19" s="123">
        <v>6.6000000000000005</v>
      </c>
      <c r="M19" s="123">
        <v>15.840000000000002</v>
      </c>
      <c r="N19" s="123">
        <v>10.560000000000002</v>
      </c>
      <c r="O19" s="123">
        <v>3.9200000000000004</v>
      </c>
      <c r="P19" s="123">
        <v>0</v>
      </c>
      <c r="Q19" s="123">
        <v>3.5280000000000005</v>
      </c>
      <c r="R19" s="123">
        <v>3.08</v>
      </c>
      <c r="S19" s="123">
        <v>101.80800000000001</v>
      </c>
      <c r="T19" s="123">
        <v>6.0999999999999999E-2</v>
      </c>
      <c r="U19" s="123">
        <v>6.0999999999999999E-2</v>
      </c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</row>
    <row r="20" spans="1:58" s="21" customFormat="1" ht="12.95" customHeight="1" x14ac:dyDescent="0.2">
      <c r="A20" s="132">
        <f>'4 - Resumo de Ferragem'!A20</f>
        <v>11</v>
      </c>
      <c r="B20" s="133" t="str">
        <f>'4 - Resumo de Ferragem'!B20</f>
        <v>CÓRREGO SAPÉ</v>
      </c>
      <c r="C20" s="133" t="str">
        <f>'4 - Resumo de Ferragem'!C20</f>
        <v>21°44'57.50"S</v>
      </c>
      <c r="D20" s="133" t="str">
        <f>'4 - Resumo de Ferragem'!D20</f>
        <v>54°18'00.40"W</v>
      </c>
      <c r="E20" s="123" t="str">
        <f>'4 - Resumo de Ferragem'!E20</f>
        <v>Simples</v>
      </c>
      <c r="F20" s="133">
        <f>'4 - Resumo de Ferragem'!F20</f>
        <v>4.4000000000000004</v>
      </c>
      <c r="G20" s="123">
        <f>'4 - Resumo de Ferragem'!G20</f>
        <v>10.8</v>
      </c>
      <c r="H20" s="123">
        <v>55.015999999999998</v>
      </c>
      <c r="I20" s="123">
        <v>22.464000000000002</v>
      </c>
      <c r="J20" s="123">
        <v>6.24</v>
      </c>
      <c r="K20" s="123">
        <v>23.1</v>
      </c>
      <c r="L20" s="123">
        <v>11.55</v>
      </c>
      <c r="M20" s="123">
        <v>15.840000000000002</v>
      </c>
      <c r="N20" s="123">
        <v>15.840000000000003</v>
      </c>
      <c r="O20" s="123">
        <v>7.8400000000000007</v>
      </c>
      <c r="P20" s="123">
        <v>0</v>
      </c>
      <c r="Q20" s="123">
        <v>7.0560000000000009</v>
      </c>
      <c r="R20" s="123">
        <v>6.16</v>
      </c>
      <c r="S20" s="123">
        <v>171.10599999999999</v>
      </c>
      <c r="T20" s="123">
        <v>0.10199999999999999</v>
      </c>
      <c r="U20" s="123">
        <v>0.10199999999999999</v>
      </c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</row>
    <row r="21" spans="1:58" s="21" customFormat="1" ht="12.95" customHeight="1" x14ac:dyDescent="0.2">
      <c r="A21" s="132">
        <f>'4 - Resumo de Ferragem'!A21</f>
        <v>12</v>
      </c>
      <c r="B21" s="133" t="str">
        <f>'4 - Resumo de Ferragem'!B21</f>
        <v>CÓRREGO JUREMA</v>
      </c>
      <c r="C21" s="133" t="str">
        <f>'4 - Resumo de Ferragem'!C21</f>
        <v>21°47'02.84''S</v>
      </c>
      <c r="D21" s="133" t="str">
        <f>'4 - Resumo de Ferragem'!D21</f>
        <v>54°14'35.61''W</v>
      </c>
      <c r="E21" s="123" t="str">
        <f>'4 - Resumo de Ferragem'!E21</f>
        <v>Simples</v>
      </c>
      <c r="F21" s="133">
        <f>'4 - Resumo de Ferragem'!F21</f>
        <v>4.4000000000000004</v>
      </c>
      <c r="G21" s="123">
        <f>'4 - Resumo de Ferragem'!G21</f>
        <v>7.1</v>
      </c>
      <c r="H21" s="123">
        <v>36.395199999999996</v>
      </c>
      <c r="I21" s="123">
        <v>14.860799999999999</v>
      </c>
      <c r="J21" s="123">
        <v>4.1280000000000001</v>
      </c>
      <c r="K21" s="123">
        <v>13.200000000000001</v>
      </c>
      <c r="L21" s="123">
        <v>6.6000000000000005</v>
      </c>
      <c r="M21" s="123">
        <v>15.840000000000002</v>
      </c>
      <c r="N21" s="123">
        <v>10.560000000000002</v>
      </c>
      <c r="O21" s="123">
        <v>3.9200000000000004</v>
      </c>
      <c r="P21" s="123">
        <v>0</v>
      </c>
      <c r="Q21" s="123">
        <v>3.5280000000000005</v>
      </c>
      <c r="R21" s="123">
        <v>3.08</v>
      </c>
      <c r="S21" s="123">
        <v>112.11199999999999</v>
      </c>
      <c r="T21" s="123">
        <v>6.7000000000000004E-2</v>
      </c>
      <c r="U21" s="123">
        <v>6.7000000000000004E-2</v>
      </c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</row>
    <row r="22" spans="1:58" s="21" customFormat="1" ht="12.95" customHeight="1" x14ac:dyDescent="0.2">
      <c r="A22" s="132">
        <f>'4 - Resumo de Ferragem'!A22</f>
        <v>13</v>
      </c>
      <c r="B22" s="133" t="str">
        <f>'4 - Resumo de Ferragem'!B22</f>
        <v>CÓRREGO ARACI</v>
      </c>
      <c r="C22" s="133" t="str">
        <f>'4 - Resumo de Ferragem'!C22</f>
        <v>21°45'04.33''S</v>
      </c>
      <c r="D22" s="133" t="str">
        <f>'4 - Resumo de Ferragem'!D22</f>
        <v>54°12'41.25''W</v>
      </c>
      <c r="E22" s="123" t="str">
        <f>'4 - Resumo de Ferragem'!E22</f>
        <v>Simples</v>
      </c>
      <c r="F22" s="133">
        <f>'4 - Resumo de Ferragem'!F22</f>
        <v>4.4000000000000004</v>
      </c>
      <c r="G22" s="123">
        <f>'4 - Resumo de Ferragem'!G22</f>
        <v>6.4</v>
      </c>
      <c r="H22" s="123">
        <v>32.163199999999996</v>
      </c>
      <c r="I22" s="123">
        <v>13.132800000000001</v>
      </c>
      <c r="J22" s="123">
        <v>3.6479999999999997</v>
      </c>
      <c r="K22" s="123">
        <v>13.200000000000001</v>
      </c>
      <c r="L22" s="123">
        <v>6.6000000000000005</v>
      </c>
      <c r="M22" s="123">
        <v>15.840000000000002</v>
      </c>
      <c r="N22" s="123">
        <v>10.560000000000002</v>
      </c>
      <c r="O22" s="123">
        <v>3.9200000000000004</v>
      </c>
      <c r="P22" s="123">
        <v>0</v>
      </c>
      <c r="Q22" s="123">
        <v>3.5280000000000005</v>
      </c>
      <c r="R22" s="123">
        <v>3.08</v>
      </c>
      <c r="S22" s="123">
        <v>105.672</v>
      </c>
      <c r="T22" s="123">
        <v>6.3E-2</v>
      </c>
      <c r="U22" s="123">
        <v>6.3E-2</v>
      </c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</row>
    <row r="23" spans="1:58" s="21" customFormat="1" ht="12.95" customHeight="1" x14ac:dyDescent="0.2">
      <c r="A23" s="132">
        <f>'4 - Resumo de Ferragem'!A23</f>
        <v>14</v>
      </c>
      <c r="B23" s="133" t="str">
        <f>'4 - Resumo de Ferragem'!B23</f>
        <v>CÓRREGO ANHUMAS</v>
      </c>
      <c r="C23" s="133" t="str">
        <f>'4 - Resumo de Ferragem'!C23</f>
        <v>21°51'40.49''S</v>
      </c>
      <c r="D23" s="133" t="str">
        <f>'4 - Resumo de Ferragem'!D23</f>
        <v>54°08'14.26''W</v>
      </c>
      <c r="E23" s="123" t="str">
        <f>'4 - Resumo de Ferragem'!E23</f>
        <v>Simples</v>
      </c>
      <c r="F23" s="133">
        <f>'4 - Resumo de Ferragem'!F23</f>
        <v>4.4000000000000004</v>
      </c>
      <c r="G23" s="123">
        <f>'4 - Resumo de Ferragem'!G23</f>
        <v>11.8</v>
      </c>
      <c r="H23" s="123">
        <v>60.094399999999993</v>
      </c>
      <c r="I23" s="123">
        <v>24.537599999999998</v>
      </c>
      <c r="J23" s="123">
        <v>6.8159999999999998</v>
      </c>
      <c r="K23" s="123">
        <v>23.1</v>
      </c>
      <c r="L23" s="123">
        <v>11.55</v>
      </c>
      <c r="M23" s="123">
        <v>15.840000000000002</v>
      </c>
      <c r="N23" s="123">
        <v>15.840000000000003</v>
      </c>
      <c r="O23" s="123">
        <v>7.8400000000000007</v>
      </c>
      <c r="P23" s="123">
        <v>0</v>
      </c>
      <c r="Q23" s="123">
        <v>7.0560000000000009</v>
      </c>
      <c r="R23" s="123">
        <v>6.16</v>
      </c>
      <c r="S23" s="123">
        <v>178.834</v>
      </c>
      <c r="T23" s="123">
        <v>0.107</v>
      </c>
      <c r="U23" s="123">
        <v>0.107</v>
      </c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</row>
    <row r="24" spans="1:58" s="21" customFormat="1" ht="12.95" customHeight="1" x14ac:dyDescent="0.2">
      <c r="A24" s="132">
        <f>'4 - Resumo de Ferragem'!A24</f>
        <v>15</v>
      </c>
      <c r="B24" s="133" t="str">
        <f>'4 - Resumo de Ferragem'!B24</f>
        <v>CÓRREGO CHIFRE DO VIADO</v>
      </c>
      <c r="C24" s="133" t="str">
        <f>'4 - Resumo de Ferragem'!C24</f>
        <v>21°40'35.65''S</v>
      </c>
      <c r="D24" s="133" t="str">
        <f>'4 - Resumo de Ferragem'!D24</f>
        <v>54°56'15.44''W</v>
      </c>
      <c r="E24" s="123" t="str">
        <f>'4 - Resumo de Ferragem'!E24</f>
        <v>Simples</v>
      </c>
      <c r="F24" s="133">
        <f>'4 - Resumo de Ferragem'!F24</f>
        <v>5</v>
      </c>
      <c r="G24" s="123">
        <f>'4 - Resumo de Ferragem'!G24</f>
        <v>12</v>
      </c>
      <c r="H24" s="123">
        <v>60.94080000000001</v>
      </c>
      <c r="I24" s="123">
        <v>24.883200000000002</v>
      </c>
      <c r="J24" s="123">
        <v>6.9120000000000008</v>
      </c>
      <c r="K24" s="123">
        <v>23.1</v>
      </c>
      <c r="L24" s="123">
        <v>11.55</v>
      </c>
      <c r="M24" s="123">
        <v>18</v>
      </c>
      <c r="N24" s="123">
        <v>15.840000000000003</v>
      </c>
      <c r="O24" s="123">
        <v>8.8000000000000007</v>
      </c>
      <c r="P24" s="123">
        <v>0</v>
      </c>
      <c r="Q24" s="123">
        <v>7.9200000000000008</v>
      </c>
      <c r="R24" s="123">
        <v>6.9440000000000008</v>
      </c>
      <c r="S24" s="123">
        <v>184.89</v>
      </c>
      <c r="T24" s="123">
        <v>0.11</v>
      </c>
      <c r="U24" s="123">
        <v>0.11</v>
      </c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</row>
    <row r="25" spans="1:58" s="21" customFormat="1" ht="12.95" customHeight="1" x14ac:dyDescent="0.2">
      <c r="A25" s="132">
        <f>'4 - Resumo de Ferragem'!A25</f>
        <v>16</v>
      </c>
      <c r="B25" s="133" t="str">
        <f>'4 - Resumo de Ferragem'!B25</f>
        <v>CÓRREGO SANTA RITA</v>
      </c>
      <c r="C25" s="133" t="str">
        <f>'4 - Resumo de Ferragem'!C25</f>
        <v>21°33'23.75''S</v>
      </c>
      <c r="D25" s="133" t="str">
        <f>'4 - Resumo de Ferragem'!D25</f>
        <v>54°35'26.66''W</v>
      </c>
      <c r="E25" s="123" t="str">
        <f>'4 - Resumo de Ferragem'!E25</f>
        <v>Simples</v>
      </c>
      <c r="F25" s="133">
        <f>'4 - Resumo de Ferragem'!F25</f>
        <v>4.4000000000000004</v>
      </c>
      <c r="G25" s="123">
        <f>'4 - Resumo de Ferragem'!G25</f>
        <v>22.1</v>
      </c>
      <c r="H25" s="123">
        <v>112.57119999999999</v>
      </c>
      <c r="I25" s="123">
        <v>45.964800000000004</v>
      </c>
      <c r="J25" s="123">
        <v>12.768000000000001</v>
      </c>
      <c r="K25" s="123">
        <v>46.2</v>
      </c>
      <c r="L25" s="123">
        <v>23.1</v>
      </c>
      <c r="M25" s="123">
        <v>15.840000000000002</v>
      </c>
      <c r="N25" s="123">
        <v>26.400000000000006</v>
      </c>
      <c r="O25" s="123">
        <v>11.760000000000002</v>
      </c>
      <c r="P25" s="123">
        <v>0</v>
      </c>
      <c r="Q25" s="123">
        <v>10.584000000000001</v>
      </c>
      <c r="R25" s="123">
        <v>9.24</v>
      </c>
      <c r="S25" s="123">
        <v>314.428</v>
      </c>
      <c r="T25" s="123">
        <v>0.188</v>
      </c>
      <c r="U25" s="123">
        <v>0.188</v>
      </c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</row>
    <row r="26" spans="1:58" s="21" customFormat="1" ht="12.95" customHeight="1" x14ac:dyDescent="0.2">
      <c r="A26" s="132">
        <f>'4 - Resumo de Ferragem'!A26</f>
        <v>17</v>
      </c>
      <c r="B26" s="133" t="str">
        <f>'4 - Resumo de Ferragem'!B26</f>
        <v>RIO SERROTE</v>
      </c>
      <c r="C26" s="133" t="str">
        <f>'4 - Resumo de Ferragem'!C26</f>
        <v>21°25'01.14''S</v>
      </c>
      <c r="D26" s="133" t="str">
        <f>'4 - Resumo de Ferragem'!D26</f>
        <v>54°43'16.96''W</v>
      </c>
      <c r="E26" s="123" t="str">
        <f>'4 - Resumo de Ferragem'!E26</f>
        <v>Simples</v>
      </c>
      <c r="F26" s="133">
        <f>'4 - Resumo de Ferragem'!F26</f>
        <v>4.4000000000000004</v>
      </c>
      <c r="G26" s="123">
        <f>'4 - Resumo de Ferragem'!G26</f>
        <v>24.6</v>
      </c>
      <c r="H26" s="123">
        <v>125.26720000000003</v>
      </c>
      <c r="I26" s="123">
        <v>51.148800000000001</v>
      </c>
      <c r="J26" s="123">
        <v>14.208000000000002</v>
      </c>
      <c r="K26" s="123">
        <v>46.2</v>
      </c>
      <c r="L26" s="123">
        <v>23.1</v>
      </c>
      <c r="M26" s="123">
        <v>15.840000000000002</v>
      </c>
      <c r="N26" s="123">
        <v>26.400000000000006</v>
      </c>
      <c r="O26" s="123">
        <v>11.760000000000002</v>
      </c>
      <c r="P26" s="123">
        <v>0</v>
      </c>
      <c r="Q26" s="123">
        <v>10.584000000000001</v>
      </c>
      <c r="R26" s="123">
        <v>9.24</v>
      </c>
      <c r="S26" s="123">
        <v>333.74799999999999</v>
      </c>
      <c r="T26" s="123">
        <v>0.2</v>
      </c>
      <c r="U26" s="123">
        <v>0.2</v>
      </c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</row>
    <row r="27" spans="1:58" s="21" customFormat="1" ht="12.95" customHeight="1" x14ac:dyDescent="0.2">
      <c r="A27" s="132">
        <f>'4 - Resumo de Ferragem'!A27</f>
        <v>18</v>
      </c>
      <c r="B27" s="133" t="str">
        <f>'4 - Resumo de Ferragem'!B27</f>
        <v>CÓRREGO PASSATEMPO 1</v>
      </c>
      <c r="C27" s="133" t="str">
        <f>'4 - Resumo de Ferragem'!C27</f>
        <v>21°29'34.92''S</v>
      </c>
      <c r="D27" s="133" t="str">
        <f>'4 - Resumo de Ferragem'!D27</f>
        <v>54°49'18.44''W</v>
      </c>
      <c r="E27" s="123" t="str">
        <f>'4 - Resumo de Ferragem'!E27</f>
        <v>Simples</v>
      </c>
      <c r="F27" s="133">
        <f>'4 - Resumo de Ferragem'!F27</f>
        <v>4.4000000000000004</v>
      </c>
      <c r="G27" s="123">
        <f>'4 - Resumo de Ferragem'!G27</f>
        <v>16.399999999999999</v>
      </c>
      <c r="H27" s="123">
        <v>82.947199999999995</v>
      </c>
      <c r="I27" s="123">
        <v>33.8688</v>
      </c>
      <c r="J27" s="123">
        <v>9.4080000000000013</v>
      </c>
      <c r="K27" s="123">
        <v>36.300000000000004</v>
      </c>
      <c r="L27" s="123">
        <v>18.150000000000002</v>
      </c>
      <c r="M27" s="123">
        <v>15.840000000000002</v>
      </c>
      <c r="N27" s="123">
        <v>21.120000000000005</v>
      </c>
      <c r="O27" s="123">
        <v>9.8000000000000007</v>
      </c>
      <c r="P27" s="123">
        <v>0</v>
      </c>
      <c r="Q27" s="123">
        <v>8.82</v>
      </c>
      <c r="R27" s="123">
        <v>7.6999999999999993</v>
      </c>
      <c r="S27" s="123">
        <v>243.95400000000001</v>
      </c>
      <c r="T27" s="123">
        <v>0.14599999999999999</v>
      </c>
      <c r="U27" s="123">
        <v>0.14599999999999999</v>
      </c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</row>
    <row r="28" spans="1:58" s="21" customFormat="1" ht="12.95" customHeight="1" x14ac:dyDescent="0.2">
      <c r="A28" s="132">
        <f>'4 - Resumo de Ferragem'!A28</f>
        <v>19</v>
      </c>
      <c r="B28" s="133" t="str">
        <f>'4 - Resumo de Ferragem'!B28</f>
        <v>CÓRREGO PASSATEMPO 2</v>
      </c>
      <c r="C28" s="133" t="str">
        <f>'4 - Resumo de Ferragem'!C28</f>
        <v>21°29'33.39''S</v>
      </c>
      <c r="D28" s="133" t="str">
        <f>'4 - Resumo de Ferragem'!D28</f>
        <v>54°49'17.44''W</v>
      </c>
      <c r="E28" s="123" t="str">
        <f>'4 - Resumo de Ferragem'!E28</f>
        <v>Simples</v>
      </c>
      <c r="F28" s="133">
        <f>'4 - Resumo de Ferragem'!F28</f>
        <v>4.4000000000000004</v>
      </c>
      <c r="G28" s="123">
        <f>'4 - Resumo de Ferragem'!G28</f>
        <v>19.600000000000001</v>
      </c>
      <c r="H28" s="123">
        <v>99.875200000000007</v>
      </c>
      <c r="I28" s="123">
        <v>40.780800000000006</v>
      </c>
      <c r="J28" s="123">
        <v>11.328000000000001</v>
      </c>
      <c r="K28" s="123">
        <v>36.300000000000004</v>
      </c>
      <c r="L28" s="123">
        <v>18.150000000000002</v>
      </c>
      <c r="M28" s="123">
        <v>15.840000000000002</v>
      </c>
      <c r="N28" s="123">
        <v>21.120000000000005</v>
      </c>
      <c r="O28" s="123">
        <v>9.8000000000000007</v>
      </c>
      <c r="P28" s="123">
        <v>0</v>
      </c>
      <c r="Q28" s="123">
        <v>8.82</v>
      </c>
      <c r="R28" s="123">
        <v>7.6999999999999993</v>
      </c>
      <c r="S28" s="123">
        <v>269.714</v>
      </c>
      <c r="T28" s="123">
        <v>0.161</v>
      </c>
      <c r="U28" s="123">
        <v>0.161</v>
      </c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</row>
    <row r="29" spans="1:58" s="21" customFormat="1" ht="12.95" customHeight="1" x14ac:dyDescent="0.2">
      <c r="A29" s="132">
        <f>'4 - Resumo de Ferragem'!A29</f>
        <v>20</v>
      </c>
      <c r="B29" s="133" t="str">
        <f>'4 - Resumo de Ferragem'!B29</f>
        <v>CÓRREGO PASSATEMPO 3</v>
      </c>
      <c r="C29" s="133" t="str">
        <f>'4 - Resumo de Ferragem'!C29</f>
        <v>21°28'09.42''S</v>
      </c>
      <c r="D29" s="133" t="str">
        <f>'4 - Resumo de Ferragem'!D29</f>
        <v>54°48'01.11''W</v>
      </c>
      <c r="E29" s="123" t="str">
        <f>'4 - Resumo de Ferragem'!E29</f>
        <v>Simples</v>
      </c>
      <c r="F29" s="133">
        <f>'4 - Resumo de Ferragem'!F29</f>
        <v>5</v>
      </c>
      <c r="G29" s="123">
        <f>'4 - Resumo de Ferragem'!G29</f>
        <v>6</v>
      </c>
      <c r="H29" s="123">
        <v>30.470400000000005</v>
      </c>
      <c r="I29" s="123">
        <v>12.441600000000001</v>
      </c>
      <c r="J29" s="123">
        <v>3.4560000000000004</v>
      </c>
      <c r="K29" s="123">
        <v>13.200000000000001</v>
      </c>
      <c r="L29" s="123">
        <v>6.6000000000000005</v>
      </c>
      <c r="M29" s="123">
        <v>18</v>
      </c>
      <c r="N29" s="123">
        <v>10.560000000000002</v>
      </c>
      <c r="O29" s="123">
        <v>4.4000000000000004</v>
      </c>
      <c r="P29" s="123">
        <v>0</v>
      </c>
      <c r="Q29" s="123">
        <v>3.9600000000000004</v>
      </c>
      <c r="R29" s="123">
        <v>3.4720000000000004</v>
      </c>
      <c r="S29" s="123">
        <v>106.56</v>
      </c>
      <c r="T29" s="123">
        <v>6.3E-2</v>
      </c>
      <c r="U29" s="123">
        <v>6.3E-2</v>
      </c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</row>
    <row r="30" spans="1:58" s="21" customFormat="1" ht="12.95" customHeight="1" x14ac:dyDescent="0.2">
      <c r="A30" s="132">
        <f>'4 - Resumo de Ferragem'!A30</f>
        <v>21</v>
      </c>
      <c r="B30" s="133" t="str">
        <f>'4 - Resumo de Ferragem'!B30</f>
        <v>CÓRREGO TAQUARA</v>
      </c>
      <c r="C30" s="133" t="str">
        <f>'4 - Resumo de Ferragem'!C30</f>
        <v>21°21'07.90''S</v>
      </c>
      <c r="D30" s="133" t="str">
        <f>'4 - Resumo de Ferragem'!D30</f>
        <v>54°50'07.01''W</v>
      </c>
      <c r="E30" s="123" t="str">
        <f>'4 - Resumo de Ferragem'!E30</f>
        <v>Simples</v>
      </c>
      <c r="F30" s="133">
        <f>'4 - Resumo de Ferragem'!F30</f>
        <v>4.8</v>
      </c>
      <c r="G30" s="123">
        <f>'4 - Resumo de Ferragem'!G30</f>
        <v>24</v>
      </c>
      <c r="H30" s="123">
        <v>121.88160000000002</v>
      </c>
      <c r="I30" s="123">
        <v>49.766400000000004</v>
      </c>
      <c r="J30" s="123">
        <v>13.824000000000002</v>
      </c>
      <c r="K30" s="123">
        <v>46.2</v>
      </c>
      <c r="L30" s="123">
        <v>23.1</v>
      </c>
      <c r="M30" s="123">
        <v>17.28</v>
      </c>
      <c r="N30" s="123">
        <v>26.400000000000006</v>
      </c>
      <c r="O30" s="123">
        <v>12.72</v>
      </c>
      <c r="P30" s="123">
        <v>0</v>
      </c>
      <c r="Q30" s="123">
        <v>11.448</v>
      </c>
      <c r="R30" s="123">
        <v>9.9120000000000008</v>
      </c>
      <c r="S30" s="123">
        <v>332.53199999999998</v>
      </c>
      <c r="T30" s="123">
        <v>0.19900000000000001</v>
      </c>
      <c r="U30" s="123">
        <v>0.19900000000000001</v>
      </c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</row>
    <row r="31" spans="1:58" s="21" customFormat="1" ht="12.95" customHeight="1" x14ac:dyDescent="0.2">
      <c r="A31" s="132">
        <f>'4 - Resumo de Ferragem'!A31</f>
        <v>22</v>
      </c>
      <c r="B31" s="133" t="str">
        <f>'4 - Resumo de Ferragem'!B31</f>
        <v>CÓRREGO PASSATEMPO 4</v>
      </c>
      <c r="C31" s="133" t="str">
        <f>'4 - Resumo de Ferragem'!C31</f>
        <v>21°29'23.36''S</v>
      </c>
      <c r="D31" s="133" t="str">
        <f>'4 - Resumo de Ferragem'!D31</f>
        <v>54°52'56.83''W</v>
      </c>
      <c r="E31" s="123" t="str">
        <f>'4 - Resumo de Ferragem'!E31</f>
        <v>Simples</v>
      </c>
      <c r="F31" s="133">
        <f>'4 - Resumo de Ferragem'!F31</f>
        <v>4.4000000000000004</v>
      </c>
      <c r="G31" s="123">
        <f>'4 - Resumo de Ferragem'!G31</f>
        <v>14.3</v>
      </c>
      <c r="H31" s="123">
        <v>72.790399999999991</v>
      </c>
      <c r="I31" s="123">
        <v>29.721599999999999</v>
      </c>
      <c r="J31" s="123">
        <v>8.2560000000000002</v>
      </c>
      <c r="K31" s="123">
        <v>23.1</v>
      </c>
      <c r="L31" s="123">
        <v>11.55</v>
      </c>
      <c r="M31" s="123">
        <v>15.840000000000002</v>
      </c>
      <c r="N31" s="123">
        <v>15.840000000000003</v>
      </c>
      <c r="O31" s="123">
        <v>7.8400000000000007</v>
      </c>
      <c r="P31" s="123">
        <v>0</v>
      </c>
      <c r="Q31" s="123">
        <v>7.0560000000000009</v>
      </c>
      <c r="R31" s="123">
        <v>6.16</v>
      </c>
      <c r="S31" s="123">
        <v>198.154</v>
      </c>
      <c r="T31" s="123">
        <v>0.11799999999999999</v>
      </c>
      <c r="U31" s="123">
        <v>0.11799999999999999</v>
      </c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</row>
    <row r="32" spans="1:58" s="21" customFormat="1" ht="12.95" customHeight="1" x14ac:dyDescent="0.2">
      <c r="A32" s="132">
        <f>'4 - Resumo de Ferragem'!A32</f>
        <v>23</v>
      </c>
      <c r="B32" s="133" t="str">
        <f>'4 - Resumo de Ferragem'!B32</f>
        <v>CÓRREGO DO COQUEIRO</v>
      </c>
      <c r="C32" s="133" t="str">
        <f>'4 - Resumo de Ferragem'!C32</f>
        <v>21°30'51.74''S</v>
      </c>
      <c r="D32" s="133" t="str">
        <f>'4 - Resumo de Ferragem'!D32</f>
        <v>54°52'00.30''W</v>
      </c>
      <c r="E32" s="123" t="str">
        <f>'4 - Resumo de Ferragem'!E32</f>
        <v>Simples</v>
      </c>
      <c r="F32" s="133">
        <f>'4 - Resumo de Ferragem'!F32</f>
        <v>4.4000000000000004</v>
      </c>
      <c r="G32" s="123">
        <f>'4 - Resumo de Ferragem'!G32</f>
        <v>22.3</v>
      </c>
      <c r="H32" s="123">
        <v>113.41760000000001</v>
      </c>
      <c r="I32" s="123">
        <v>46.310400000000001</v>
      </c>
      <c r="J32" s="123">
        <v>12.864000000000001</v>
      </c>
      <c r="K32" s="123">
        <v>46.2</v>
      </c>
      <c r="L32" s="123">
        <v>23.1</v>
      </c>
      <c r="M32" s="123">
        <v>15.840000000000002</v>
      </c>
      <c r="N32" s="123">
        <v>26.400000000000006</v>
      </c>
      <c r="O32" s="123">
        <v>11.760000000000002</v>
      </c>
      <c r="P32" s="123">
        <v>0</v>
      </c>
      <c r="Q32" s="123">
        <v>10.584000000000001</v>
      </c>
      <c r="R32" s="123">
        <v>9.24</v>
      </c>
      <c r="S32" s="123">
        <v>315.71600000000001</v>
      </c>
      <c r="T32" s="123">
        <v>0.189</v>
      </c>
      <c r="U32" s="123">
        <v>0.189</v>
      </c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</row>
    <row r="33" spans="1:58" s="21" customFormat="1" ht="12.95" customHeight="1" x14ac:dyDescent="0.2">
      <c r="A33" s="132">
        <f>'4 - Resumo de Ferragem'!A33</f>
        <v>24</v>
      </c>
      <c r="B33" s="133" t="str">
        <f>'4 - Resumo de Ferragem'!B33</f>
        <v>CÓRREGO CARRAPATO</v>
      </c>
      <c r="C33" s="133" t="str">
        <f>'4 - Resumo de Ferragem'!C33</f>
        <v>21°32'42.64''S</v>
      </c>
      <c r="D33" s="133" t="str">
        <f>'4 - Resumo de Ferragem'!D33</f>
        <v>55°00'59.87''W</v>
      </c>
      <c r="E33" s="123" t="str">
        <f>'4 - Resumo de Ferragem'!E33</f>
        <v>Simples</v>
      </c>
      <c r="F33" s="133">
        <f>'4 - Resumo de Ferragem'!F33</f>
        <v>4.4000000000000004</v>
      </c>
      <c r="G33" s="123">
        <f>'4 - Resumo de Ferragem'!G33</f>
        <v>18</v>
      </c>
      <c r="H33" s="123">
        <v>91.411200000000008</v>
      </c>
      <c r="I33" s="123">
        <v>37.324800000000003</v>
      </c>
      <c r="J33" s="123">
        <v>10.368</v>
      </c>
      <c r="K33" s="123">
        <v>36.300000000000004</v>
      </c>
      <c r="L33" s="123">
        <v>18.150000000000002</v>
      </c>
      <c r="M33" s="123">
        <v>15.840000000000002</v>
      </c>
      <c r="N33" s="123">
        <v>21.120000000000005</v>
      </c>
      <c r="O33" s="123">
        <v>9.8000000000000007</v>
      </c>
      <c r="P33" s="123">
        <v>0</v>
      </c>
      <c r="Q33" s="123">
        <v>8.82</v>
      </c>
      <c r="R33" s="123">
        <v>7.6999999999999993</v>
      </c>
      <c r="S33" s="123">
        <v>256.834</v>
      </c>
      <c r="T33" s="123">
        <v>0.154</v>
      </c>
      <c r="U33" s="123">
        <v>0.154</v>
      </c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</row>
    <row r="34" spans="1:58" s="21" customFormat="1" ht="12.95" customHeight="1" x14ac:dyDescent="0.2">
      <c r="A34" s="132">
        <f>'4 - Resumo de Ferragem'!A34</f>
        <v>25</v>
      </c>
      <c r="B34" s="133" t="str">
        <f>'4 - Resumo de Ferragem'!B34</f>
        <v>CÓRREGO BARRA MANSA</v>
      </c>
      <c r="C34" s="133" t="str">
        <f>'4 - Resumo de Ferragem'!C34</f>
        <v>21°45'26.00"S</v>
      </c>
      <c r="D34" s="133" t="str">
        <f>'4 - Resumo de Ferragem'!D34</f>
        <v>54°10'16.90"W</v>
      </c>
      <c r="E34" s="123" t="str">
        <f>'4 - Resumo de Ferragem'!E34</f>
        <v>Simples</v>
      </c>
      <c r="F34" s="133">
        <f>'4 - Resumo de Ferragem'!F34</f>
        <v>5</v>
      </c>
      <c r="G34" s="123">
        <f>'4 - Resumo de Ferragem'!G34</f>
        <v>5.6</v>
      </c>
      <c r="H34" s="123">
        <v>28.777600000000003</v>
      </c>
      <c r="I34" s="123">
        <v>11.750399999999999</v>
      </c>
      <c r="J34" s="123">
        <v>3.2640000000000002</v>
      </c>
      <c r="K34" s="123">
        <v>13.200000000000001</v>
      </c>
      <c r="L34" s="123">
        <v>6.6000000000000005</v>
      </c>
      <c r="M34" s="123">
        <v>18</v>
      </c>
      <c r="N34" s="123">
        <v>10.560000000000002</v>
      </c>
      <c r="O34" s="123">
        <v>4.4000000000000004</v>
      </c>
      <c r="P34" s="123">
        <v>0</v>
      </c>
      <c r="Q34" s="123">
        <v>3.9600000000000004</v>
      </c>
      <c r="R34" s="123">
        <v>3.4720000000000004</v>
      </c>
      <c r="S34" s="123">
        <v>103.98399999999999</v>
      </c>
      <c r="T34" s="123">
        <v>6.2E-2</v>
      </c>
      <c r="U34" s="123">
        <v>6.2E-2</v>
      </c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</row>
    <row r="35" spans="1:58" s="21" customFormat="1" ht="12.95" customHeight="1" x14ac:dyDescent="0.2">
      <c r="A35" s="132">
        <f>'4 - Resumo de Ferragem'!A35</f>
        <v>26</v>
      </c>
      <c r="B35" s="133" t="str">
        <f>'4 - Resumo de Ferragem'!B35</f>
        <v>CÓRREGO PASSATEMPO 5</v>
      </c>
      <c r="C35" s="133" t="str">
        <f>'4 - Resumo de Ferragem'!C35</f>
        <v>21°29'57.99''S</v>
      </c>
      <c r="D35" s="133" t="str">
        <f>'4 - Resumo de Ferragem'!D35</f>
        <v>54°43'07.39''W</v>
      </c>
      <c r="E35" s="123" t="str">
        <f>'4 - Resumo de Ferragem'!E35</f>
        <v>Simples</v>
      </c>
      <c r="F35" s="133">
        <f>'4 - Resumo de Ferragem'!F35</f>
        <v>4.4000000000000004</v>
      </c>
      <c r="G35" s="123">
        <f>'4 - Resumo de Ferragem'!G35</f>
        <v>22.3</v>
      </c>
      <c r="H35" s="123">
        <v>113.41760000000001</v>
      </c>
      <c r="I35" s="123">
        <v>46.310400000000001</v>
      </c>
      <c r="J35" s="123">
        <v>12.864000000000001</v>
      </c>
      <c r="K35" s="123">
        <v>46.2</v>
      </c>
      <c r="L35" s="123">
        <v>23.1</v>
      </c>
      <c r="M35" s="123">
        <v>15.840000000000002</v>
      </c>
      <c r="N35" s="123">
        <v>26.400000000000006</v>
      </c>
      <c r="O35" s="123">
        <v>11.760000000000002</v>
      </c>
      <c r="P35" s="123">
        <v>0</v>
      </c>
      <c r="Q35" s="123">
        <v>10.584000000000001</v>
      </c>
      <c r="R35" s="123">
        <v>9.24</v>
      </c>
      <c r="S35" s="123">
        <v>315.71600000000001</v>
      </c>
      <c r="T35" s="123">
        <v>0.189</v>
      </c>
      <c r="U35" s="123">
        <v>0.189</v>
      </c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</row>
    <row r="36" spans="1:58" s="21" customFormat="1" ht="12.95" customHeight="1" x14ac:dyDescent="0.2">
      <c r="A36" s="132"/>
      <c r="B36" s="132"/>
      <c r="C36" s="132"/>
      <c r="D36" s="132"/>
      <c r="E36" s="123"/>
      <c r="F36" s="132"/>
      <c r="G36" s="123"/>
      <c r="H36" s="123"/>
      <c r="I36" s="123"/>
      <c r="J36" s="123"/>
      <c r="K36" s="123"/>
      <c r="L36" s="123"/>
      <c r="M36" s="123"/>
      <c r="N36" s="123"/>
      <c r="O36" s="123"/>
      <c r="P36" s="123"/>
      <c r="Q36" s="123"/>
      <c r="R36" s="123"/>
      <c r="S36" s="123"/>
      <c r="T36" s="123"/>
      <c r="U36" s="12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</row>
    <row r="37" spans="1:58" s="21" customFormat="1" ht="12.95" customHeight="1" x14ac:dyDescent="0.2">
      <c r="A37" s="561" t="s">
        <v>185</v>
      </c>
      <c r="B37" s="562"/>
      <c r="C37" s="562"/>
      <c r="D37" s="562"/>
      <c r="E37" s="562"/>
      <c r="F37" s="563"/>
      <c r="G37" s="89">
        <f>TRUNC(SUM(G10:G36),3)</f>
        <v>335.7</v>
      </c>
      <c r="H37" s="84"/>
      <c r="I37" s="85"/>
      <c r="J37" s="85"/>
      <c r="K37" s="85"/>
      <c r="L37" s="85"/>
      <c r="M37" s="85"/>
      <c r="N37" s="85"/>
      <c r="O37" s="85"/>
      <c r="P37" s="85"/>
      <c r="Q37" s="85"/>
      <c r="R37" s="85"/>
      <c r="S37" s="281">
        <v>4987.2359999999999</v>
      </c>
      <c r="T37" s="90">
        <v>2.992</v>
      </c>
      <c r="U37" s="90">
        <v>2.992</v>
      </c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</row>
    <row r="38" spans="1:58" ht="12.95" customHeight="1" x14ac:dyDescent="0.2">
      <c r="A38" s="366"/>
      <c r="B38" s="21"/>
      <c r="C38" s="21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367"/>
    </row>
    <row r="39" spans="1:58" ht="24.95" customHeight="1" x14ac:dyDescent="0.2">
      <c r="A39" s="368"/>
      <c r="B39" s="53"/>
      <c r="C39" s="53"/>
      <c r="D39" s="53"/>
      <c r="E39" s="53"/>
      <c r="F39" s="53"/>
      <c r="G39" s="53"/>
      <c r="H39" s="53"/>
      <c r="I39" s="53"/>
      <c r="J39" s="53"/>
      <c r="K39" s="53"/>
      <c r="L39" s="53"/>
      <c r="M39" s="53"/>
      <c r="N39" s="53"/>
      <c r="O39" s="53"/>
      <c r="P39" s="53"/>
      <c r="Q39" s="53"/>
      <c r="R39" s="54"/>
      <c r="S39" s="50" t="s">
        <v>240</v>
      </c>
      <c r="T39" s="44" t="s">
        <v>209</v>
      </c>
      <c r="U39" s="44" t="s">
        <v>239</v>
      </c>
    </row>
    <row r="40" spans="1:58" ht="12.95" customHeight="1" x14ac:dyDescent="0.2">
      <c r="A40" s="561" t="s">
        <v>185</v>
      </c>
      <c r="B40" s="562"/>
      <c r="C40" s="562"/>
      <c r="D40" s="562"/>
      <c r="E40" s="562"/>
      <c r="F40" s="562"/>
      <c r="G40" s="562"/>
      <c r="H40" s="562"/>
      <c r="I40" s="562"/>
      <c r="J40" s="562"/>
      <c r="K40" s="562"/>
      <c r="L40" s="562"/>
      <c r="M40" s="562"/>
      <c r="N40" s="562"/>
      <c r="O40" s="562"/>
      <c r="P40" s="562"/>
      <c r="Q40" s="562"/>
      <c r="R40" s="563"/>
      <c r="S40" s="6">
        <v>4987.2359999999999</v>
      </c>
      <c r="T40" s="6">
        <v>2.992</v>
      </c>
      <c r="U40" s="6">
        <v>2.992</v>
      </c>
    </row>
    <row r="41" spans="1:58" s="37" customFormat="1" ht="13.15" customHeight="1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</row>
  </sheetData>
  <mergeCells count="8">
    <mergeCell ref="A8:A9"/>
    <mergeCell ref="B8:G8"/>
    <mergeCell ref="W3:AH3"/>
    <mergeCell ref="A40:R40"/>
    <mergeCell ref="A7:U7"/>
    <mergeCell ref="A6:U6"/>
    <mergeCell ref="H8:U8"/>
    <mergeCell ref="A37:F37"/>
  </mergeCells>
  <printOptions horizontalCentered="1"/>
  <pageMargins left="0.23622047244094491" right="0.23622047244094491" top="0.78740157480314965" bottom="1.3385826771653544" header="0.31496062992125984" footer="0.31496062992125984"/>
  <pageSetup paperSize="9" scale="68" fitToHeight="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00B0F0"/>
    <pageSetUpPr fitToPage="1"/>
  </sheetPr>
  <dimension ref="A1:P38"/>
  <sheetViews>
    <sheetView view="pageBreakPreview" zoomScaleNormal="100" zoomScaleSheetLayoutView="100" workbookViewId="0">
      <selection activeCell="F33" sqref="F33"/>
    </sheetView>
  </sheetViews>
  <sheetFormatPr defaultColWidth="9.140625" defaultRowHeight="12" x14ac:dyDescent="0.2"/>
  <cols>
    <col min="1" max="1" width="4.7109375" style="1" customWidth="1"/>
    <col min="2" max="2" width="32" style="1" customWidth="1"/>
    <col min="3" max="3" width="12.42578125" style="1" customWidth="1"/>
    <col min="4" max="4" width="14" style="1" customWidth="1"/>
    <col min="5" max="5" width="9.5703125" style="1" bestFit="1" customWidth="1"/>
    <col min="6" max="6" width="12.85546875" style="1" bestFit="1" customWidth="1"/>
    <col min="7" max="7" width="8.28515625" style="1" customWidth="1"/>
    <col min="8" max="8" width="10.85546875" style="1" customWidth="1"/>
    <col min="9" max="9" width="9.140625" style="1" bestFit="1" customWidth="1"/>
    <col min="10" max="10" width="10.140625" style="1" customWidth="1"/>
    <col min="11" max="11" width="9.28515625" style="1" customWidth="1"/>
    <col min="12" max="12" width="10" style="1" customWidth="1"/>
    <col min="13" max="13" width="9.140625" style="1" bestFit="1" customWidth="1"/>
    <col min="14" max="14" width="11.7109375" style="1" customWidth="1"/>
    <col min="15" max="15" width="9.5703125" style="1" customWidth="1"/>
    <col min="16" max="16" width="12.5703125" style="1" customWidth="1"/>
    <col min="17" max="16384" width="9.140625" style="1"/>
  </cols>
  <sheetData>
    <row r="1" spans="1:16" ht="15" customHeight="1" x14ac:dyDescent="0.2">
      <c r="A1" s="388" t="s">
        <v>522</v>
      </c>
      <c r="B1" s="389"/>
      <c r="C1" s="399"/>
      <c r="D1" s="399"/>
      <c r="E1" s="399"/>
      <c r="F1" s="399"/>
      <c r="G1" s="399"/>
      <c r="H1" s="399"/>
      <c r="I1" s="399"/>
      <c r="J1" s="399"/>
      <c r="K1" s="399"/>
      <c r="L1" s="399"/>
      <c r="M1" s="399"/>
      <c r="N1" s="399"/>
      <c r="O1" s="399"/>
      <c r="P1" s="400"/>
    </row>
    <row r="2" spans="1:16" ht="15" customHeight="1" x14ac:dyDescent="0.2">
      <c r="A2" s="392" t="s">
        <v>523</v>
      </c>
      <c r="B2" s="393"/>
      <c r="C2" s="401"/>
      <c r="D2" s="401"/>
      <c r="E2" s="401"/>
      <c r="F2" s="401"/>
      <c r="G2" s="401"/>
      <c r="H2" s="401"/>
      <c r="I2" s="401"/>
      <c r="J2" s="401"/>
      <c r="K2" s="401"/>
      <c r="L2" s="401"/>
      <c r="M2" s="401"/>
      <c r="N2" s="401"/>
      <c r="O2" s="401"/>
      <c r="P2" s="402"/>
    </row>
    <row r="3" spans="1:16" ht="15" customHeight="1" x14ac:dyDescent="0.2">
      <c r="A3" s="392" t="s">
        <v>521</v>
      </c>
      <c r="B3" s="393"/>
      <c r="C3" s="401"/>
      <c r="D3" s="401"/>
      <c r="E3" s="401"/>
      <c r="F3" s="401"/>
      <c r="G3" s="401"/>
      <c r="H3" s="401"/>
      <c r="I3" s="401"/>
      <c r="J3" s="401"/>
      <c r="K3" s="401"/>
      <c r="L3" s="401"/>
      <c r="M3" s="401"/>
      <c r="N3" s="401"/>
      <c r="O3" s="401"/>
      <c r="P3" s="402"/>
    </row>
    <row r="4" spans="1:16" ht="15" customHeight="1" x14ac:dyDescent="0.2">
      <c r="A4" s="392" t="s">
        <v>520</v>
      </c>
      <c r="B4" s="393"/>
      <c r="C4" s="401"/>
      <c r="D4" s="401"/>
      <c r="E4" s="401"/>
      <c r="F4" s="401"/>
      <c r="G4" s="401"/>
      <c r="H4" s="401"/>
      <c r="I4" s="401"/>
      <c r="J4" s="401"/>
      <c r="K4" s="401"/>
      <c r="L4" s="401"/>
      <c r="M4" s="401"/>
      <c r="N4" s="401"/>
      <c r="O4" s="401"/>
      <c r="P4" s="402"/>
    </row>
    <row r="5" spans="1:16" ht="12" customHeight="1" x14ac:dyDescent="0.2">
      <c r="A5" s="405"/>
      <c r="B5" s="403"/>
      <c r="C5" s="403"/>
      <c r="D5" s="403"/>
      <c r="E5" s="403"/>
      <c r="F5" s="403"/>
      <c r="G5" s="403"/>
      <c r="H5" s="403"/>
      <c r="I5" s="403"/>
      <c r="J5" s="403"/>
      <c r="K5" s="403"/>
      <c r="L5" s="403"/>
      <c r="M5" s="403"/>
      <c r="N5" s="403"/>
      <c r="O5" s="403"/>
      <c r="P5" s="404"/>
    </row>
    <row r="6" spans="1:16" ht="12.95" customHeight="1" x14ac:dyDescent="0.2">
      <c r="A6" s="558" t="str">
        <f>'2 - Serviços'!A7:S7</f>
        <v>MANUTENÇÃO E CONSERVAÇÃO DAS PONTES DE MADEIRA</v>
      </c>
      <c r="B6" s="559"/>
      <c r="C6" s="559"/>
      <c r="D6" s="559"/>
      <c r="E6" s="559"/>
      <c r="F6" s="559"/>
      <c r="G6" s="559"/>
      <c r="H6" s="559"/>
      <c r="I6" s="559"/>
      <c r="J6" s="559"/>
      <c r="K6" s="559"/>
      <c r="L6" s="559"/>
      <c r="M6" s="559"/>
      <c r="N6" s="559"/>
      <c r="O6" s="559"/>
      <c r="P6" s="560"/>
    </row>
    <row r="7" spans="1:16" ht="12.95" customHeight="1" x14ac:dyDescent="0.2">
      <c r="A7" s="600" t="s">
        <v>75</v>
      </c>
      <c r="B7" s="601"/>
      <c r="C7" s="601"/>
      <c r="D7" s="601"/>
      <c r="E7" s="601"/>
      <c r="F7" s="601"/>
      <c r="G7" s="601"/>
      <c r="H7" s="601"/>
      <c r="I7" s="601"/>
      <c r="J7" s="601"/>
      <c r="K7" s="601"/>
      <c r="L7" s="601"/>
      <c r="M7" s="601"/>
      <c r="N7" s="601"/>
      <c r="O7" s="601"/>
      <c r="P7" s="602"/>
    </row>
    <row r="8" spans="1:16" ht="12.95" customHeight="1" x14ac:dyDescent="0.2">
      <c r="A8" s="548" t="s">
        <v>0</v>
      </c>
      <c r="B8" s="548" t="s">
        <v>1</v>
      </c>
      <c r="C8" s="548"/>
      <c r="D8" s="548"/>
      <c r="E8" s="548"/>
      <c r="F8" s="548"/>
      <c r="G8" s="548"/>
      <c r="H8" s="45" t="s">
        <v>212</v>
      </c>
      <c r="I8" s="548" t="s">
        <v>42</v>
      </c>
      <c r="J8" s="548"/>
      <c r="K8" s="548"/>
      <c r="L8" s="548" t="s">
        <v>62</v>
      </c>
      <c r="M8" s="548"/>
      <c r="N8" s="548"/>
      <c r="O8" s="325" t="s">
        <v>210</v>
      </c>
      <c r="P8" s="325" t="s">
        <v>211</v>
      </c>
    </row>
    <row r="9" spans="1:16" ht="36.75" customHeight="1" x14ac:dyDescent="0.2">
      <c r="A9" s="548"/>
      <c r="B9" s="94" t="str">
        <f>'2 - Serviços'!$B$9</f>
        <v>Ponte</v>
      </c>
      <c r="C9" s="94" t="str">
        <f>'2 - Serviços'!$C$9</f>
        <v>Latitude</v>
      </c>
      <c r="D9" s="66" t="str">
        <f>'2 - Serviços'!$D$9</f>
        <v>Longitude</v>
      </c>
      <c r="E9" s="66" t="str">
        <f>'2 - Serviços'!$E$9</f>
        <v>Vigamento</v>
      </c>
      <c r="F9" s="66" t="str">
        <f>'2 - Serviços'!$F$9</f>
        <v>Largura (m)</v>
      </c>
      <c r="G9" s="83" t="str">
        <f>'2 - Serviços'!$G$9</f>
        <v>Extensão (m)</v>
      </c>
      <c r="H9" s="46" t="s">
        <v>336</v>
      </c>
      <c r="I9" s="46" t="s">
        <v>44</v>
      </c>
      <c r="J9" s="46" t="s">
        <v>45</v>
      </c>
      <c r="K9" s="325" t="s">
        <v>46</v>
      </c>
      <c r="L9" s="46" t="s">
        <v>44</v>
      </c>
      <c r="M9" s="46" t="s">
        <v>45</v>
      </c>
      <c r="N9" s="325" t="s">
        <v>46</v>
      </c>
      <c r="O9" s="46" t="s">
        <v>409</v>
      </c>
      <c r="P9" s="46" t="s">
        <v>409</v>
      </c>
    </row>
    <row r="10" spans="1:16" ht="12.95" customHeight="1" x14ac:dyDescent="0.2">
      <c r="A10" s="132">
        <f>'2 - Serviços'!A10</f>
        <v>1</v>
      </c>
      <c r="B10" s="132" t="str">
        <f>'2 - Serviços'!B10</f>
        <v>CÓRREGO DO CHINELO</v>
      </c>
      <c r="C10" s="132" t="str">
        <f>'2 - Serviços'!C10</f>
        <v>21°53'30.35''S</v>
      </c>
      <c r="D10" s="132" t="str">
        <f>'2 - Serviços'!D10</f>
        <v>54°35'16.91''W</v>
      </c>
      <c r="E10" s="132" t="str">
        <f>'2 - Serviços'!E10</f>
        <v>Simples</v>
      </c>
      <c r="F10" s="133">
        <f>'2 - Serviços'!F10</f>
        <v>5</v>
      </c>
      <c r="G10" s="133">
        <f>'2 - Serviços'!G10</f>
        <v>13</v>
      </c>
      <c r="H10" s="133">
        <v>10</v>
      </c>
      <c r="I10" s="133">
        <v>1.6</v>
      </c>
      <c r="J10" s="123">
        <v>0.503</v>
      </c>
      <c r="K10" s="123">
        <v>0.80400000000000005</v>
      </c>
      <c r="L10" s="133">
        <v>1.6</v>
      </c>
      <c r="M10" s="123">
        <v>0.64</v>
      </c>
      <c r="N10" s="123">
        <v>1.024</v>
      </c>
      <c r="O10" s="133">
        <v>3</v>
      </c>
      <c r="P10" s="133">
        <v>10</v>
      </c>
    </row>
    <row r="11" spans="1:16" ht="12.95" customHeight="1" x14ac:dyDescent="0.2">
      <c r="A11" s="132">
        <f>'2 - Serviços'!A11</f>
        <v>2</v>
      </c>
      <c r="B11" s="132" t="str">
        <f>'2 - Serviços'!B11</f>
        <v>CÓRREGO AREIAS</v>
      </c>
      <c r="C11" s="132" t="str">
        <f>'2 - Serviços'!C11</f>
        <v>21°48'55.89''S</v>
      </c>
      <c r="D11" s="132" t="str">
        <f>'2 - Serviços'!D11</f>
        <v>54°32'36.89''W</v>
      </c>
      <c r="E11" s="132" t="str">
        <f>'2 - Serviços'!E11</f>
        <v>Simples</v>
      </c>
      <c r="F11" s="133">
        <f>'2 - Serviços'!F11</f>
        <v>4.4000000000000004</v>
      </c>
      <c r="G11" s="133">
        <f>'2 - Serviços'!G11</f>
        <v>6</v>
      </c>
      <c r="H11" s="133">
        <v>10</v>
      </c>
      <c r="I11" s="133">
        <v>1.6</v>
      </c>
      <c r="J11" s="123">
        <v>0.503</v>
      </c>
      <c r="K11" s="123">
        <v>0.80400000000000005</v>
      </c>
      <c r="L11" s="133">
        <v>1.6</v>
      </c>
      <c r="M11" s="123">
        <v>0.64</v>
      </c>
      <c r="N11" s="123">
        <v>1.024</v>
      </c>
      <c r="O11" s="133">
        <v>3</v>
      </c>
      <c r="P11" s="133">
        <v>5</v>
      </c>
    </row>
    <row r="12" spans="1:16" ht="12.95" customHeight="1" x14ac:dyDescent="0.2">
      <c r="A12" s="132">
        <f>'2 - Serviços'!A12</f>
        <v>3</v>
      </c>
      <c r="B12" s="132" t="str">
        <f>'2 - Serviços'!B12</f>
        <v>CÓRREGO ARARAS</v>
      </c>
      <c r="C12" s="132" t="str">
        <f>'2 - Serviços'!C12</f>
        <v>21°47'42.63''S</v>
      </c>
      <c r="D12" s="132" t="str">
        <f>'2 - Serviços'!D12</f>
        <v>54°31'56.42''W</v>
      </c>
      <c r="E12" s="132" t="str">
        <f>'2 - Serviços'!E12</f>
        <v>Simples</v>
      </c>
      <c r="F12" s="133">
        <f>'2 - Serviços'!F12</f>
        <v>4.8</v>
      </c>
      <c r="G12" s="133">
        <f>'2 - Serviços'!G12</f>
        <v>12</v>
      </c>
      <c r="H12" s="133">
        <v>10</v>
      </c>
      <c r="I12" s="133">
        <v>1.6</v>
      </c>
      <c r="J12" s="123">
        <v>0.503</v>
      </c>
      <c r="K12" s="123">
        <v>0.80400000000000005</v>
      </c>
      <c r="L12" s="133">
        <v>1.6</v>
      </c>
      <c r="M12" s="123">
        <v>0.64</v>
      </c>
      <c r="N12" s="123">
        <v>1.024</v>
      </c>
      <c r="O12" s="133">
        <v>3</v>
      </c>
      <c r="P12" s="133">
        <v>10</v>
      </c>
    </row>
    <row r="13" spans="1:16" ht="12.95" customHeight="1" x14ac:dyDescent="0.2">
      <c r="A13" s="132">
        <f>'2 - Serviços'!A13</f>
        <v>4</v>
      </c>
      <c r="B13" s="132" t="str">
        <f>'2 - Serviços'!B13</f>
        <v>CÓRREGO FORMIGA</v>
      </c>
      <c r="C13" s="132" t="str">
        <f>'2 - Serviços'!C13</f>
        <v>21°39'27.48''S</v>
      </c>
      <c r="D13" s="132" t="str">
        <f>'2 - Serviços'!D13</f>
        <v>54°25'31.76''W</v>
      </c>
      <c r="E13" s="132" t="str">
        <f>'2 - Serviços'!E13</f>
        <v>Simples</v>
      </c>
      <c r="F13" s="133">
        <f>'2 - Serviços'!F13</f>
        <v>4.4000000000000004</v>
      </c>
      <c r="G13" s="133">
        <f>'2 - Serviços'!G13</f>
        <v>13.2</v>
      </c>
      <c r="H13" s="133">
        <v>10</v>
      </c>
      <c r="I13" s="133">
        <v>1.6</v>
      </c>
      <c r="J13" s="123">
        <v>0.503</v>
      </c>
      <c r="K13" s="123">
        <v>0.80400000000000005</v>
      </c>
      <c r="L13" s="133">
        <v>1.6</v>
      </c>
      <c r="M13" s="123">
        <v>0.64</v>
      </c>
      <c r="N13" s="123">
        <v>1.024</v>
      </c>
      <c r="O13" s="133">
        <v>3</v>
      </c>
      <c r="P13" s="133">
        <v>10</v>
      </c>
    </row>
    <row r="14" spans="1:16" ht="12.95" customHeight="1" x14ac:dyDescent="0.2">
      <c r="A14" s="132">
        <f>'2 - Serviços'!A14</f>
        <v>5</v>
      </c>
      <c r="B14" s="132" t="str">
        <f>'2 - Serviços'!B14</f>
        <v>CÓRREGO ANTINHA</v>
      </c>
      <c r="C14" s="132" t="str">
        <f>'2 - Serviços'!C14</f>
        <v>21°38'42.22''S</v>
      </c>
      <c r="D14" s="132" t="str">
        <f>'2 - Serviços'!D14</f>
        <v>54°27'12.82''W</v>
      </c>
      <c r="E14" s="132" t="str">
        <f>'2 - Serviços'!E14</f>
        <v>Simples</v>
      </c>
      <c r="F14" s="133">
        <f>'2 - Serviços'!F14</f>
        <v>4.4000000000000004</v>
      </c>
      <c r="G14" s="133">
        <f>'2 - Serviços'!G14</f>
        <v>7.2</v>
      </c>
      <c r="H14" s="133">
        <v>10</v>
      </c>
      <c r="I14" s="133">
        <v>1.6</v>
      </c>
      <c r="J14" s="123">
        <v>0.503</v>
      </c>
      <c r="K14" s="123">
        <v>0.80400000000000005</v>
      </c>
      <c r="L14" s="133">
        <v>1.6</v>
      </c>
      <c r="M14" s="123">
        <v>0.64</v>
      </c>
      <c r="N14" s="123">
        <v>1.024</v>
      </c>
      <c r="O14" s="133">
        <v>3</v>
      </c>
      <c r="P14" s="133">
        <v>6</v>
      </c>
    </row>
    <row r="15" spans="1:16" ht="12.95" customHeight="1" x14ac:dyDescent="0.2">
      <c r="A15" s="132">
        <f>'2 - Serviços'!A15</f>
        <v>6</v>
      </c>
      <c r="B15" s="132" t="str">
        <f>'2 - Serviços'!B15</f>
        <v>CÓRREGO FORMIGA</v>
      </c>
      <c r="C15" s="132" t="str">
        <f>'2 - Serviços'!C15</f>
        <v>21°38'56.23''S</v>
      </c>
      <c r="D15" s="132" t="str">
        <f>'2 - Serviços'!D15</f>
        <v>54°25'01.82''W</v>
      </c>
      <c r="E15" s="132" t="str">
        <f>'2 - Serviços'!E15</f>
        <v>Simples</v>
      </c>
      <c r="F15" s="133">
        <f>'2 - Serviços'!F15</f>
        <v>4.4000000000000004</v>
      </c>
      <c r="G15" s="133">
        <f>'2 - Serviços'!G15</f>
        <v>12</v>
      </c>
      <c r="H15" s="133">
        <v>10</v>
      </c>
      <c r="I15" s="133">
        <v>1.6</v>
      </c>
      <c r="J15" s="123">
        <v>0.503</v>
      </c>
      <c r="K15" s="123">
        <v>0.80400000000000005</v>
      </c>
      <c r="L15" s="133">
        <v>1.6</v>
      </c>
      <c r="M15" s="123">
        <v>0.64</v>
      </c>
      <c r="N15" s="123">
        <v>1.024</v>
      </c>
      <c r="O15" s="133">
        <v>3</v>
      </c>
      <c r="P15" s="133">
        <v>10</v>
      </c>
    </row>
    <row r="16" spans="1:16" ht="12.95" customHeight="1" x14ac:dyDescent="0.2">
      <c r="A16" s="132">
        <f>'2 - Serviços'!A16</f>
        <v>7</v>
      </c>
      <c r="B16" s="132" t="str">
        <f>'2 - Serviços'!B16</f>
        <v>CÓRREGO QUILOMBO</v>
      </c>
      <c r="C16" s="132" t="str">
        <f>'2 - Serviços'!C16</f>
        <v>21°42'14.33''S</v>
      </c>
      <c r="D16" s="132" t="str">
        <f>'2 - Serviços'!D16</f>
        <v>54°20'39.58''W</v>
      </c>
      <c r="E16" s="132" t="str">
        <f>'2 - Serviços'!E16</f>
        <v>Simples</v>
      </c>
      <c r="F16" s="133">
        <f>'2 - Serviços'!F16</f>
        <v>4.4000000000000004</v>
      </c>
      <c r="G16" s="133">
        <f>'2 - Serviços'!G16</f>
        <v>6.8</v>
      </c>
      <c r="H16" s="133">
        <v>10</v>
      </c>
      <c r="I16" s="133">
        <v>1.6</v>
      </c>
      <c r="J16" s="123">
        <v>0.503</v>
      </c>
      <c r="K16" s="123">
        <v>0.80400000000000005</v>
      </c>
      <c r="L16" s="133">
        <v>1.6</v>
      </c>
      <c r="M16" s="123">
        <v>0.64</v>
      </c>
      <c r="N16" s="123">
        <v>1.024</v>
      </c>
      <c r="O16" s="133">
        <v>3</v>
      </c>
      <c r="P16" s="133">
        <v>6</v>
      </c>
    </row>
    <row r="17" spans="1:16" ht="12.95" customHeight="1" x14ac:dyDescent="0.2">
      <c r="A17" s="132">
        <f>'2 - Serviços'!A17</f>
        <v>8</v>
      </c>
      <c r="B17" s="132" t="str">
        <f>'2 - Serviços'!B17</f>
        <v>ARROIO CORREGUINHO</v>
      </c>
      <c r="C17" s="132" t="str">
        <f>'2 - Serviços'!C17</f>
        <v>21°42'39.87''S</v>
      </c>
      <c r="D17" s="132" t="str">
        <f>'2 - Serviços'!D17</f>
        <v>54°18'52.81''W</v>
      </c>
      <c r="E17" s="132" t="str">
        <f>'2 - Serviços'!E17</f>
        <v>Simples</v>
      </c>
      <c r="F17" s="133">
        <f>'2 - Serviços'!F17</f>
        <v>4.4000000000000004</v>
      </c>
      <c r="G17" s="133">
        <f>'2 - Serviços'!G17</f>
        <v>5.8</v>
      </c>
      <c r="H17" s="133">
        <v>10</v>
      </c>
      <c r="I17" s="133">
        <v>1.6</v>
      </c>
      <c r="J17" s="123">
        <v>0.503</v>
      </c>
      <c r="K17" s="123">
        <v>0.80400000000000005</v>
      </c>
      <c r="L17" s="133">
        <v>1.6</v>
      </c>
      <c r="M17" s="123">
        <v>0.64</v>
      </c>
      <c r="N17" s="123">
        <v>1.024</v>
      </c>
      <c r="O17" s="133">
        <v>3</v>
      </c>
      <c r="P17" s="133">
        <v>5</v>
      </c>
    </row>
    <row r="18" spans="1:16" ht="12.95" customHeight="1" x14ac:dyDescent="0.2">
      <c r="A18" s="132">
        <f>'2 - Serviços'!A18</f>
        <v>9</v>
      </c>
      <c r="B18" s="132" t="str">
        <f>'2 - Serviços'!B18</f>
        <v>CÓRREGO GUATAMBU</v>
      </c>
      <c r="C18" s="132" t="str">
        <f>'2 - Serviços'!C18</f>
        <v>21°43'17.70"S</v>
      </c>
      <c r="D18" s="132" t="str">
        <f>'2 - Serviços'!D18</f>
        <v>54°16'36.10"W</v>
      </c>
      <c r="E18" s="132" t="str">
        <f>'2 - Serviços'!E18</f>
        <v>Simples</v>
      </c>
      <c r="F18" s="133">
        <f>'2 - Serviços'!F18</f>
        <v>4.4000000000000004</v>
      </c>
      <c r="G18" s="133">
        <f>'2 - Serviços'!G18</f>
        <v>10.6</v>
      </c>
      <c r="H18" s="133">
        <v>10</v>
      </c>
      <c r="I18" s="133">
        <v>1.6</v>
      </c>
      <c r="J18" s="123">
        <v>0.503</v>
      </c>
      <c r="K18" s="123">
        <v>0.80400000000000005</v>
      </c>
      <c r="L18" s="133">
        <v>1.6</v>
      </c>
      <c r="M18" s="123">
        <v>0.64</v>
      </c>
      <c r="N18" s="123">
        <v>1.024</v>
      </c>
      <c r="O18" s="133">
        <v>3</v>
      </c>
      <c r="P18" s="133">
        <v>9</v>
      </c>
    </row>
    <row r="19" spans="1:16" ht="12.95" customHeight="1" x14ac:dyDescent="0.2">
      <c r="A19" s="132">
        <f>'2 - Serviços'!A19</f>
        <v>10</v>
      </c>
      <c r="B19" s="132" t="str">
        <f>'2 - Serviços'!B19</f>
        <v>CÓRREGO QUILOMBO</v>
      </c>
      <c r="C19" s="132" t="str">
        <f>'2 - Serviços'!C19</f>
        <v>21°42'51.11''S</v>
      </c>
      <c r="D19" s="132" t="str">
        <f>'2 - Serviços'!D19</f>
        <v>54°16'52.81''W</v>
      </c>
      <c r="E19" s="132" t="str">
        <f>'2 - Serviços'!E19</f>
        <v>Simples</v>
      </c>
      <c r="F19" s="133">
        <f>'2 - Serviços'!F19</f>
        <v>4.4000000000000004</v>
      </c>
      <c r="G19" s="133">
        <f>'2 - Serviços'!G19</f>
        <v>5.8</v>
      </c>
      <c r="H19" s="133">
        <v>10</v>
      </c>
      <c r="I19" s="133">
        <v>1.6</v>
      </c>
      <c r="J19" s="123">
        <v>0.503</v>
      </c>
      <c r="K19" s="123">
        <v>0.80400000000000005</v>
      </c>
      <c r="L19" s="133">
        <v>1.6</v>
      </c>
      <c r="M19" s="123">
        <v>0.64</v>
      </c>
      <c r="N19" s="123">
        <v>1.024</v>
      </c>
      <c r="O19" s="133">
        <v>3</v>
      </c>
      <c r="P19" s="133">
        <v>5</v>
      </c>
    </row>
    <row r="20" spans="1:16" ht="12.95" customHeight="1" x14ac:dyDescent="0.2">
      <c r="A20" s="132">
        <f>'2 - Serviços'!A20</f>
        <v>11</v>
      </c>
      <c r="B20" s="132" t="str">
        <f>'2 - Serviços'!B20</f>
        <v>CÓRREGO SAPÉ</v>
      </c>
      <c r="C20" s="132" t="str">
        <f>'2 - Serviços'!C20</f>
        <v>21°44'57.50"S</v>
      </c>
      <c r="D20" s="132" t="str">
        <f>'2 - Serviços'!D20</f>
        <v>54°18'00.40"W</v>
      </c>
      <c r="E20" s="132" t="str">
        <f>'2 - Serviços'!E20</f>
        <v>Simples</v>
      </c>
      <c r="F20" s="133">
        <f>'2 - Serviços'!F20</f>
        <v>4.4000000000000004</v>
      </c>
      <c r="G20" s="133">
        <f>'2 - Serviços'!G20</f>
        <v>10.8</v>
      </c>
      <c r="H20" s="133">
        <v>10</v>
      </c>
      <c r="I20" s="133">
        <v>1.6</v>
      </c>
      <c r="J20" s="123">
        <v>0.503</v>
      </c>
      <c r="K20" s="123">
        <v>0.80400000000000005</v>
      </c>
      <c r="L20" s="133">
        <v>1.6</v>
      </c>
      <c r="M20" s="123">
        <v>0.64</v>
      </c>
      <c r="N20" s="123">
        <v>1.024</v>
      </c>
      <c r="O20" s="133">
        <v>3</v>
      </c>
      <c r="P20" s="133">
        <v>9</v>
      </c>
    </row>
    <row r="21" spans="1:16" ht="12.95" customHeight="1" x14ac:dyDescent="0.2">
      <c r="A21" s="132">
        <f>'2 - Serviços'!A21</f>
        <v>12</v>
      </c>
      <c r="B21" s="132" t="str">
        <f>'2 - Serviços'!B21</f>
        <v>CÓRREGO JUREMA</v>
      </c>
      <c r="C21" s="132" t="str">
        <f>'2 - Serviços'!C21</f>
        <v>21°47'02.84''S</v>
      </c>
      <c r="D21" s="132" t="str">
        <f>'2 - Serviços'!D21</f>
        <v>54°14'35.61''W</v>
      </c>
      <c r="E21" s="132" t="str">
        <f>'2 - Serviços'!E21</f>
        <v>Simples</v>
      </c>
      <c r="F21" s="133">
        <f>'2 - Serviços'!F21</f>
        <v>4.4000000000000004</v>
      </c>
      <c r="G21" s="133">
        <f>'2 - Serviços'!G21</f>
        <v>7.1</v>
      </c>
      <c r="H21" s="133">
        <v>10</v>
      </c>
      <c r="I21" s="133">
        <v>1.6</v>
      </c>
      <c r="J21" s="123">
        <v>0.503</v>
      </c>
      <c r="K21" s="123">
        <v>0.80400000000000005</v>
      </c>
      <c r="L21" s="133">
        <v>1.6</v>
      </c>
      <c r="M21" s="123">
        <v>0.64</v>
      </c>
      <c r="N21" s="123">
        <v>1.024</v>
      </c>
      <c r="O21" s="133">
        <v>3</v>
      </c>
      <c r="P21" s="133">
        <v>6</v>
      </c>
    </row>
    <row r="22" spans="1:16" ht="12.95" customHeight="1" x14ac:dyDescent="0.2">
      <c r="A22" s="132">
        <f>'2 - Serviços'!A22</f>
        <v>13</v>
      </c>
      <c r="B22" s="132" t="str">
        <f>'2 - Serviços'!B22</f>
        <v>CÓRREGO ARACI</v>
      </c>
      <c r="C22" s="132" t="str">
        <f>'2 - Serviços'!C22</f>
        <v>21°45'04.33''S</v>
      </c>
      <c r="D22" s="132" t="str">
        <f>'2 - Serviços'!D22</f>
        <v>54°12'41.25''W</v>
      </c>
      <c r="E22" s="132" t="str">
        <f>'2 - Serviços'!E22</f>
        <v>Simples</v>
      </c>
      <c r="F22" s="133">
        <f>'2 - Serviços'!F22</f>
        <v>4.4000000000000004</v>
      </c>
      <c r="G22" s="133">
        <f>'2 - Serviços'!G22</f>
        <v>6.4</v>
      </c>
      <c r="H22" s="133">
        <v>10</v>
      </c>
      <c r="I22" s="133">
        <v>1.6</v>
      </c>
      <c r="J22" s="123">
        <v>0.503</v>
      </c>
      <c r="K22" s="123">
        <v>0.80400000000000005</v>
      </c>
      <c r="L22" s="133">
        <v>1.6</v>
      </c>
      <c r="M22" s="123">
        <v>0.64</v>
      </c>
      <c r="N22" s="123">
        <v>1.024</v>
      </c>
      <c r="O22" s="133">
        <v>3</v>
      </c>
      <c r="P22" s="133">
        <v>5</v>
      </c>
    </row>
    <row r="23" spans="1:16" ht="12.95" customHeight="1" x14ac:dyDescent="0.2">
      <c r="A23" s="132">
        <f>'2 - Serviços'!A23</f>
        <v>14</v>
      </c>
      <c r="B23" s="132" t="str">
        <f>'2 - Serviços'!B23</f>
        <v>CÓRREGO ANHUMAS</v>
      </c>
      <c r="C23" s="132" t="str">
        <f>'2 - Serviços'!C23</f>
        <v>21°51'40.49''S</v>
      </c>
      <c r="D23" s="132" t="str">
        <f>'2 - Serviços'!D23</f>
        <v>54°08'14.26''W</v>
      </c>
      <c r="E23" s="132" t="str">
        <f>'2 - Serviços'!E23</f>
        <v>Simples</v>
      </c>
      <c r="F23" s="133">
        <f>'2 - Serviços'!F23</f>
        <v>4.4000000000000004</v>
      </c>
      <c r="G23" s="133">
        <f>'2 - Serviços'!G23</f>
        <v>11.8</v>
      </c>
      <c r="H23" s="133">
        <v>10</v>
      </c>
      <c r="I23" s="133">
        <v>1.6</v>
      </c>
      <c r="J23" s="123">
        <v>0.503</v>
      </c>
      <c r="K23" s="123">
        <v>0.80400000000000005</v>
      </c>
      <c r="L23" s="133">
        <v>1.6</v>
      </c>
      <c r="M23" s="123">
        <v>0.64</v>
      </c>
      <c r="N23" s="123">
        <v>1.024</v>
      </c>
      <c r="O23" s="133">
        <v>3</v>
      </c>
      <c r="P23" s="133">
        <v>10</v>
      </c>
    </row>
    <row r="24" spans="1:16" ht="12.95" customHeight="1" x14ac:dyDescent="0.2">
      <c r="A24" s="132">
        <f>'2 - Serviços'!A24</f>
        <v>15</v>
      </c>
      <c r="B24" s="132" t="str">
        <f>'2 - Serviços'!B24</f>
        <v>CÓRREGO CHIFRE DO VIADO</v>
      </c>
      <c r="C24" s="132" t="str">
        <f>'2 - Serviços'!C24</f>
        <v>21°40'35.65''S</v>
      </c>
      <c r="D24" s="132" t="str">
        <f>'2 - Serviços'!D24</f>
        <v>54°56'15.44''W</v>
      </c>
      <c r="E24" s="132" t="str">
        <f>'2 - Serviços'!E24</f>
        <v>Simples</v>
      </c>
      <c r="F24" s="133">
        <f>'2 - Serviços'!F24</f>
        <v>5</v>
      </c>
      <c r="G24" s="133">
        <f>'2 - Serviços'!G24</f>
        <v>12</v>
      </c>
      <c r="H24" s="133">
        <v>10</v>
      </c>
      <c r="I24" s="133">
        <v>1.6</v>
      </c>
      <c r="J24" s="123">
        <v>0.503</v>
      </c>
      <c r="K24" s="123">
        <v>0.80400000000000005</v>
      </c>
      <c r="L24" s="133">
        <v>1.6</v>
      </c>
      <c r="M24" s="123">
        <v>0.64</v>
      </c>
      <c r="N24" s="123">
        <v>1.024</v>
      </c>
      <c r="O24" s="133">
        <v>3</v>
      </c>
      <c r="P24" s="133">
        <v>10</v>
      </c>
    </row>
    <row r="25" spans="1:16" ht="12.95" customHeight="1" x14ac:dyDescent="0.2">
      <c r="A25" s="132">
        <f>'2 - Serviços'!A25</f>
        <v>16</v>
      </c>
      <c r="B25" s="132" t="str">
        <f>'2 - Serviços'!B25</f>
        <v>CÓRREGO SANTA RITA</v>
      </c>
      <c r="C25" s="132" t="str">
        <f>'2 - Serviços'!C25</f>
        <v>21°33'23.75''S</v>
      </c>
      <c r="D25" s="132" t="str">
        <f>'2 - Serviços'!D25</f>
        <v>54°35'26.66''W</v>
      </c>
      <c r="E25" s="132" t="str">
        <f>'2 - Serviços'!E25</f>
        <v>Simples</v>
      </c>
      <c r="F25" s="133">
        <f>'2 - Serviços'!F25</f>
        <v>4.4000000000000004</v>
      </c>
      <c r="G25" s="133">
        <f>'2 - Serviços'!G25</f>
        <v>22.1</v>
      </c>
      <c r="H25" s="133">
        <v>10</v>
      </c>
      <c r="I25" s="133">
        <v>1.6</v>
      </c>
      <c r="J25" s="123">
        <v>0.503</v>
      </c>
      <c r="K25" s="123">
        <v>0.80400000000000005</v>
      </c>
      <c r="L25" s="133">
        <v>1.6</v>
      </c>
      <c r="M25" s="123">
        <v>0.64</v>
      </c>
      <c r="N25" s="123">
        <v>1.024</v>
      </c>
      <c r="O25" s="133">
        <v>3</v>
      </c>
      <c r="P25" s="133">
        <v>18</v>
      </c>
    </row>
    <row r="26" spans="1:16" ht="12.95" customHeight="1" x14ac:dyDescent="0.2">
      <c r="A26" s="132">
        <f>'2 - Serviços'!A26</f>
        <v>17</v>
      </c>
      <c r="B26" s="132" t="str">
        <f>'2 - Serviços'!B26</f>
        <v>RIO SERROTE</v>
      </c>
      <c r="C26" s="132" t="str">
        <f>'2 - Serviços'!C26</f>
        <v>21°25'01.14''S</v>
      </c>
      <c r="D26" s="132" t="str">
        <f>'2 - Serviços'!D26</f>
        <v>54°43'16.96''W</v>
      </c>
      <c r="E26" s="132" t="str">
        <f>'2 - Serviços'!E26</f>
        <v>Simples</v>
      </c>
      <c r="F26" s="133">
        <f>'2 - Serviços'!F26</f>
        <v>4.4000000000000004</v>
      </c>
      <c r="G26" s="133">
        <f>'2 - Serviços'!G26</f>
        <v>24.6</v>
      </c>
      <c r="H26" s="133">
        <v>10</v>
      </c>
      <c r="I26" s="133">
        <v>1.6</v>
      </c>
      <c r="J26" s="123">
        <v>0.503</v>
      </c>
      <c r="K26" s="123">
        <v>0.80400000000000005</v>
      </c>
      <c r="L26" s="133">
        <v>1.6</v>
      </c>
      <c r="M26" s="123">
        <v>0.64</v>
      </c>
      <c r="N26" s="123">
        <v>1.024</v>
      </c>
      <c r="O26" s="133">
        <v>3</v>
      </c>
      <c r="P26" s="133">
        <v>20</v>
      </c>
    </row>
    <row r="27" spans="1:16" ht="12.95" customHeight="1" x14ac:dyDescent="0.2">
      <c r="A27" s="132">
        <f>'2 - Serviços'!A27</f>
        <v>18</v>
      </c>
      <c r="B27" s="132" t="str">
        <f>'2 - Serviços'!B27</f>
        <v>CÓRREGO PASSATEMPO 1</v>
      </c>
      <c r="C27" s="132" t="str">
        <f>'2 - Serviços'!C27</f>
        <v>21°29'34.92''S</v>
      </c>
      <c r="D27" s="132" t="str">
        <f>'2 - Serviços'!D27</f>
        <v>54°49'18.44''W</v>
      </c>
      <c r="E27" s="132" t="str">
        <f>'2 - Serviços'!E27</f>
        <v>Simples</v>
      </c>
      <c r="F27" s="133">
        <f>'2 - Serviços'!F27</f>
        <v>4.4000000000000004</v>
      </c>
      <c r="G27" s="133">
        <f>'2 - Serviços'!G27</f>
        <v>16.399999999999999</v>
      </c>
      <c r="H27" s="133">
        <v>10</v>
      </c>
      <c r="I27" s="133">
        <v>1.6</v>
      </c>
      <c r="J27" s="123">
        <v>0.503</v>
      </c>
      <c r="K27" s="123">
        <v>0.80400000000000005</v>
      </c>
      <c r="L27" s="133">
        <v>1.6</v>
      </c>
      <c r="M27" s="123">
        <v>0.64</v>
      </c>
      <c r="N27" s="123">
        <v>1.024</v>
      </c>
      <c r="O27" s="133">
        <v>3</v>
      </c>
      <c r="P27" s="133">
        <v>13</v>
      </c>
    </row>
    <row r="28" spans="1:16" ht="12.95" customHeight="1" x14ac:dyDescent="0.2">
      <c r="A28" s="132">
        <f>'2 - Serviços'!A28</f>
        <v>19</v>
      </c>
      <c r="B28" s="132" t="str">
        <f>'2 - Serviços'!B28</f>
        <v>CÓRREGO PASSATEMPO 2</v>
      </c>
      <c r="C28" s="132" t="str">
        <f>'2 - Serviços'!C28</f>
        <v>21°29'33.39''S</v>
      </c>
      <c r="D28" s="132" t="str">
        <f>'2 - Serviços'!D28</f>
        <v>54°49'17.44''W</v>
      </c>
      <c r="E28" s="132" t="str">
        <f>'2 - Serviços'!E28</f>
        <v>Simples</v>
      </c>
      <c r="F28" s="133">
        <f>'2 - Serviços'!F28</f>
        <v>4.4000000000000004</v>
      </c>
      <c r="G28" s="133">
        <f>'2 - Serviços'!G28</f>
        <v>19.600000000000001</v>
      </c>
      <c r="H28" s="133">
        <v>10</v>
      </c>
      <c r="I28" s="133">
        <v>1.6</v>
      </c>
      <c r="J28" s="123">
        <v>0.503</v>
      </c>
      <c r="K28" s="123">
        <v>0.80400000000000005</v>
      </c>
      <c r="L28" s="133">
        <v>1.6</v>
      </c>
      <c r="M28" s="123">
        <v>0.64</v>
      </c>
      <c r="N28" s="123">
        <v>1.024</v>
      </c>
      <c r="O28" s="133">
        <v>3</v>
      </c>
      <c r="P28" s="133">
        <v>16</v>
      </c>
    </row>
    <row r="29" spans="1:16" ht="12.95" customHeight="1" x14ac:dyDescent="0.2">
      <c r="A29" s="132">
        <f>'2 - Serviços'!A29</f>
        <v>20</v>
      </c>
      <c r="B29" s="132" t="str">
        <f>'2 - Serviços'!B29</f>
        <v>CÓRREGO PASSATEMPO 3</v>
      </c>
      <c r="C29" s="132" t="str">
        <f>'2 - Serviços'!C29</f>
        <v>21°28'09.42''S</v>
      </c>
      <c r="D29" s="132" t="str">
        <f>'2 - Serviços'!D29</f>
        <v>54°48'01.11''W</v>
      </c>
      <c r="E29" s="132" t="str">
        <f>'2 - Serviços'!E29</f>
        <v>Simples</v>
      </c>
      <c r="F29" s="133">
        <f>'2 - Serviços'!F29</f>
        <v>5</v>
      </c>
      <c r="G29" s="133">
        <f>'2 - Serviços'!G29</f>
        <v>6</v>
      </c>
      <c r="H29" s="133">
        <v>10</v>
      </c>
      <c r="I29" s="133">
        <v>1.6</v>
      </c>
      <c r="J29" s="123">
        <v>0.503</v>
      </c>
      <c r="K29" s="123">
        <v>0.80400000000000005</v>
      </c>
      <c r="L29" s="133">
        <v>1.6</v>
      </c>
      <c r="M29" s="123">
        <v>0.64</v>
      </c>
      <c r="N29" s="123">
        <v>1.024</v>
      </c>
      <c r="O29" s="133">
        <v>3</v>
      </c>
      <c r="P29" s="133">
        <v>5</v>
      </c>
    </row>
    <row r="30" spans="1:16" ht="12.95" customHeight="1" x14ac:dyDescent="0.2">
      <c r="A30" s="132">
        <f>'2 - Serviços'!A30</f>
        <v>21</v>
      </c>
      <c r="B30" s="132" t="str">
        <f>'2 - Serviços'!B30</f>
        <v>CÓRREGO TAQUARA</v>
      </c>
      <c r="C30" s="132" t="str">
        <f>'2 - Serviços'!C30</f>
        <v>21°21'07.90''S</v>
      </c>
      <c r="D30" s="132" t="str">
        <f>'2 - Serviços'!D30</f>
        <v>54°50'07.01''W</v>
      </c>
      <c r="E30" s="132" t="str">
        <f>'2 - Serviços'!E30</f>
        <v>Simples</v>
      </c>
      <c r="F30" s="133">
        <f>'2 - Serviços'!F30</f>
        <v>4.8</v>
      </c>
      <c r="G30" s="133">
        <f>'2 - Serviços'!G30</f>
        <v>24</v>
      </c>
      <c r="H30" s="133">
        <v>10</v>
      </c>
      <c r="I30" s="133">
        <v>1.6</v>
      </c>
      <c r="J30" s="123">
        <v>0.503</v>
      </c>
      <c r="K30" s="123">
        <v>0.80400000000000005</v>
      </c>
      <c r="L30" s="133">
        <v>1.6</v>
      </c>
      <c r="M30" s="123">
        <v>0.64</v>
      </c>
      <c r="N30" s="123">
        <v>1.024</v>
      </c>
      <c r="O30" s="133">
        <v>3</v>
      </c>
      <c r="P30" s="133">
        <v>19</v>
      </c>
    </row>
    <row r="31" spans="1:16" ht="12.95" customHeight="1" x14ac:dyDescent="0.2">
      <c r="A31" s="132">
        <f>'2 - Serviços'!A31</f>
        <v>22</v>
      </c>
      <c r="B31" s="132" t="str">
        <f>'2 - Serviços'!B31</f>
        <v>CÓRREGO PASSATEMPO 4</v>
      </c>
      <c r="C31" s="132" t="str">
        <f>'2 - Serviços'!C31</f>
        <v>21°29'23.36''S</v>
      </c>
      <c r="D31" s="132" t="str">
        <f>'2 - Serviços'!D31</f>
        <v>54°52'56.83''W</v>
      </c>
      <c r="E31" s="132" t="str">
        <f>'2 - Serviços'!E31</f>
        <v>Simples</v>
      </c>
      <c r="F31" s="133">
        <f>'2 - Serviços'!F31</f>
        <v>4.4000000000000004</v>
      </c>
      <c r="G31" s="133">
        <f>'2 - Serviços'!G31</f>
        <v>14.3</v>
      </c>
      <c r="H31" s="133">
        <v>10</v>
      </c>
      <c r="I31" s="133">
        <v>1.6</v>
      </c>
      <c r="J31" s="123">
        <v>0.503</v>
      </c>
      <c r="K31" s="123">
        <v>0.80400000000000005</v>
      </c>
      <c r="L31" s="133">
        <v>1.6</v>
      </c>
      <c r="M31" s="123">
        <v>0.64</v>
      </c>
      <c r="N31" s="123">
        <v>1.024</v>
      </c>
      <c r="O31" s="133">
        <v>3</v>
      </c>
      <c r="P31" s="133">
        <v>11</v>
      </c>
    </row>
    <row r="32" spans="1:16" ht="12.95" customHeight="1" x14ac:dyDescent="0.2">
      <c r="A32" s="132">
        <f>'2 - Serviços'!A32</f>
        <v>23</v>
      </c>
      <c r="B32" s="132" t="str">
        <f>'2 - Serviços'!B32</f>
        <v>CÓRREGO DO COQUEIRO</v>
      </c>
      <c r="C32" s="132" t="str">
        <f>'2 - Serviços'!C32</f>
        <v>21°30'51.74''S</v>
      </c>
      <c r="D32" s="132" t="str">
        <f>'2 - Serviços'!D32</f>
        <v>54°52'00.30''W</v>
      </c>
      <c r="E32" s="132" t="str">
        <f>'2 - Serviços'!E32</f>
        <v>Simples</v>
      </c>
      <c r="F32" s="133">
        <f>'2 - Serviços'!F32</f>
        <v>4.4000000000000004</v>
      </c>
      <c r="G32" s="133">
        <f>'2 - Serviços'!G32</f>
        <v>22.3</v>
      </c>
      <c r="H32" s="133">
        <v>10</v>
      </c>
      <c r="I32" s="133">
        <v>1.6</v>
      </c>
      <c r="J32" s="123">
        <v>0.503</v>
      </c>
      <c r="K32" s="123">
        <v>0.80400000000000005</v>
      </c>
      <c r="L32" s="133">
        <v>1.6</v>
      </c>
      <c r="M32" s="123">
        <v>0.64</v>
      </c>
      <c r="N32" s="123">
        <v>1.024</v>
      </c>
      <c r="O32" s="133">
        <v>3</v>
      </c>
      <c r="P32" s="133">
        <v>18</v>
      </c>
    </row>
    <row r="33" spans="1:16" ht="12.95" customHeight="1" x14ac:dyDescent="0.2">
      <c r="A33" s="132">
        <f>'2 - Serviços'!A33</f>
        <v>24</v>
      </c>
      <c r="B33" s="132" t="str">
        <f>'2 - Serviços'!B33</f>
        <v>CÓRREGO CARRAPATO</v>
      </c>
      <c r="C33" s="132" t="str">
        <f>'2 - Serviços'!C33</f>
        <v>21°32'42.64''S</v>
      </c>
      <c r="D33" s="132" t="str">
        <f>'2 - Serviços'!D33</f>
        <v>55°00'59.87''W</v>
      </c>
      <c r="E33" s="132" t="str">
        <f>'2 - Serviços'!E33</f>
        <v>Simples</v>
      </c>
      <c r="F33" s="133">
        <f>'2 - Serviços'!F33</f>
        <v>4.4000000000000004</v>
      </c>
      <c r="G33" s="133">
        <f>'2 - Serviços'!G33</f>
        <v>18</v>
      </c>
      <c r="H33" s="133">
        <v>10</v>
      </c>
      <c r="I33" s="133">
        <v>1.6</v>
      </c>
      <c r="J33" s="123">
        <v>0.503</v>
      </c>
      <c r="K33" s="123">
        <v>0.80400000000000005</v>
      </c>
      <c r="L33" s="133">
        <v>1.6</v>
      </c>
      <c r="M33" s="123">
        <v>0.64</v>
      </c>
      <c r="N33" s="123">
        <v>1.024</v>
      </c>
      <c r="O33" s="133">
        <v>3</v>
      </c>
      <c r="P33" s="133">
        <v>14</v>
      </c>
    </row>
    <row r="34" spans="1:16" ht="12.95" customHeight="1" x14ac:dyDescent="0.2">
      <c r="A34" s="132">
        <f>'2 - Serviços'!A34</f>
        <v>25</v>
      </c>
      <c r="B34" s="132" t="str">
        <f>'2 - Serviços'!B34</f>
        <v>CÓRREGO BARRA MANSA</v>
      </c>
      <c r="C34" s="132" t="str">
        <f>'2 - Serviços'!C34</f>
        <v>21°45'26.00"S</v>
      </c>
      <c r="D34" s="132" t="str">
        <f>'2 - Serviços'!D34</f>
        <v>54°10'16.90"W</v>
      </c>
      <c r="E34" s="132" t="str">
        <f>'2 - Serviços'!E34</f>
        <v>Simples</v>
      </c>
      <c r="F34" s="133">
        <f>'2 - Serviços'!F34</f>
        <v>5</v>
      </c>
      <c r="G34" s="133">
        <f>'2 - Serviços'!G34</f>
        <v>5.6</v>
      </c>
      <c r="H34" s="133">
        <v>10</v>
      </c>
      <c r="I34" s="133">
        <v>1.6</v>
      </c>
      <c r="J34" s="123">
        <v>0.503</v>
      </c>
      <c r="K34" s="123">
        <v>0.80400000000000005</v>
      </c>
      <c r="L34" s="133">
        <v>1.6</v>
      </c>
      <c r="M34" s="123">
        <v>0.64</v>
      </c>
      <c r="N34" s="123">
        <v>1.024</v>
      </c>
      <c r="O34" s="133">
        <v>3</v>
      </c>
      <c r="P34" s="133">
        <v>5</v>
      </c>
    </row>
    <row r="35" spans="1:16" ht="12.95" customHeight="1" x14ac:dyDescent="0.2">
      <c r="A35" s="132">
        <f>'2 - Serviços'!A35</f>
        <v>26</v>
      </c>
      <c r="B35" s="132" t="str">
        <f>'2 - Serviços'!B35</f>
        <v>CÓRREGO PASSATEMPO 5</v>
      </c>
      <c r="C35" s="132" t="str">
        <f>'2 - Serviços'!C35</f>
        <v>21°29'57.99''S</v>
      </c>
      <c r="D35" s="132" t="str">
        <f>'2 - Serviços'!D35</f>
        <v>54°43'07.39''W</v>
      </c>
      <c r="E35" s="132" t="str">
        <f>'2 - Serviços'!E35</f>
        <v>Simples</v>
      </c>
      <c r="F35" s="133">
        <f>'2 - Serviços'!F35</f>
        <v>4.4000000000000004</v>
      </c>
      <c r="G35" s="133">
        <f>'2 - Serviços'!G35</f>
        <v>22.3</v>
      </c>
      <c r="H35" s="133">
        <v>10</v>
      </c>
      <c r="I35" s="133">
        <v>1.6</v>
      </c>
      <c r="J35" s="123">
        <v>0.503</v>
      </c>
      <c r="K35" s="123">
        <v>0.80400000000000005</v>
      </c>
      <c r="L35" s="133">
        <v>1.6</v>
      </c>
      <c r="M35" s="123">
        <v>0.64</v>
      </c>
      <c r="N35" s="123">
        <v>1.024</v>
      </c>
      <c r="O35" s="133">
        <v>3</v>
      </c>
      <c r="P35" s="133">
        <v>18</v>
      </c>
    </row>
    <row r="36" spans="1:16" ht="12.95" customHeight="1" x14ac:dyDescent="0.2">
      <c r="A36" s="132"/>
      <c r="B36" s="132"/>
      <c r="C36" s="132"/>
      <c r="D36" s="132"/>
      <c r="E36" s="123"/>
      <c r="F36" s="132"/>
      <c r="G36" s="133"/>
      <c r="H36" s="133"/>
      <c r="I36" s="133"/>
      <c r="J36" s="123"/>
      <c r="K36" s="136"/>
      <c r="L36" s="133"/>
      <c r="M36" s="123"/>
      <c r="N36" s="133"/>
      <c r="O36" s="133"/>
      <c r="P36" s="133"/>
    </row>
    <row r="37" spans="1:16" ht="12.95" customHeight="1" x14ac:dyDescent="0.2">
      <c r="A37" s="564" t="s">
        <v>185</v>
      </c>
      <c r="B37" s="564"/>
      <c r="C37" s="564"/>
      <c r="D37" s="564"/>
      <c r="E37" s="564"/>
      <c r="F37" s="564"/>
      <c r="G37" s="364">
        <f>TRUNC(SUM(G10:G36),3)</f>
        <v>335.7</v>
      </c>
      <c r="H37" s="6">
        <v>260</v>
      </c>
      <c r="I37" s="365"/>
      <c r="J37" s="365"/>
      <c r="K37" s="6">
        <v>20.904</v>
      </c>
      <c r="L37" s="365"/>
      <c r="M37" s="365"/>
      <c r="N37" s="6">
        <v>26.623999999999999</v>
      </c>
      <c r="O37" s="6">
        <v>78</v>
      </c>
      <c r="P37" s="6">
        <v>273</v>
      </c>
    </row>
    <row r="38" spans="1:16" ht="12.95" customHeight="1" x14ac:dyDescent="0.2">
      <c r="A38" s="323"/>
      <c r="B38" s="31"/>
      <c r="C38" s="31"/>
      <c r="D38" s="31"/>
      <c r="E38" s="31"/>
      <c r="F38" s="31"/>
      <c r="G38" s="31"/>
      <c r="H38" s="31"/>
      <c r="I38" s="31"/>
      <c r="J38" s="31"/>
      <c r="K38" s="31"/>
      <c r="L38" s="31"/>
      <c r="M38" s="31"/>
      <c r="N38" s="31"/>
      <c r="O38" s="31"/>
      <c r="P38" s="31"/>
    </row>
  </sheetData>
  <mergeCells count="7">
    <mergeCell ref="A6:P6"/>
    <mergeCell ref="A37:F37"/>
    <mergeCell ref="A7:P7"/>
    <mergeCell ref="A8:A9"/>
    <mergeCell ref="B8:G8"/>
    <mergeCell ref="I8:K8"/>
    <mergeCell ref="L8:N8"/>
  </mergeCells>
  <printOptions horizontalCentered="1"/>
  <pageMargins left="0.23622047244094491" right="0.23622047244094491" top="0.78740157480314965" bottom="1.3385826771653544" header="0.31496062992125984" footer="0.31496062992125984"/>
  <pageSetup paperSize="9" scale="77" fitToHeight="0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rgb="FF00B050"/>
    <pageSetUpPr fitToPage="1"/>
  </sheetPr>
  <dimension ref="A1:G96"/>
  <sheetViews>
    <sheetView view="pageBreakPreview" zoomScaleNormal="100" zoomScaleSheetLayoutView="100" workbookViewId="0">
      <selection activeCell="A55" sqref="A55:E55"/>
    </sheetView>
  </sheetViews>
  <sheetFormatPr defaultRowHeight="12" x14ac:dyDescent="0.2"/>
  <cols>
    <col min="1" max="1" width="8.140625" style="101" customWidth="1"/>
    <col min="2" max="2" width="14.5703125" style="101" customWidth="1"/>
    <col min="3" max="3" width="106.28515625" style="97" customWidth="1"/>
    <col min="4" max="4" width="16.28515625" style="97" customWidth="1"/>
    <col min="5" max="5" width="28.7109375" style="103" customWidth="1"/>
    <col min="6" max="6" width="11.5703125" style="97" customWidth="1"/>
    <col min="7" max="7" width="10.5703125" style="97" bestFit="1" customWidth="1"/>
    <col min="8" max="8" width="11.85546875" style="97" customWidth="1"/>
    <col min="9" max="236" width="9.140625" style="97"/>
    <col min="237" max="237" width="4.7109375" style="97" customWidth="1"/>
    <col min="238" max="238" width="12.140625" style="97" customWidth="1"/>
    <col min="239" max="239" width="47.5703125" style="97" customWidth="1"/>
    <col min="240" max="240" width="5.5703125" style="97" customWidth="1"/>
    <col min="241" max="241" width="9.7109375" style="97" customWidth="1"/>
    <col min="242" max="242" width="0" style="97" hidden="1" customWidth="1"/>
    <col min="243" max="244" width="9.7109375" style="97" customWidth="1"/>
    <col min="245" max="245" width="11.42578125" style="97" customWidth="1"/>
    <col min="246" max="246" width="9.7109375" style="97" customWidth="1"/>
    <col min="247" max="247" width="9.28515625" style="97" customWidth="1"/>
    <col min="248" max="249" width="10.85546875" style="97" customWidth="1"/>
    <col min="250" max="250" width="10.28515625" style="97" customWidth="1"/>
    <col min="251" max="251" width="11.42578125" style="97" customWidth="1"/>
    <col min="252" max="252" width="10.28515625" style="97" customWidth="1"/>
    <col min="253" max="253" width="9.5703125" style="97" bestFit="1" customWidth="1"/>
    <col min="254" max="255" width="0" style="97" hidden="1" customWidth="1"/>
    <col min="256" max="256" width="8.5703125" style="97" bestFit="1" customWidth="1"/>
    <col min="257" max="257" width="12.85546875" style="97" bestFit="1" customWidth="1"/>
    <col min="258" max="258" width="11" style="97" bestFit="1" customWidth="1"/>
    <col min="259" max="259" width="9" style="97" bestFit="1" customWidth="1"/>
    <col min="260" max="260" width="13.5703125" style="97" bestFit="1" customWidth="1"/>
    <col min="261" max="261" width="9.5703125" style="97" bestFit="1" customWidth="1"/>
    <col min="262" max="262" width="11.5703125" style="97" customWidth="1"/>
    <col min="263" max="263" width="9.140625" style="97"/>
    <col min="264" max="264" width="11.85546875" style="97" customWidth="1"/>
    <col min="265" max="492" width="9.140625" style="97"/>
    <col min="493" max="493" width="4.7109375" style="97" customWidth="1"/>
    <col min="494" max="494" width="12.140625" style="97" customWidth="1"/>
    <col min="495" max="495" width="47.5703125" style="97" customWidth="1"/>
    <col min="496" max="496" width="5.5703125" style="97" customWidth="1"/>
    <col min="497" max="497" width="9.7109375" style="97" customWidth="1"/>
    <col min="498" max="498" width="0" style="97" hidden="1" customWidth="1"/>
    <col min="499" max="500" width="9.7109375" style="97" customWidth="1"/>
    <col min="501" max="501" width="11.42578125" style="97" customWidth="1"/>
    <col min="502" max="502" width="9.7109375" style="97" customWidth="1"/>
    <col min="503" max="503" width="9.28515625" style="97" customWidth="1"/>
    <col min="504" max="505" width="10.85546875" style="97" customWidth="1"/>
    <col min="506" max="506" width="10.28515625" style="97" customWidth="1"/>
    <col min="507" max="507" width="11.42578125" style="97" customWidth="1"/>
    <col min="508" max="508" width="10.28515625" style="97" customWidth="1"/>
    <col min="509" max="509" width="9.5703125" style="97" bestFit="1" customWidth="1"/>
    <col min="510" max="511" width="0" style="97" hidden="1" customWidth="1"/>
    <col min="512" max="512" width="8.5703125" style="97" bestFit="1" customWidth="1"/>
    <col min="513" max="513" width="12.85546875" style="97" bestFit="1" customWidth="1"/>
    <col min="514" max="514" width="11" style="97" bestFit="1" customWidth="1"/>
    <col min="515" max="515" width="9" style="97" bestFit="1" customWidth="1"/>
    <col min="516" max="516" width="13.5703125" style="97" bestFit="1" customWidth="1"/>
    <col min="517" max="517" width="9.5703125" style="97" bestFit="1" customWidth="1"/>
    <col min="518" max="518" width="11.5703125" style="97" customWidth="1"/>
    <col min="519" max="519" width="9.140625" style="97"/>
    <col min="520" max="520" width="11.85546875" style="97" customWidth="1"/>
    <col min="521" max="748" width="9.140625" style="97"/>
    <col min="749" max="749" width="4.7109375" style="97" customWidth="1"/>
    <col min="750" max="750" width="12.140625" style="97" customWidth="1"/>
    <col min="751" max="751" width="47.5703125" style="97" customWidth="1"/>
    <col min="752" max="752" width="5.5703125" style="97" customWidth="1"/>
    <col min="753" max="753" width="9.7109375" style="97" customWidth="1"/>
    <col min="754" max="754" width="0" style="97" hidden="1" customWidth="1"/>
    <col min="755" max="756" width="9.7109375" style="97" customWidth="1"/>
    <col min="757" max="757" width="11.42578125" style="97" customWidth="1"/>
    <col min="758" max="758" width="9.7109375" style="97" customWidth="1"/>
    <col min="759" max="759" width="9.28515625" style="97" customWidth="1"/>
    <col min="760" max="761" width="10.85546875" style="97" customWidth="1"/>
    <col min="762" max="762" width="10.28515625" style="97" customWidth="1"/>
    <col min="763" max="763" width="11.42578125" style="97" customWidth="1"/>
    <col min="764" max="764" width="10.28515625" style="97" customWidth="1"/>
    <col min="765" max="765" width="9.5703125" style="97" bestFit="1" customWidth="1"/>
    <col min="766" max="767" width="0" style="97" hidden="1" customWidth="1"/>
    <col min="768" max="768" width="8.5703125" style="97" bestFit="1" customWidth="1"/>
    <col min="769" max="769" width="12.85546875" style="97" bestFit="1" customWidth="1"/>
    <col min="770" max="770" width="11" style="97" bestFit="1" customWidth="1"/>
    <col min="771" max="771" width="9" style="97" bestFit="1" customWidth="1"/>
    <col min="772" max="772" width="13.5703125" style="97" bestFit="1" customWidth="1"/>
    <col min="773" max="773" width="9.5703125" style="97" bestFit="1" customWidth="1"/>
    <col min="774" max="774" width="11.5703125" style="97" customWidth="1"/>
    <col min="775" max="775" width="9.140625" style="97"/>
    <col min="776" max="776" width="11.85546875" style="97" customWidth="1"/>
    <col min="777" max="1004" width="9.140625" style="97"/>
    <col min="1005" max="1005" width="4.7109375" style="97" customWidth="1"/>
    <col min="1006" max="1006" width="12.140625" style="97" customWidth="1"/>
    <col min="1007" max="1007" width="47.5703125" style="97" customWidth="1"/>
    <col min="1008" max="1008" width="5.5703125" style="97" customWidth="1"/>
    <col min="1009" max="1009" width="9.7109375" style="97" customWidth="1"/>
    <col min="1010" max="1010" width="0" style="97" hidden="1" customWidth="1"/>
    <col min="1011" max="1012" width="9.7109375" style="97" customWidth="1"/>
    <col min="1013" max="1013" width="11.42578125" style="97" customWidth="1"/>
    <col min="1014" max="1014" width="9.7109375" style="97" customWidth="1"/>
    <col min="1015" max="1015" width="9.28515625" style="97" customWidth="1"/>
    <col min="1016" max="1017" width="10.85546875" style="97" customWidth="1"/>
    <col min="1018" max="1018" width="10.28515625" style="97" customWidth="1"/>
    <col min="1019" max="1019" width="11.42578125" style="97" customWidth="1"/>
    <col min="1020" max="1020" width="10.28515625" style="97" customWidth="1"/>
    <col min="1021" max="1021" width="9.5703125" style="97" bestFit="1" customWidth="1"/>
    <col min="1022" max="1023" width="0" style="97" hidden="1" customWidth="1"/>
    <col min="1024" max="1024" width="8.5703125" style="97" bestFit="1" customWidth="1"/>
    <col min="1025" max="1025" width="12.85546875" style="97" bestFit="1" customWidth="1"/>
    <col min="1026" max="1026" width="11" style="97" bestFit="1" customWidth="1"/>
    <col min="1027" max="1027" width="9" style="97" bestFit="1" customWidth="1"/>
    <col min="1028" max="1028" width="13.5703125" style="97" bestFit="1" customWidth="1"/>
    <col min="1029" max="1029" width="9.5703125" style="97" bestFit="1" customWidth="1"/>
    <col min="1030" max="1030" width="11.5703125" style="97" customWidth="1"/>
    <col min="1031" max="1031" width="9.140625" style="97"/>
    <col min="1032" max="1032" width="11.85546875" style="97" customWidth="1"/>
    <col min="1033" max="1260" width="9.140625" style="97"/>
    <col min="1261" max="1261" width="4.7109375" style="97" customWidth="1"/>
    <col min="1262" max="1262" width="12.140625" style="97" customWidth="1"/>
    <col min="1263" max="1263" width="47.5703125" style="97" customWidth="1"/>
    <col min="1264" max="1264" width="5.5703125" style="97" customWidth="1"/>
    <col min="1265" max="1265" width="9.7109375" style="97" customWidth="1"/>
    <col min="1266" max="1266" width="0" style="97" hidden="1" customWidth="1"/>
    <col min="1267" max="1268" width="9.7109375" style="97" customWidth="1"/>
    <col min="1269" max="1269" width="11.42578125" style="97" customWidth="1"/>
    <col min="1270" max="1270" width="9.7109375" style="97" customWidth="1"/>
    <col min="1271" max="1271" width="9.28515625" style="97" customWidth="1"/>
    <col min="1272" max="1273" width="10.85546875" style="97" customWidth="1"/>
    <col min="1274" max="1274" width="10.28515625" style="97" customWidth="1"/>
    <col min="1275" max="1275" width="11.42578125" style="97" customWidth="1"/>
    <col min="1276" max="1276" width="10.28515625" style="97" customWidth="1"/>
    <col min="1277" max="1277" width="9.5703125" style="97" bestFit="1" customWidth="1"/>
    <col min="1278" max="1279" width="0" style="97" hidden="1" customWidth="1"/>
    <col min="1280" max="1280" width="8.5703125" style="97" bestFit="1" customWidth="1"/>
    <col min="1281" max="1281" width="12.85546875" style="97" bestFit="1" customWidth="1"/>
    <col min="1282" max="1282" width="11" style="97" bestFit="1" customWidth="1"/>
    <col min="1283" max="1283" width="9" style="97" bestFit="1" customWidth="1"/>
    <col min="1284" max="1284" width="13.5703125" style="97" bestFit="1" customWidth="1"/>
    <col min="1285" max="1285" width="9.5703125" style="97" bestFit="1" customWidth="1"/>
    <col min="1286" max="1286" width="11.5703125" style="97" customWidth="1"/>
    <col min="1287" max="1287" width="9.140625" style="97"/>
    <col min="1288" max="1288" width="11.85546875" style="97" customWidth="1"/>
    <col min="1289" max="1516" width="9.140625" style="97"/>
    <col min="1517" max="1517" width="4.7109375" style="97" customWidth="1"/>
    <col min="1518" max="1518" width="12.140625" style="97" customWidth="1"/>
    <col min="1519" max="1519" width="47.5703125" style="97" customWidth="1"/>
    <col min="1520" max="1520" width="5.5703125" style="97" customWidth="1"/>
    <col min="1521" max="1521" width="9.7109375" style="97" customWidth="1"/>
    <col min="1522" max="1522" width="0" style="97" hidden="1" customWidth="1"/>
    <col min="1523" max="1524" width="9.7109375" style="97" customWidth="1"/>
    <col min="1525" max="1525" width="11.42578125" style="97" customWidth="1"/>
    <col min="1526" max="1526" width="9.7109375" style="97" customWidth="1"/>
    <col min="1527" max="1527" width="9.28515625" style="97" customWidth="1"/>
    <col min="1528" max="1529" width="10.85546875" style="97" customWidth="1"/>
    <col min="1530" max="1530" width="10.28515625" style="97" customWidth="1"/>
    <col min="1531" max="1531" width="11.42578125" style="97" customWidth="1"/>
    <col min="1532" max="1532" width="10.28515625" style="97" customWidth="1"/>
    <col min="1533" max="1533" width="9.5703125" style="97" bestFit="1" customWidth="1"/>
    <col min="1534" max="1535" width="0" style="97" hidden="1" customWidth="1"/>
    <col min="1536" max="1536" width="8.5703125" style="97" bestFit="1" customWidth="1"/>
    <col min="1537" max="1537" width="12.85546875" style="97" bestFit="1" customWidth="1"/>
    <col min="1538" max="1538" width="11" style="97" bestFit="1" customWidth="1"/>
    <col min="1539" max="1539" width="9" style="97" bestFit="1" customWidth="1"/>
    <col min="1540" max="1540" width="13.5703125" style="97" bestFit="1" customWidth="1"/>
    <col min="1541" max="1541" width="9.5703125" style="97" bestFit="1" customWidth="1"/>
    <col min="1542" max="1542" width="11.5703125" style="97" customWidth="1"/>
    <col min="1543" max="1543" width="9.140625" style="97"/>
    <col min="1544" max="1544" width="11.85546875" style="97" customWidth="1"/>
    <col min="1545" max="1772" width="9.140625" style="97"/>
    <col min="1773" max="1773" width="4.7109375" style="97" customWidth="1"/>
    <col min="1774" max="1774" width="12.140625" style="97" customWidth="1"/>
    <col min="1775" max="1775" width="47.5703125" style="97" customWidth="1"/>
    <col min="1776" max="1776" width="5.5703125" style="97" customWidth="1"/>
    <col min="1777" max="1777" width="9.7109375" style="97" customWidth="1"/>
    <col min="1778" max="1778" width="0" style="97" hidden="1" customWidth="1"/>
    <col min="1779" max="1780" width="9.7109375" style="97" customWidth="1"/>
    <col min="1781" max="1781" width="11.42578125" style="97" customWidth="1"/>
    <col min="1782" max="1782" width="9.7109375" style="97" customWidth="1"/>
    <col min="1783" max="1783" width="9.28515625" style="97" customWidth="1"/>
    <col min="1784" max="1785" width="10.85546875" style="97" customWidth="1"/>
    <col min="1786" max="1786" width="10.28515625" style="97" customWidth="1"/>
    <col min="1787" max="1787" width="11.42578125" style="97" customWidth="1"/>
    <col min="1788" max="1788" width="10.28515625" style="97" customWidth="1"/>
    <col min="1789" max="1789" width="9.5703125" style="97" bestFit="1" customWidth="1"/>
    <col min="1790" max="1791" width="0" style="97" hidden="1" customWidth="1"/>
    <col min="1792" max="1792" width="8.5703125" style="97" bestFit="1" customWidth="1"/>
    <col min="1793" max="1793" width="12.85546875" style="97" bestFit="1" customWidth="1"/>
    <col min="1794" max="1794" width="11" style="97" bestFit="1" customWidth="1"/>
    <col min="1795" max="1795" width="9" style="97" bestFit="1" customWidth="1"/>
    <col min="1796" max="1796" width="13.5703125" style="97" bestFit="1" customWidth="1"/>
    <col min="1797" max="1797" width="9.5703125" style="97" bestFit="1" customWidth="1"/>
    <col min="1798" max="1798" width="11.5703125" style="97" customWidth="1"/>
    <col min="1799" max="1799" width="9.140625" style="97"/>
    <col min="1800" max="1800" width="11.85546875" style="97" customWidth="1"/>
    <col min="1801" max="2028" width="9.140625" style="97"/>
    <col min="2029" max="2029" width="4.7109375" style="97" customWidth="1"/>
    <col min="2030" max="2030" width="12.140625" style="97" customWidth="1"/>
    <col min="2031" max="2031" width="47.5703125" style="97" customWidth="1"/>
    <col min="2032" max="2032" width="5.5703125" style="97" customWidth="1"/>
    <col min="2033" max="2033" width="9.7109375" style="97" customWidth="1"/>
    <col min="2034" max="2034" width="0" style="97" hidden="1" customWidth="1"/>
    <col min="2035" max="2036" width="9.7109375" style="97" customWidth="1"/>
    <col min="2037" max="2037" width="11.42578125" style="97" customWidth="1"/>
    <col min="2038" max="2038" width="9.7109375" style="97" customWidth="1"/>
    <col min="2039" max="2039" width="9.28515625" style="97" customWidth="1"/>
    <col min="2040" max="2041" width="10.85546875" style="97" customWidth="1"/>
    <col min="2042" max="2042" width="10.28515625" style="97" customWidth="1"/>
    <col min="2043" max="2043" width="11.42578125" style="97" customWidth="1"/>
    <col min="2044" max="2044" width="10.28515625" style="97" customWidth="1"/>
    <col min="2045" max="2045" width="9.5703125" style="97" bestFit="1" customWidth="1"/>
    <col min="2046" max="2047" width="0" style="97" hidden="1" customWidth="1"/>
    <col min="2048" max="2048" width="8.5703125" style="97" bestFit="1" customWidth="1"/>
    <col min="2049" max="2049" width="12.85546875" style="97" bestFit="1" customWidth="1"/>
    <col min="2050" max="2050" width="11" style="97" bestFit="1" customWidth="1"/>
    <col min="2051" max="2051" width="9" style="97" bestFit="1" customWidth="1"/>
    <col min="2052" max="2052" width="13.5703125" style="97" bestFit="1" customWidth="1"/>
    <col min="2053" max="2053" width="9.5703125" style="97" bestFit="1" customWidth="1"/>
    <col min="2054" max="2054" width="11.5703125" style="97" customWidth="1"/>
    <col min="2055" max="2055" width="9.140625" style="97"/>
    <col min="2056" max="2056" width="11.85546875" style="97" customWidth="1"/>
    <col min="2057" max="2284" width="9.140625" style="97"/>
    <col min="2285" max="2285" width="4.7109375" style="97" customWidth="1"/>
    <col min="2286" max="2286" width="12.140625" style="97" customWidth="1"/>
    <col min="2287" max="2287" width="47.5703125" style="97" customWidth="1"/>
    <col min="2288" max="2288" width="5.5703125" style="97" customWidth="1"/>
    <col min="2289" max="2289" width="9.7109375" style="97" customWidth="1"/>
    <col min="2290" max="2290" width="0" style="97" hidden="1" customWidth="1"/>
    <col min="2291" max="2292" width="9.7109375" style="97" customWidth="1"/>
    <col min="2293" max="2293" width="11.42578125" style="97" customWidth="1"/>
    <col min="2294" max="2294" width="9.7109375" style="97" customWidth="1"/>
    <col min="2295" max="2295" width="9.28515625" style="97" customWidth="1"/>
    <col min="2296" max="2297" width="10.85546875" style="97" customWidth="1"/>
    <col min="2298" max="2298" width="10.28515625" style="97" customWidth="1"/>
    <col min="2299" max="2299" width="11.42578125" style="97" customWidth="1"/>
    <col min="2300" max="2300" width="10.28515625" style="97" customWidth="1"/>
    <col min="2301" max="2301" width="9.5703125" style="97" bestFit="1" customWidth="1"/>
    <col min="2302" max="2303" width="0" style="97" hidden="1" customWidth="1"/>
    <col min="2304" max="2304" width="8.5703125" style="97" bestFit="1" customWidth="1"/>
    <col min="2305" max="2305" width="12.85546875" style="97" bestFit="1" customWidth="1"/>
    <col min="2306" max="2306" width="11" style="97" bestFit="1" customWidth="1"/>
    <col min="2307" max="2307" width="9" style="97" bestFit="1" customWidth="1"/>
    <col min="2308" max="2308" width="13.5703125" style="97" bestFit="1" customWidth="1"/>
    <col min="2309" max="2309" width="9.5703125" style="97" bestFit="1" customWidth="1"/>
    <col min="2310" max="2310" width="11.5703125" style="97" customWidth="1"/>
    <col min="2311" max="2311" width="9.140625" style="97"/>
    <col min="2312" max="2312" width="11.85546875" style="97" customWidth="1"/>
    <col min="2313" max="2540" width="9.140625" style="97"/>
    <col min="2541" max="2541" width="4.7109375" style="97" customWidth="1"/>
    <col min="2542" max="2542" width="12.140625" style="97" customWidth="1"/>
    <col min="2543" max="2543" width="47.5703125" style="97" customWidth="1"/>
    <col min="2544" max="2544" width="5.5703125" style="97" customWidth="1"/>
    <col min="2545" max="2545" width="9.7109375" style="97" customWidth="1"/>
    <col min="2546" max="2546" width="0" style="97" hidden="1" customWidth="1"/>
    <col min="2547" max="2548" width="9.7109375" style="97" customWidth="1"/>
    <col min="2549" max="2549" width="11.42578125" style="97" customWidth="1"/>
    <col min="2550" max="2550" width="9.7109375" style="97" customWidth="1"/>
    <col min="2551" max="2551" width="9.28515625" style="97" customWidth="1"/>
    <col min="2552" max="2553" width="10.85546875" style="97" customWidth="1"/>
    <col min="2554" max="2554" width="10.28515625" style="97" customWidth="1"/>
    <col min="2555" max="2555" width="11.42578125" style="97" customWidth="1"/>
    <col min="2556" max="2556" width="10.28515625" style="97" customWidth="1"/>
    <col min="2557" max="2557" width="9.5703125" style="97" bestFit="1" customWidth="1"/>
    <col min="2558" max="2559" width="0" style="97" hidden="1" customWidth="1"/>
    <col min="2560" max="2560" width="8.5703125" style="97" bestFit="1" customWidth="1"/>
    <col min="2561" max="2561" width="12.85546875" style="97" bestFit="1" customWidth="1"/>
    <col min="2562" max="2562" width="11" style="97" bestFit="1" customWidth="1"/>
    <col min="2563" max="2563" width="9" style="97" bestFit="1" customWidth="1"/>
    <col min="2564" max="2564" width="13.5703125" style="97" bestFit="1" customWidth="1"/>
    <col min="2565" max="2565" width="9.5703125" style="97" bestFit="1" customWidth="1"/>
    <col min="2566" max="2566" width="11.5703125" style="97" customWidth="1"/>
    <col min="2567" max="2567" width="9.140625" style="97"/>
    <col min="2568" max="2568" width="11.85546875" style="97" customWidth="1"/>
    <col min="2569" max="2796" width="9.140625" style="97"/>
    <col min="2797" max="2797" width="4.7109375" style="97" customWidth="1"/>
    <col min="2798" max="2798" width="12.140625" style="97" customWidth="1"/>
    <col min="2799" max="2799" width="47.5703125" style="97" customWidth="1"/>
    <col min="2800" max="2800" width="5.5703125" style="97" customWidth="1"/>
    <col min="2801" max="2801" width="9.7109375" style="97" customWidth="1"/>
    <col min="2802" max="2802" width="0" style="97" hidden="1" customWidth="1"/>
    <col min="2803" max="2804" width="9.7109375" style="97" customWidth="1"/>
    <col min="2805" max="2805" width="11.42578125" style="97" customWidth="1"/>
    <col min="2806" max="2806" width="9.7109375" style="97" customWidth="1"/>
    <col min="2807" max="2807" width="9.28515625" style="97" customWidth="1"/>
    <col min="2808" max="2809" width="10.85546875" style="97" customWidth="1"/>
    <col min="2810" max="2810" width="10.28515625" style="97" customWidth="1"/>
    <col min="2811" max="2811" width="11.42578125" style="97" customWidth="1"/>
    <col min="2812" max="2812" width="10.28515625" style="97" customWidth="1"/>
    <col min="2813" max="2813" width="9.5703125" style="97" bestFit="1" customWidth="1"/>
    <col min="2814" max="2815" width="0" style="97" hidden="1" customWidth="1"/>
    <col min="2816" max="2816" width="8.5703125" style="97" bestFit="1" customWidth="1"/>
    <col min="2817" max="2817" width="12.85546875" style="97" bestFit="1" customWidth="1"/>
    <col min="2818" max="2818" width="11" style="97" bestFit="1" customWidth="1"/>
    <col min="2819" max="2819" width="9" style="97" bestFit="1" customWidth="1"/>
    <col min="2820" max="2820" width="13.5703125" style="97" bestFit="1" customWidth="1"/>
    <col min="2821" max="2821" width="9.5703125" style="97" bestFit="1" customWidth="1"/>
    <col min="2822" max="2822" width="11.5703125" style="97" customWidth="1"/>
    <col min="2823" max="2823" width="9.140625" style="97"/>
    <col min="2824" max="2824" width="11.85546875" style="97" customWidth="1"/>
    <col min="2825" max="3052" width="9.140625" style="97"/>
    <col min="3053" max="3053" width="4.7109375" style="97" customWidth="1"/>
    <col min="3054" max="3054" width="12.140625" style="97" customWidth="1"/>
    <col min="3055" max="3055" width="47.5703125" style="97" customWidth="1"/>
    <col min="3056" max="3056" width="5.5703125" style="97" customWidth="1"/>
    <col min="3057" max="3057" width="9.7109375" style="97" customWidth="1"/>
    <col min="3058" max="3058" width="0" style="97" hidden="1" customWidth="1"/>
    <col min="3059" max="3060" width="9.7109375" style="97" customWidth="1"/>
    <col min="3061" max="3061" width="11.42578125" style="97" customWidth="1"/>
    <col min="3062" max="3062" width="9.7109375" style="97" customWidth="1"/>
    <col min="3063" max="3063" width="9.28515625" style="97" customWidth="1"/>
    <col min="3064" max="3065" width="10.85546875" style="97" customWidth="1"/>
    <col min="3066" max="3066" width="10.28515625" style="97" customWidth="1"/>
    <col min="3067" max="3067" width="11.42578125" style="97" customWidth="1"/>
    <col min="3068" max="3068" width="10.28515625" style="97" customWidth="1"/>
    <col min="3069" max="3069" width="9.5703125" style="97" bestFit="1" customWidth="1"/>
    <col min="3070" max="3071" width="0" style="97" hidden="1" customWidth="1"/>
    <col min="3072" max="3072" width="8.5703125" style="97" bestFit="1" customWidth="1"/>
    <col min="3073" max="3073" width="12.85546875" style="97" bestFit="1" customWidth="1"/>
    <col min="3074" max="3074" width="11" style="97" bestFit="1" customWidth="1"/>
    <col min="3075" max="3075" width="9" style="97" bestFit="1" customWidth="1"/>
    <col min="3076" max="3076" width="13.5703125" style="97" bestFit="1" customWidth="1"/>
    <col min="3077" max="3077" width="9.5703125" style="97" bestFit="1" customWidth="1"/>
    <col min="3078" max="3078" width="11.5703125" style="97" customWidth="1"/>
    <col min="3079" max="3079" width="9.140625" style="97"/>
    <col min="3080" max="3080" width="11.85546875" style="97" customWidth="1"/>
    <col min="3081" max="3308" width="9.140625" style="97"/>
    <col min="3309" max="3309" width="4.7109375" style="97" customWidth="1"/>
    <col min="3310" max="3310" width="12.140625" style="97" customWidth="1"/>
    <col min="3311" max="3311" width="47.5703125" style="97" customWidth="1"/>
    <col min="3312" max="3312" width="5.5703125" style="97" customWidth="1"/>
    <col min="3313" max="3313" width="9.7109375" style="97" customWidth="1"/>
    <col min="3314" max="3314" width="0" style="97" hidden="1" customWidth="1"/>
    <col min="3315" max="3316" width="9.7109375" style="97" customWidth="1"/>
    <col min="3317" max="3317" width="11.42578125" style="97" customWidth="1"/>
    <col min="3318" max="3318" width="9.7109375" style="97" customWidth="1"/>
    <col min="3319" max="3319" width="9.28515625" style="97" customWidth="1"/>
    <col min="3320" max="3321" width="10.85546875" style="97" customWidth="1"/>
    <col min="3322" max="3322" width="10.28515625" style="97" customWidth="1"/>
    <col min="3323" max="3323" width="11.42578125" style="97" customWidth="1"/>
    <col min="3324" max="3324" width="10.28515625" style="97" customWidth="1"/>
    <col min="3325" max="3325" width="9.5703125" style="97" bestFit="1" customWidth="1"/>
    <col min="3326" max="3327" width="0" style="97" hidden="1" customWidth="1"/>
    <col min="3328" max="3328" width="8.5703125" style="97" bestFit="1" customWidth="1"/>
    <col min="3329" max="3329" width="12.85546875" style="97" bestFit="1" customWidth="1"/>
    <col min="3330" max="3330" width="11" style="97" bestFit="1" customWidth="1"/>
    <col min="3331" max="3331" width="9" style="97" bestFit="1" customWidth="1"/>
    <col min="3332" max="3332" width="13.5703125" style="97" bestFit="1" customWidth="1"/>
    <col min="3333" max="3333" width="9.5703125" style="97" bestFit="1" customWidth="1"/>
    <col min="3334" max="3334" width="11.5703125" style="97" customWidth="1"/>
    <col min="3335" max="3335" width="9.140625" style="97"/>
    <col min="3336" max="3336" width="11.85546875" style="97" customWidth="1"/>
    <col min="3337" max="3564" width="9.140625" style="97"/>
    <col min="3565" max="3565" width="4.7109375" style="97" customWidth="1"/>
    <col min="3566" max="3566" width="12.140625" style="97" customWidth="1"/>
    <col min="3567" max="3567" width="47.5703125" style="97" customWidth="1"/>
    <col min="3568" max="3568" width="5.5703125" style="97" customWidth="1"/>
    <col min="3569" max="3569" width="9.7109375" style="97" customWidth="1"/>
    <col min="3570" max="3570" width="0" style="97" hidden="1" customWidth="1"/>
    <col min="3571" max="3572" width="9.7109375" style="97" customWidth="1"/>
    <col min="3573" max="3573" width="11.42578125" style="97" customWidth="1"/>
    <col min="3574" max="3574" width="9.7109375" style="97" customWidth="1"/>
    <col min="3575" max="3575" width="9.28515625" style="97" customWidth="1"/>
    <col min="3576" max="3577" width="10.85546875" style="97" customWidth="1"/>
    <col min="3578" max="3578" width="10.28515625" style="97" customWidth="1"/>
    <col min="3579" max="3579" width="11.42578125" style="97" customWidth="1"/>
    <col min="3580" max="3580" width="10.28515625" style="97" customWidth="1"/>
    <col min="3581" max="3581" width="9.5703125" style="97" bestFit="1" customWidth="1"/>
    <col min="3582" max="3583" width="0" style="97" hidden="1" customWidth="1"/>
    <col min="3584" max="3584" width="8.5703125" style="97" bestFit="1" customWidth="1"/>
    <col min="3585" max="3585" width="12.85546875" style="97" bestFit="1" customWidth="1"/>
    <col min="3586" max="3586" width="11" style="97" bestFit="1" customWidth="1"/>
    <col min="3587" max="3587" width="9" style="97" bestFit="1" customWidth="1"/>
    <col min="3588" max="3588" width="13.5703125" style="97" bestFit="1" customWidth="1"/>
    <col min="3589" max="3589" width="9.5703125" style="97" bestFit="1" customWidth="1"/>
    <col min="3590" max="3590" width="11.5703125" style="97" customWidth="1"/>
    <col min="3591" max="3591" width="9.140625" style="97"/>
    <col min="3592" max="3592" width="11.85546875" style="97" customWidth="1"/>
    <col min="3593" max="3820" width="9.140625" style="97"/>
    <col min="3821" max="3821" width="4.7109375" style="97" customWidth="1"/>
    <col min="3822" max="3822" width="12.140625" style="97" customWidth="1"/>
    <col min="3823" max="3823" width="47.5703125" style="97" customWidth="1"/>
    <col min="3824" max="3824" width="5.5703125" style="97" customWidth="1"/>
    <col min="3825" max="3825" width="9.7109375" style="97" customWidth="1"/>
    <col min="3826" max="3826" width="0" style="97" hidden="1" customWidth="1"/>
    <col min="3827" max="3828" width="9.7109375" style="97" customWidth="1"/>
    <col min="3829" max="3829" width="11.42578125" style="97" customWidth="1"/>
    <col min="3830" max="3830" width="9.7109375" style="97" customWidth="1"/>
    <col min="3831" max="3831" width="9.28515625" style="97" customWidth="1"/>
    <col min="3832" max="3833" width="10.85546875" style="97" customWidth="1"/>
    <col min="3834" max="3834" width="10.28515625" style="97" customWidth="1"/>
    <col min="3835" max="3835" width="11.42578125" style="97" customWidth="1"/>
    <col min="3836" max="3836" width="10.28515625" style="97" customWidth="1"/>
    <col min="3837" max="3837" width="9.5703125" style="97" bestFit="1" customWidth="1"/>
    <col min="3838" max="3839" width="0" style="97" hidden="1" customWidth="1"/>
    <col min="3840" max="3840" width="8.5703125" style="97" bestFit="1" customWidth="1"/>
    <col min="3841" max="3841" width="12.85546875" style="97" bestFit="1" customWidth="1"/>
    <col min="3842" max="3842" width="11" style="97" bestFit="1" customWidth="1"/>
    <col min="3843" max="3843" width="9" style="97" bestFit="1" customWidth="1"/>
    <col min="3844" max="3844" width="13.5703125" style="97" bestFit="1" customWidth="1"/>
    <col min="3845" max="3845" width="9.5703125" style="97" bestFit="1" customWidth="1"/>
    <col min="3846" max="3846" width="11.5703125" style="97" customWidth="1"/>
    <col min="3847" max="3847" width="9.140625" style="97"/>
    <col min="3848" max="3848" width="11.85546875" style="97" customWidth="1"/>
    <col min="3849" max="4076" width="9.140625" style="97"/>
    <col min="4077" max="4077" width="4.7109375" style="97" customWidth="1"/>
    <col min="4078" max="4078" width="12.140625" style="97" customWidth="1"/>
    <col min="4079" max="4079" width="47.5703125" style="97" customWidth="1"/>
    <col min="4080" max="4080" width="5.5703125" style="97" customWidth="1"/>
    <col min="4081" max="4081" width="9.7109375" style="97" customWidth="1"/>
    <col min="4082" max="4082" width="0" style="97" hidden="1" customWidth="1"/>
    <col min="4083" max="4084" width="9.7109375" style="97" customWidth="1"/>
    <col min="4085" max="4085" width="11.42578125" style="97" customWidth="1"/>
    <col min="4086" max="4086" width="9.7109375" style="97" customWidth="1"/>
    <col min="4087" max="4087" width="9.28515625" style="97" customWidth="1"/>
    <col min="4088" max="4089" width="10.85546875" style="97" customWidth="1"/>
    <col min="4090" max="4090" width="10.28515625" style="97" customWidth="1"/>
    <col min="4091" max="4091" width="11.42578125" style="97" customWidth="1"/>
    <col min="4092" max="4092" width="10.28515625" style="97" customWidth="1"/>
    <col min="4093" max="4093" width="9.5703125" style="97" bestFit="1" customWidth="1"/>
    <col min="4094" max="4095" width="0" style="97" hidden="1" customWidth="1"/>
    <col min="4096" max="4096" width="8.5703125" style="97" bestFit="1" customWidth="1"/>
    <col min="4097" max="4097" width="12.85546875" style="97" bestFit="1" customWidth="1"/>
    <col min="4098" max="4098" width="11" style="97" bestFit="1" customWidth="1"/>
    <col min="4099" max="4099" width="9" style="97" bestFit="1" customWidth="1"/>
    <col min="4100" max="4100" width="13.5703125" style="97" bestFit="1" customWidth="1"/>
    <col min="4101" max="4101" width="9.5703125" style="97" bestFit="1" customWidth="1"/>
    <col min="4102" max="4102" width="11.5703125" style="97" customWidth="1"/>
    <col min="4103" max="4103" width="9.140625" style="97"/>
    <col min="4104" max="4104" width="11.85546875" style="97" customWidth="1"/>
    <col min="4105" max="4332" width="9.140625" style="97"/>
    <col min="4333" max="4333" width="4.7109375" style="97" customWidth="1"/>
    <col min="4334" max="4334" width="12.140625" style="97" customWidth="1"/>
    <col min="4335" max="4335" width="47.5703125" style="97" customWidth="1"/>
    <col min="4336" max="4336" width="5.5703125" style="97" customWidth="1"/>
    <col min="4337" max="4337" width="9.7109375" style="97" customWidth="1"/>
    <col min="4338" max="4338" width="0" style="97" hidden="1" customWidth="1"/>
    <col min="4339" max="4340" width="9.7109375" style="97" customWidth="1"/>
    <col min="4341" max="4341" width="11.42578125" style="97" customWidth="1"/>
    <col min="4342" max="4342" width="9.7109375" style="97" customWidth="1"/>
    <col min="4343" max="4343" width="9.28515625" style="97" customWidth="1"/>
    <col min="4344" max="4345" width="10.85546875" style="97" customWidth="1"/>
    <col min="4346" max="4346" width="10.28515625" style="97" customWidth="1"/>
    <col min="4347" max="4347" width="11.42578125" style="97" customWidth="1"/>
    <col min="4348" max="4348" width="10.28515625" style="97" customWidth="1"/>
    <col min="4349" max="4349" width="9.5703125" style="97" bestFit="1" customWidth="1"/>
    <col min="4350" max="4351" width="0" style="97" hidden="1" customWidth="1"/>
    <col min="4352" max="4352" width="8.5703125" style="97" bestFit="1" customWidth="1"/>
    <col min="4353" max="4353" width="12.85546875" style="97" bestFit="1" customWidth="1"/>
    <col min="4354" max="4354" width="11" style="97" bestFit="1" customWidth="1"/>
    <col min="4355" max="4355" width="9" style="97" bestFit="1" customWidth="1"/>
    <col min="4356" max="4356" width="13.5703125" style="97" bestFit="1" customWidth="1"/>
    <col min="4357" max="4357" width="9.5703125" style="97" bestFit="1" customWidth="1"/>
    <col min="4358" max="4358" width="11.5703125" style="97" customWidth="1"/>
    <col min="4359" max="4359" width="9.140625" style="97"/>
    <col min="4360" max="4360" width="11.85546875" style="97" customWidth="1"/>
    <col min="4361" max="4588" width="9.140625" style="97"/>
    <col min="4589" max="4589" width="4.7109375" style="97" customWidth="1"/>
    <col min="4590" max="4590" width="12.140625" style="97" customWidth="1"/>
    <col min="4591" max="4591" width="47.5703125" style="97" customWidth="1"/>
    <col min="4592" max="4592" width="5.5703125" style="97" customWidth="1"/>
    <col min="4593" max="4593" width="9.7109375" style="97" customWidth="1"/>
    <col min="4594" max="4594" width="0" style="97" hidden="1" customWidth="1"/>
    <col min="4595" max="4596" width="9.7109375" style="97" customWidth="1"/>
    <col min="4597" max="4597" width="11.42578125" style="97" customWidth="1"/>
    <col min="4598" max="4598" width="9.7109375" style="97" customWidth="1"/>
    <col min="4599" max="4599" width="9.28515625" style="97" customWidth="1"/>
    <col min="4600" max="4601" width="10.85546875" style="97" customWidth="1"/>
    <col min="4602" max="4602" width="10.28515625" style="97" customWidth="1"/>
    <col min="4603" max="4603" width="11.42578125" style="97" customWidth="1"/>
    <col min="4604" max="4604" width="10.28515625" style="97" customWidth="1"/>
    <col min="4605" max="4605" width="9.5703125" style="97" bestFit="1" customWidth="1"/>
    <col min="4606" max="4607" width="0" style="97" hidden="1" customWidth="1"/>
    <col min="4608" max="4608" width="8.5703125" style="97" bestFit="1" customWidth="1"/>
    <col min="4609" max="4609" width="12.85546875" style="97" bestFit="1" customWidth="1"/>
    <col min="4610" max="4610" width="11" style="97" bestFit="1" customWidth="1"/>
    <col min="4611" max="4611" width="9" style="97" bestFit="1" customWidth="1"/>
    <col min="4612" max="4612" width="13.5703125" style="97" bestFit="1" customWidth="1"/>
    <col min="4613" max="4613" width="9.5703125" style="97" bestFit="1" customWidth="1"/>
    <col min="4614" max="4614" width="11.5703125" style="97" customWidth="1"/>
    <col min="4615" max="4615" width="9.140625" style="97"/>
    <col min="4616" max="4616" width="11.85546875" style="97" customWidth="1"/>
    <col min="4617" max="4844" width="9.140625" style="97"/>
    <col min="4845" max="4845" width="4.7109375" style="97" customWidth="1"/>
    <col min="4846" max="4846" width="12.140625" style="97" customWidth="1"/>
    <col min="4847" max="4847" width="47.5703125" style="97" customWidth="1"/>
    <col min="4848" max="4848" width="5.5703125" style="97" customWidth="1"/>
    <col min="4849" max="4849" width="9.7109375" style="97" customWidth="1"/>
    <col min="4850" max="4850" width="0" style="97" hidden="1" customWidth="1"/>
    <col min="4851" max="4852" width="9.7109375" style="97" customWidth="1"/>
    <col min="4853" max="4853" width="11.42578125" style="97" customWidth="1"/>
    <col min="4854" max="4854" width="9.7109375" style="97" customWidth="1"/>
    <col min="4855" max="4855" width="9.28515625" style="97" customWidth="1"/>
    <col min="4856" max="4857" width="10.85546875" style="97" customWidth="1"/>
    <col min="4858" max="4858" width="10.28515625" style="97" customWidth="1"/>
    <col min="4859" max="4859" width="11.42578125" style="97" customWidth="1"/>
    <col min="4860" max="4860" width="10.28515625" style="97" customWidth="1"/>
    <col min="4861" max="4861" width="9.5703125" style="97" bestFit="1" customWidth="1"/>
    <col min="4862" max="4863" width="0" style="97" hidden="1" customWidth="1"/>
    <col min="4864" max="4864" width="8.5703125" style="97" bestFit="1" customWidth="1"/>
    <col min="4865" max="4865" width="12.85546875" style="97" bestFit="1" customWidth="1"/>
    <col min="4866" max="4866" width="11" style="97" bestFit="1" customWidth="1"/>
    <col min="4867" max="4867" width="9" style="97" bestFit="1" customWidth="1"/>
    <col min="4868" max="4868" width="13.5703125" style="97" bestFit="1" customWidth="1"/>
    <col min="4869" max="4869" width="9.5703125" style="97" bestFit="1" customWidth="1"/>
    <col min="4870" max="4870" width="11.5703125" style="97" customWidth="1"/>
    <col min="4871" max="4871" width="9.140625" style="97"/>
    <col min="4872" max="4872" width="11.85546875" style="97" customWidth="1"/>
    <col min="4873" max="5100" width="9.140625" style="97"/>
    <col min="5101" max="5101" width="4.7109375" style="97" customWidth="1"/>
    <col min="5102" max="5102" width="12.140625" style="97" customWidth="1"/>
    <col min="5103" max="5103" width="47.5703125" style="97" customWidth="1"/>
    <col min="5104" max="5104" width="5.5703125" style="97" customWidth="1"/>
    <col min="5105" max="5105" width="9.7109375" style="97" customWidth="1"/>
    <col min="5106" max="5106" width="0" style="97" hidden="1" customWidth="1"/>
    <col min="5107" max="5108" width="9.7109375" style="97" customWidth="1"/>
    <col min="5109" max="5109" width="11.42578125" style="97" customWidth="1"/>
    <col min="5110" max="5110" width="9.7109375" style="97" customWidth="1"/>
    <col min="5111" max="5111" width="9.28515625" style="97" customWidth="1"/>
    <col min="5112" max="5113" width="10.85546875" style="97" customWidth="1"/>
    <col min="5114" max="5114" width="10.28515625" style="97" customWidth="1"/>
    <col min="5115" max="5115" width="11.42578125" style="97" customWidth="1"/>
    <col min="5116" max="5116" width="10.28515625" style="97" customWidth="1"/>
    <col min="5117" max="5117" width="9.5703125" style="97" bestFit="1" customWidth="1"/>
    <col min="5118" max="5119" width="0" style="97" hidden="1" customWidth="1"/>
    <col min="5120" max="5120" width="8.5703125" style="97" bestFit="1" customWidth="1"/>
    <col min="5121" max="5121" width="12.85546875" style="97" bestFit="1" customWidth="1"/>
    <col min="5122" max="5122" width="11" style="97" bestFit="1" customWidth="1"/>
    <col min="5123" max="5123" width="9" style="97" bestFit="1" customWidth="1"/>
    <col min="5124" max="5124" width="13.5703125" style="97" bestFit="1" customWidth="1"/>
    <col min="5125" max="5125" width="9.5703125" style="97" bestFit="1" customWidth="1"/>
    <col min="5126" max="5126" width="11.5703125" style="97" customWidth="1"/>
    <col min="5127" max="5127" width="9.140625" style="97"/>
    <col min="5128" max="5128" width="11.85546875" style="97" customWidth="1"/>
    <col min="5129" max="5356" width="9.140625" style="97"/>
    <col min="5357" max="5357" width="4.7109375" style="97" customWidth="1"/>
    <col min="5358" max="5358" width="12.140625" style="97" customWidth="1"/>
    <col min="5359" max="5359" width="47.5703125" style="97" customWidth="1"/>
    <col min="5360" max="5360" width="5.5703125" style="97" customWidth="1"/>
    <col min="5361" max="5361" width="9.7109375" style="97" customWidth="1"/>
    <col min="5362" max="5362" width="0" style="97" hidden="1" customWidth="1"/>
    <col min="5363" max="5364" width="9.7109375" style="97" customWidth="1"/>
    <col min="5365" max="5365" width="11.42578125" style="97" customWidth="1"/>
    <col min="5366" max="5366" width="9.7109375" style="97" customWidth="1"/>
    <col min="5367" max="5367" width="9.28515625" style="97" customWidth="1"/>
    <col min="5368" max="5369" width="10.85546875" style="97" customWidth="1"/>
    <col min="5370" max="5370" width="10.28515625" style="97" customWidth="1"/>
    <col min="5371" max="5371" width="11.42578125" style="97" customWidth="1"/>
    <col min="5372" max="5372" width="10.28515625" style="97" customWidth="1"/>
    <col min="5373" max="5373" width="9.5703125" style="97" bestFit="1" customWidth="1"/>
    <col min="5374" max="5375" width="0" style="97" hidden="1" customWidth="1"/>
    <col min="5376" max="5376" width="8.5703125" style="97" bestFit="1" customWidth="1"/>
    <col min="5377" max="5377" width="12.85546875" style="97" bestFit="1" customWidth="1"/>
    <col min="5378" max="5378" width="11" style="97" bestFit="1" customWidth="1"/>
    <col min="5379" max="5379" width="9" style="97" bestFit="1" customWidth="1"/>
    <col min="5380" max="5380" width="13.5703125" style="97" bestFit="1" customWidth="1"/>
    <col min="5381" max="5381" width="9.5703125" style="97" bestFit="1" customWidth="1"/>
    <col min="5382" max="5382" width="11.5703125" style="97" customWidth="1"/>
    <col min="5383" max="5383" width="9.140625" style="97"/>
    <col min="5384" max="5384" width="11.85546875" style="97" customWidth="1"/>
    <col min="5385" max="5612" width="9.140625" style="97"/>
    <col min="5613" max="5613" width="4.7109375" style="97" customWidth="1"/>
    <col min="5614" max="5614" width="12.140625" style="97" customWidth="1"/>
    <col min="5615" max="5615" width="47.5703125" style="97" customWidth="1"/>
    <col min="5616" max="5616" width="5.5703125" style="97" customWidth="1"/>
    <col min="5617" max="5617" width="9.7109375" style="97" customWidth="1"/>
    <col min="5618" max="5618" width="0" style="97" hidden="1" customWidth="1"/>
    <col min="5619" max="5620" width="9.7109375" style="97" customWidth="1"/>
    <col min="5621" max="5621" width="11.42578125" style="97" customWidth="1"/>
    <col min="5622" max="5622" width="9.7109375" style="97" customWidth="1"/>
    <col min="5623" max="5623" width="9.28515625" style="97" customWidth="1"/>
    <col min="5624" max="5625" width="10.85546875" style="97" customWidth="1"/>
    <col min="5626" max="5626" width="10.28515625" style="97" customWidth="1"/>
    <col min="5627" max="5627" width="11.42578125" style="97" customWidth="1"/>
    <col min="5628" max="5628" width="10.28515625" style="97" customWidth="1"/>
    <col min="5629" max="5629" width="9.5703125" style="97" bestFit="1" customWidth="1"/>
    <col min="5630" max="5631" width="0" style="97" hidden="1" customWidth="1"/>
    <col min="5632" max="5632" width="8.5703125" style="97" bestFit="1" customWidth="1"/>
    <col min="5633" max="5633" width="12.85546875" style="97" bestFit="1" customWidth="1"/>
    <col min="5634" max="5634" width="11" style="97" bestFit="1" customWidth="1"/>
    <col min="5635" max="5635" width="9" style="97" bestFit="1" customWidth="1"/>
    <col min="5636" max="5636" width="13.5703125" style="97" bestFit="1" customWidth="1"/>
    <col min="5637" max="5637" width="9.5703125" style="97" bestFit="1" customWidth="1"/>
    <col min="5638" max="5638" width="11.5703125" style="97" customWidth="1"/>
    <col min="5639" max="5639" width="9.140625" style="97"/>
    <col min="5640" max="5640" width="11.85546875" style="97" customWidth="1"/>
    <col min="5641" max="5868" width="9.140625" style="97"/>
    <col min="5869" max="5869" width="4.7109375" style="97" customWidth="1"/>
    <col min="5870" max="5870" width="12.140625" style="97" customWidth="1"/>
    <col min="5871" max="5871" width="47.5703125" style="97" customWidth="1"/>
    <col min="5872" max="5872" width="5.5703125" style="97" customWidth="1"/>
    <col min="5873" max="5873" width="9.7109375" style="97" customWidth="1"/>
    <col min="5874" max="5874" width="0" style="97" hidden="1" customWidth="1"/>
    <col min="5875" max="5876" width="9.7109375" style="97" customWidth="1"/>
    <col min="5877" max="5877" width="11.42578125" style="97" customWidth="1"/>
    <col min="5878" max="5878" width="9.7109375" style="97" customWidth="1"/>
    <col min="5879" max="5879" width="9.28515625" style="97" customWidth="1"/>
    <col min="5880" max="5881" width="10.85546875" style="97" customWidth="1"/>
    <col min="5882" max="5882" width="10.28515625" style="97" customWidth="1"/>
    <col min="5883" max="5883" width="11.42578125" style="97" customWidth="1"/>
    <col min="5884" max="5884" width="10.28515625" style="97" customWidth="1"/>
    <col min="5885" max="5885" width="9.5703125" style="97" bestFit="1" customWidth="1"/>
    <col min="5886" max="5887" width="0" style="97" hidden="1" customWidth="1"/>
    <col min="5888" max="5888" width="8.5703125" style="97" bestFit="1" customWidth="1"/>
    <col min="5889" max="5889" width="12.85546875" style="97" bestFit="1" customWidth="1"/>
    <col min="5890" max="5890" width="11" style="97" bestFit="1" customWidth="1"/>
    <col min="5891" max="5891" width="9" style="97" bestFit="1" customWidth="1"/>
    <col min="5892" max="5892" width="13.5703125" style="97" bestFit="1" customWidth="1"/>
    <col min="5893" max="5893" width="9.5703125" style="97" bestFit="1" customWidth="1"/>
    <col min="5894" max="5894" width="11.5703125" style="97" customWidth="1"/>
    <col min="5895" max="5895" width="9.140625" style="97"/>
    <col min="5896" max="5896" width="11.85546875" style="97" customWidth="1"/>
    <col min="5897" max="6124" width="9.140625" style="97"/>
    <col min="6125" max="6125" width="4.7109375" style="97" customWidth="1"/>
    <col min="6126" max="6126" width="12.140625" style="97" customWidth="1"/>
    <col min="6127" max="6127" width="47.5703125" style="97" customWidth="1"/>
    <col min="6128" max="6128" width="5.5703125" style="97" customWidth="1"/>
    <col min="6129" max="6129" width="9.7109375" style="97" customWidth="1"/>
    <col min="6130" max="6130" width="0" style="97" hidden="1" customWidth="1"/>
    <col min="6131" max="6132" width="9.7109375" style="97" customWidth="1"/>
    <col min="6133" max="6133" width="11.42578125" style="97" customWidth="1"/>
    <col min="6134" max="6134" width="9.7109375" style="97" customWidth="1"/>
    <col min="6135" max="6135" width="9.28515625" style="97" customWidth="1"/>
    <col min="6136" max="6137" width="10.85546875" style="97" customWidth="1"/>
    <col min="6138" max="6138" width="10.28515625" style="97" customWidth="1"/>
    <col min="6139" max="6139" width="11.42578125" style="97" customWidth="1"/>
    <col min="6140" max="6140" width="10.28515625" style="97" customWidth="1"/>
    <col min="6141" max="6141" width="9.5703125" style="97" bestFit="1" customWidth="1"/>
    <col min="6142" max="6143" width="0" style="97" hidden="1" customWidth="1"/>
    <col min="6144" max="6144" width="8.5703125" style="97" bestFit="1" customWidth="1"/>
    <col min="6145" max="6145" width="12.85546875" style="97" bestFit="1" customWidth="1"/>
    <col min="6146" max="6146" width="11" style="97" bestFit="1" customWidth="1"/>
    <col min="6147" max="6147" width="9" style="97" bestFit="1" customWidth="1"/>
    <col min="6148" max="6148" width="13.5703125" style="97" bestFit="1" customWidth="1"/>
    <col min="6149" max="6149" width="9.5703125" style="97" bestFit="1" customWidth="1"/>
    <col min="6150" max="6150" width="11.5703125" style="97" customWidth="1"/>
    <col min="6151" max="6151" width="9.140625" style="97"/>
    <col min="6152" max="6152" width="11.85546875" style="97" customWidth="1"/>
    <col min="6153" max="6380" width="9.140625" style="97"/>
    <col min="6381" max="6381" width="4.7109375" style="97" customWidth="1"/>
    <col min="6382" max="6382" width="12.140625" style="97" customWidth="1"/>
    <col min="6383" max="6383" width="47.5703125" style="97" customWidth="1"/>
    <col min="6384" max="6384" width="5.5703125" style="97" customWidth="1"/>
    <col min="6385" max="6385" width="9.7109375" style="97" customWidth="1"/>
    <col min="6386" max="6386" width="0" style="97" hidden="1" customWidth="1"/>
    <col min="6387" max="6388" width="9.7109375" style="97" customWidth="1"/>
    <col min="6389" max="6389" width="11.42578125" style="97" customWidth="1"/>
    <col min="6390" max="6390" width="9.7109375" style="97" customWidth="1"/>
    <col min="6391" max="6391" width="9.28515625" style="97" customWidth="1"/>
    <col min="6392" max="6393" width="10.85546875" style="97" customWidth="1"/>
    <col min="6394" max="6394" width="10.28515625" style="97" customWidth="1"/>
    <col min="6395" max="6395" width="11.42578125" style="97" customWidth="1"/>
    <col min="6396" max="6396" width="10.28515625" style="97" customWidth="1"/>
    <col min="6397" max="6397" width="9.5703125" style="97" bestFit="1" customWidth="1"/>
    <col min="6398" max="6399" width="0" style="97" hidden="1" customWidth="1"/>
    <col min="6400" max="6400" width="8.5703125" style="97" bestFit="1" customWidth="1"/>
    <col min="6401" max="6401" width="12.85546875" style="97" bestFit="1" customWidth="1"/>
    <col min="6402" max="6402" width="11" style="97" bestFit="1" customWidth="1"/>
    <col min="6403" max="6403" width="9" style="97" bestFit="1" customWidth="1"/>
    <col min="6404" max="6404" width="13.5703125" style="97" bestFit="1" customWidth="1"/>
    <col min="6405" max="6405" width="9.5703125" style="97" bestFit="1" customWidth="1"/>
    <col min="6406" max="6406" width="11.5703125" style="97" customWidth="1"/>
    <col min="6407" max="6407" width="9.140625" style="97"/>
    <col min="6408" max="6408" width="11.85546875" style="97" customWidth="1"/>
    <col min="6409" max="6636" width="9.140625" style="97"/>
    <col min="6637" max="6637" width="4.7109375" style="97" customWidth="1"/>
    <col min="6638" max="6638" width="12.140625" style="97" customWidth="1"/>
    <col min="6639" max="6639" width="47.5703125" style="97" customWidth="1"/>
    <col min="6640" max="6640" width="5.5703125" style="97" customWidth="1"/>
    <col min="6641" max="6641" width="9.7109375" style="97" customWidth="1"/>
    <col min="6642" max="6642" width="0" style="97" hidden="1" customWidth="1"/>
    <col min="6643" max="6644" width="9.7109375" style="97" customWidth="1"/>
    <col min="6645" max="6645" width="11.42578125" style="97" customWidth="1"/>
    <col min="6646" max="6646" width="9.7109375" style="97" customWidth="1"/>
    <col min="6647" max="6647" width="9.28515625" style="97" customWidth="1"/>
    <col min="6648" max="6649" width="10.85546875" style="97" customWidth="1"/>
    <col min="6650" max="6650" width="10.28515625" style="97" customWidth="1"/>
    <col min="6651" max="6651" width="11.42578125" style="97" customWidth="1"/>
    <col min="6652" max="6652" width="10.28515625" style="97" customWidth="1"/>
    <col min="6653" max="6653" width="9.5703125" style="97" bestFit="1" customWidth="1"/>
    <col min="6654" max="6655" width="0" style="97" hidden="1" customWidth="1"/>
    <col min="6656" max="6656" width="8.5703125" style="97" bestFit="1" customWidth="1"/>
    <col min="6657" max="6657" width="12.85546875" style="97" bestFit="1" customWidth="1"/>
    <col min="6658" max="6658" width="11" style="97" bestFit="1" customWidth="1"/>
    <col min="6659" max="6659" width="9" style="97" bestFit="1" customWidth="1"/>
    <col min="6660" max="6660" width="13.5703125" style="97" bestFit="1" customWidth="1"/>
    <col min="6661" max="6661" width="9.5703125" style="97" bestFit="1" customWidth="1"/>
    <col min="6662" max="6662" width="11.5703125" style="97" customWidth="1"/>
    <col min="6663" max="6663" width="9.140625" style="97"/>
    <col min="6664" max="6664" width="11.85546875" style="97" customWidth="1"/>
    <col min="6665" max="6892" width="9.140625" style="97"/>
    <col min="6893" max="6893" width="4.7109375" style="97" customWidth="1"/>
    <col min="6894" max="6894" width="12.140625" style="97" customWidth="1"/>
    <col min="6895" max="6895" width="47.5703125" style="97" customWidth="1"/>
    <col min="6896" max="6896" width="5.5703125" style="97" customWidth="1"/>
    <col min="6897" max="6897" width="9.7109375" style="97" customWidth="1"/>
    <col min="6898" max="6898" width="0" style="97" hidden="1" customWidth="1"/>
    <col min="6899" max="6900" width="9.7109375" style="97" customWidth="1"/>
    <col min="6901" max="6901" width="11.42578125" style="97" customWidth="1"/>
    <col min="6902" max="6902" width="9.7109375" style="97" customWidth="1"/>
    <col min="6903" max="6903" width="9.28515625" style="97" customWidth="1"/>
    <col min="6904" max="6905" width="10.85546875" style="97" customWidth="1"/>
    <col min="6906" max="6906" width="10.28515625" style="97" customWidth="1"/>
    <col min="6907" max="6907" width="11.42578125" style="97" customWidth="1"/>
    <col min="6908" max="6908" width="10.28515625" style="97" customWidth="1"/>
    <col min="6909" max="6909" width="9.5703125" style="97" bestFit="1" customWidth="1"/>
    <col min="6910" max="6911" width="0" style="97" hidden="1" customWidth="1"/>
    <col min="6912" max="6912" width="8.5703125" style="97" bestFit="1" customWidth="1"/>
    <col min="6913" max="6913" width="12.85546875" style="97" bestFit="1" customWidth="1"/>
    <col min="6914" max="6914" width="11" style="97" bestFit="1" customWidth="1"/>
    <col min="6915" max="6915" width="9" style="97" bestFit="1" customWidth="1"/>
    <col min="6916" max="6916" width="13.5703125" style="97" bestFit="1" customWidth="1"/>
    <col min="6917" max="6917" width="9.5703125" style="97" bestFit="1" customWidth="1"/>
    <col min="6918" max="6918" width="11.5703125" style="97" customWidth="1"/>
    <col min="6919" max="6919" width="9.140625" style="97"/>
    <col min="6920" max="6920" width="11.85546875" style="97" customWidth="1"/>
    <col min="6921" max="7148" width="9.140625" style="97"/>
    <col min="7149" max="7149" width="4.7109375" style="97" customWidth="1"/>
    <col min="7150" max="7150" width="12.140625" style="97" customWidth="1"/>
    <col min="7151" max="7151" width="47.5703125" style="97" customWidth="1"/>
    <col min="7152" max="7152" width="5.5703125" style="97" customWidth="1"/>
    <col min="7153" max="7153" width="9.7109375" style="97" customWidth="1"/>
    <col min="7154" max="7154" width="0" style="97" hidden="1" customWidth="1"/>
    <col min="7155" max="7156" width="9.7109375" style="97" customWidth="1"/>
    <col min="7157" max="7157" width="11.42578125" style="97" customWidth="1"/>
    <col min="7158" max="7158" width="9.7109375" style="97" customWidth="1"/>
    <col min="7159" max="7159" width="9.28515625" style="97" customWidth="1"/>
    <col min="7160" max="7161" width="10.85546875" style="97" customWidth="1"/>
    <col min="7162" max="7162" width="10.28515625" style="97" customWidth="1"/>
    <col min="7163" max="7163" width="11.42578125" style="97" customWidth="1"/>
    <col min="7164" max="7164" width="10.28515625" style="97" customWidth="1"/>
    <col min="7165" max="7165" width="9.5703125" style="97" bestFit="1" customWidth="1"/>
    <col min="7166" max="7167" width="0" style="97" hidden="1" customWidth="1"/>
    <col min="7168" max="7168" width="8.5703125" style="97" bestFit="1" customWidth="1"/>
    <col min="7169" max="7169" width="12.85546875" style="97" bestFit="1" customWidth="1"/>
    <col min="7170" max="7170" width="11" style="97" bestFit="1" customWidth="1"/>
    <col min="7171" max="7171" width="9" style="97" bestFit="1" customWidth="1"/>
    <col min="7172" max="7172" width="13.5703125" style="97" bestFit="1" customWidth="1"/>
    <col min="7173" max="7173" width="9.5703125" style="97" bestFit="1" customWidth="1"/>
    <col min="7174" max="7174" width="11.5703125" style="97" customWidth="1"/>
    <col min="7175" max="7175" width="9.140625" style="97"/>
    <col min="7176" max="7176" width="11.85546875" style="97" customWidth="1"/>
    <col min="7177" max="7404" width="9.140625" style="97"/>
    <col min="7405" max="7405" width="4.7109375" style="97" customWidth="1"/>
    <col min="7406" max="7406" width="12.140625" style="97" customWidth="1"/>
    <col min="7407" max="7407" width="47.5703125" style="97" customWidth="1"/>
    <col min="7408" max="7408" width="5.5703125" style="97" customWidth="1"/>
    <col min="7409" max="7409" width="9.7109375" style="97" customWidth="1"/>
    <col min="7410" max="7410" width="0" style="97" hidden="1" customWidth="1"/>
    <col min="7411" max="7412" width="9.7109375" style="97" customWidth="1"/>
    <col min="7413" max="7413" width="11.42578125" style="97" customWidth="1"/>
    <col min="7414" max="7414" width="9.7109375" style="97" customWidth="1"/>
    <col min="7415" max="7415" width="9.28515625" style="97" customWidth="1"/>
    <col min="7416" max="7417" width="10.85546875" style="97" customWidth="1"/>
    <col min="7418" max="7418" width="10.28515625" style="97" customWidth="1"/>
    <col min="7419" max="7419" width="11.42578125" style="97" customWidth="1"/>
    <col min="7420" max="7420" width="10.28515625" style="97" customWidth="1"/>
    <col min="7421" max="7421" width="9.5703125" style="97" bestFit="1" customWidth="1"/>
    <col min="7422" max="7423" width="0" style="97" hidden="1" customWidth="1"/>
    <col min="7424" max="7424" width="8.5703125" style="97" bestFit="1" customWidth="1"/>
    <col min="7425" max="7425" width="12.85546875" style="97" bestFit="1" customWidth="1"/>
    <col min="7426" max="7426" width="11" style="97" bestFit="1" customWidth="1"/>
    <col min="7427" max="7427" width="9" style="97" bestFit="1" customWidth="1"/>
    <col min="7428" max="7428" width="13.5703125" style="97" bestFit="1" customWidth="1"/>
    <col min="7429" max="7429" width="9.5703125" style="97" bestFit="1" customWidth="1"/>
    <col min="7430" max="7430" width="11.5703125" style="97" customWidth="1"/>
    <col min="7431" max="7431" width="9.140625" style="97"/>
    <col min="7432" max="7432" width="11.85546875" style="97" customWidth="1"/>
    <col min="7433" max="7660" width="9.140625" style="97"/>
    <col min="7661" max="7661" width="4.7109375" style="97" customWidth="1"/>
    <col min="7662" max="7662" width="12.140625" style="97" customWidth="1"/>
    <col min="7663" max="7663" width="47.5703125" style="97" customWidth="1"/>
    <col min="7664" max="7664" width="5.5703125" style="97" customWidth="1"/>
    <col min="7665" max="7665" width="9.7109375" style="97" customWidth="1"/>
    <col min="7666" max="7666" width="0" style="97" hidden="1" customWidth="1"/>
    <col min="7667" max="7668" width="9.7109375" style="97" customWidth="1"/>
    <col min="7669" max="7669" width="11.42578125" style="97" customWidth="1"/>
    <col min="7670" max="7670" width="9.7109375" style="97" customWidth="1"/>
    <col min="7671" max="7671" width="9.28515625" style="97" customWidth="1"/>
    <col min="7672" max="7673" width="10.85546875" style="97" customWidth="1"/>
    <col min="7674" max="7674" width="10.28515625" style="97" customWidth="1"/>
    <col min="7675" max="7675" width="11.42578125" style="97" customWidth="1"/>
    <col min="7676" max="7676" width="10.28515625" style="97" customWidth="1"/>
    <col min="7677" max="7677" width="9.5703125" style="97" bestFit="1" customWidth="1"/>
    <col min="7678" max="7679" width="0" style="97" hidden="1" customWidth="1"/>
    <col min="7680" max="7680" width="8.5703125" style="97" bestFit="1" customWidth="1"/>
    <col min="7681" max="7681" width="12.85546875" style="97" bestFit="1" customWidth="1"/>
    <col min="7682" max="7682" width="11" style="97" bestFit="1" customWidth="1"/>
    <col min="7683" max="7683" width="9" style="97" bestFit="1" customWidth="1"/>
    <col min="7684" max="7684" width="13.5703125" style="97" bestFit="1" customWidth="1"/>
    <col min="7685" max="7685" width="9.5703125" style="97" bestFit="1" customWidth="1"/>
    <col min="7686" max="7686" width="11.5703125" style="97" customWidth="1"/>
    <col min="7687" max="7687" width="9.140625" style="97"/>
    <col min="7688" max="7688" width="11.85546875" style="97" customWidth="1"/>
    <col min="7689" max="7916" width="9.140625" style="97"/>
    <col min="7917" max="7917" width="4.7109375" style="97" customWidth="1"/>
    <col min="7918" max="7918" width="12.140625" style="97" customWidth="1"/>
    <col min="7919" max="7919" width="47.5703125" style="97" customWidth="1"/>
    <col min="7920" max="7920" width="5.5703125" style="97" customWidth="1"/>
    <col min="7921" max="7921" width="9.7109375" style="97" customWidth="1"/>
    <col min="7922" max="7922" width="0" style="97" hidden="1" customWidth="1"/>
    <col min="7923" max="7924" width="9.7109375" style="97" customWidth="1"/>
    <col min="7925" max="7925" width="11.42578125" style="97" customWidth="1"/>
    <col min="7926" max="7926" width="9.7109375" style="97" customWidth="1"/>
    <col min="7927" max="7927" width="9.28515625" style="97" customWidth="1"/>
    <col min="7928" max="7929" width="10.85546875" style="97" customWidth="1"/>
    <col min="7930" max="7930" width="10.28515625" style="97" customWidth="1"/>
    <col min="7931" max="7931" width="11.42578125" style="97" customWidth="1"/>
    <col min="7932" max="7932" width="10.28515625" style="97" customWidth="1"/>
    <col min="7933" max="7933" width="9.5703125" style="97" bestFit="1" customWidth="1"/>
    <col min="7934" max="7935" width="0" style="97" hidden="1" customWidth="1"/>
    <col min="7936" max="7936" width="8.5703125" style="97" bestFit="1" customWidth="1"/>
    <col min="7937" max="7937" width="12.85546875" style="97" bestFit="1" customWidth="1"/>
    <col min="7938" max="7938" width="11" style="97" bestFit="1" customWidth="1"/>
    <col min="7939" max="7939" width="9" style="97" bestFit="1" customWidth="1"/>
    <col min="7940" max="7940" width="13.5703125" style="97" bestFit="1" customWidth="1"/>
    <col min="7941" max="7941" width="9.5703125" style="97" bestFit="1" customWidth="1"/>
    <col min="7942" max="7942" width="11.5703125" style="97" customWidth="1"/>
    <col min="7943" max="7943" width="9.140625" style="97"/>
    <col min="7944" max="7944" width="11.85546875" style="97" customWidth="1"/>
    <col min="7945" max="8172" width="9.140625" style="97"/>
    <col min="8173" max="8173" width="4.7109375" style="97" customWidth="1"/>
    <col min="8174" max="8174" width="12.140625" style="97" customWidth="1"/>
    <col min="8175" max="8175" width="47.5703125" style="97" customWidth="1"/>
    <col min="8176" max="8176" width="5.5703125" style="97" customWidth="1"/>
    <col min="8177" max="8177" width="9.7109375" style="97" customWidth="1"/>
    <col min="8178" max="8178" width="0" style="97" hidden="1" customWidth="1"/>
    <col min="8179" max="8180" width="9.7109375" style="97" customWidth="1"/>
    <col min="8181" max="8181" width="11.42578125" style="97" customWidth="1"/>
    <col min="8182" max="8182" width="9.7109375" style="97" customWidth="1"/>
    <col min="8183" max="8183" width="9.28515625" style="97" customWidth="1"/>
    <col min="8184" max="8185" width="10.85546875" style="97" customWidth="1"/>
    <col min="8186" max="8186" width="10.28515625" style="97" customWidth="1"/>
    <col min="8187" max="8187" width="11.42578125" style="97" customWidth="1"/>
    <col min="8188" max="8188" width="10.28515625" style="97" customWidth="1"/>
    <col min="8189" max="8189" width="9.5703125" style="97" bestFit="1" customWidth="1"/>
    <col min="8190" max="8191" width="0" style="97" hidden="1" customWidth="1"/>
    <col min="8192" max="8192" width="8.5703125" style="97" bestFit="1" customWidth="1"/>
    <col min="8193" max="8193" width="12.85546875" style="97" bestFit="1" customWidth="1"/>
    <col min="8194" max="8194" width="11" style="97" bestFit="1" customWidth="1"/>
    <col min="8195" max="8195" width="9" style="97" bestFit="1" customWidth="1"/>
    <col min="8196" max="8196" width="13.5703125" style="97" bestFit="1" customWidth="1"/>
    <col min="8197" max="8197" width="9.5703125" style="97" bestFit="1" customWidth="1"/>
    <col min="8198" max="8198" width="11.5703125" style="97" customWidth="1"/>
    <col min="8199" max="8199" width="9.140625" style="97"/>
    <col min="8200" max="8200" width="11.85546875" style="97" customWidth="1"/>
    <col min="8201" max="8428" width="9.140625" style="97"/>
    <col min="8429" max="8429" width="4.7109375" style="97" customWidth="1"/>
    <col min="8430" max="8430" width="12.140625" style="97" customWidth="1"/>
    <col min="8431" max="8431" width="47.5703125" style="97" customWidth="1"/>
    <col min="8432" max="8432" width="5.5703125" style="97" customWidth="1"/>
    <col min="8433" max="8433" width="9.7109375" style="97" customWidth="1"/>
    <col min="8434" max="8434" width="0" style="97" hidden="1" customWidth="1"/>
    <col min="8435" max="8436" width="9.7109375" style="97" customWidth="1"/>
    <col min="8437" max="8437" width="11.42578125" style="97" customWidth="1"/>
    <col min="8438" max="8438" width="9.7109375" style="97" customWidth="1"/>
    <col min="8439" max="8439" width="9.28515625" style="97" customWidth="1"/>
    <col min="8440" max="8441" width="10.85546875" style="97" customWidth="1"/>
    <col min="8442" max="8442" width="10.28515625" style="97" customWidth="1"/>
    <col min="8443" max="8443" width="11.42578125" style="97" customWidth="1"/>
    <col min="8444" max="8444" width="10.28515625" style="97" customWidth="1"/>
    <col min="8445" max="8445" width="9.5703125" style="97" bestFit="1" customWidth="1"/>
    <col min="8446" max="8447" width="0" style="97" hidden="1" customWidth="1"/>
    <col min="8448" max="8448" width="8.5703125" style="97" bestFit="1" customWidth="1"/>
    <col min="8449" max="8449" width="12.85546875" style="97" bestFit="1" customWidth="1"/>
    <col min="8450" max="8450" width="11" style="97" bestFit="1" customWidth="1"/>
    <col min="8451" max="8451" width="9" style="97" bestFit="1" customWidth="1"/>
    <col min="8452" max="8452" width="13.5703125" style="97" bestFit="1" customWidth="1"/>
    <col min="8453" max="8453" width="9.5703125" style="97" bestFit="1" customWidth="1"/>
    <col min="8454" max="8454" width="11.5703125" style="97" customWidth="1"/>
    <col min="8455" max="8455" width="9.140625" style="97"/>
    <col min="8456" max="8456" width="11.85546875" style="97" customWidth="1"/>
    <col min="8457" max="8684" width="9.140625" style="97"/>
    <col min="8685" max="8685" width="4.7109375" style="97" customWidth="1"/>
    <col min="8686" max="8686" width="12.140625" style="97" customWidth="1"/>
    <col min="8687" max="8687" width="47.5703125" style="97" customWidth="1"/>
    <col min="8688" max="8688" width="5.5703125" style="97" customWidth="1"/>
    <col min="8689" max="8689" width="9.7109375" style="97" customWidth="1"/>
    <col min="8690" max="8690" width="0" style="97" hidden="1" customWidth="1"/>
    <col min="8691" max="8692" width="9.7109375" style="97" customWidth="1"/>
    <col min="8693" max="8693" width="11.42578125" style="97" customWidth="1"/>
    <col min="8694" max="8694" width="9.7109375" style="97" customWidth="1"/>
    <col min="8695" max="8695" width="9.28515625" style="97" customWidth="1"/>
    <col min="8696" max="8697" width="10.85546875" style="97" customWidth="1"/>
    <col min="8698" max="8698" width="10.28515625" style="97" customWidth="1"/>
    <col min="8699" max="8699" width="11.42578125" style="97" customWidth="1"/>
    <col min="8700" max="8700" width="10.28515625" style="97" customWidth="1"/>
    <col min="8701" max="8701" width="9.5703125" style="97" bestFit="1" customWidth="1"/>
    <col min="8702" max="8703" width="0" style="97" hidden="1" customWidth="1"/>
    <col min="8704" max="8704" width="8.5703125" style="97" bestFit="1" customWidth="1"/>
    <col min="8705" max="8705" width="12.85546875" style="97" bestFit="1" customWidth="1"/>
    <col min="8706" max="8706" width="11" style="97" bestFit="1" customWidth="1"/>
    <col min="8707" max="8707" width="9" style="97" bestFit="1" customWidth="1"/>
    <col min="8708" max="8708" width="13.5703125" style="97" bestFit="1" customWidth="1"/>
    <col min="8709" max="8709" width="9.5703125" style="97" bestFit="1" customWidth="1"/>
    <col min="8710" max="8710" width="11.5703125" style="97" customWidth="1"/>
    <col min="8711" max="8711" width="9.140625" style="97"/>
    <col min="8712" max="8712" width="11.85546875" style="97" customWidth="1"/>
    <col min="8713" max="8940" width="9.140625" style="97"/>
    <col min="8941" max="8941" width="4.7109375" style="97" customWidth="1"/>
    <col min="8942" max="8942" width="12.140625" style="97" customWidth="1"/>
    <col min="8943" max="8943" width="47.5703125" style="97" customWidth="1"/>
    <col min="8944" max="8944" width="5.5703125" style="97" customWidth="1"/>
    <col min="8945" max="8945" width="9.7109375" style="97" customWidth="1"/>
    <col min="8946" max="8946" width="0" style="97" hidden="1" customWidth="1"/>
    <col min="8947" max="8948" width="9.7109375" style="97" customWidth="1"/>
    <col min="8949" max="8949" width="11.42578125" style="97" customWidth="1"/>
    <col min="8950" max="8950" width="9.7109375" style="97" customWidth="1"/>
    <col min="8951" max="8951" width="9.28515625" style="97" customWidth="1"/>
    <col min="8952" max="8953" width="10.85546875" style="97" customWidth="1"/>
    <col min="8954" max="8954" width="10.28515625" style="97" customWidth="1"/>
    <col min="8955" max="8955" width="11.42578125" style="97" customWidth="1"/>
    <col min="8956" max="8956" width="10.28515625" style="97" customWidth="1"/>
    <col min="8957" max="8957" width="9.5703125" style="97" bestFit="1" customWidth="1"/>
    <col min="8958" max="8959" width="0" style="97" hidden="1" customWidth="1"/>
    <col min="8960" max="8960" width="8.5703125" style="97" bestFit="1" customWidth="1"/>
    <col min="8961" max="8961" width="12.85546875" style="97" bestFit="1" customWidth="1"/>
    <col min="8962" max="8962" width="11" style="97" bestFit="1" customWidth="1"/>
    <col min="8963" max="8963" width="9" style="97" bestFit="1" customWidth="1"/>
    <col min="8964" max="8964" width="13.5703125" style="97" bestFit="1" customWidth="1"/>
    <col min="8965" max="8965" width="9.5703125" style="97" bestFit="1" customWidth="1"/>
    <col min="8966" max="8966" width="11.5703125" style="97" customWidth="1"/>
    <col min="8967" max="8967" width="9.140625" style="97"/>
    <col min="8968" max="8968" width="11.85546875" style="97" customWidth="1"/>
    <col min="8969" max="9196" width="9.140625" style="97"/>
    <col min="9197" max="9197" width="4.7109375" style="97" customWidth="1"/>
    <col min="9198" max="9198" width="12.140625" style="97" customWidth="1"/>
    <col min="9199" max="9199" width="47.5703125" style="97" customWidth="1"/>
    <col min="9200" max="9200" width="5.5703125" style="97" customWidth="1"/>
    <col min="9201" max="9201" width="9.7109375" style="97" customWidth="1"/>
    <col min="9202" max="9202" width="0" style="97" hidden="1" customWidth="1"/>
    <col min="9203" max="9204" width="9.7109375" style="97" customWidth="1"/>
    <col min="9205" max="9205" width="11.42578125" style="97" customWidth="1"/>
    <col min="9206" max="9206" width="9.7109375" style="97" customWidth="1"/>
    <col min="9207" max="9207" width="9.28515625" style="97" customWidth="1"/>
    <col min="9208" max="9209" width="10.85546875" style="97" customWidth="1"/>
    <col min="9210" max="9210" width="10.28515625" style="97" customWidth="1"/>
    <col min="9211" max="9211" width="11.42578125" style="97" customWidth="1"/>
    <col min="9212" max="9212" width="10.28515625" style="97" customWidth="1"/>
    <col min="9213" max="9213" width="9.5703125" style="97" bestFit="1" customWidth="1"/>
    <col min="9214" max="9215" width="0" style="97" hidden="1" customWidth="1"/>
    <col min="9216" max="9216" width="8.5703125" style="97" bestFit="1" customWidth="1"/>
    <col min="9217" max="9217" width="12.85546875" style="97" bestFit="1" customWidth="1"/>
    <col min="9218" max="9218" width="11" style="97" bestFit="1" customWidth="1"/>
    <col min="9219" max="9219" width="9" style="97" bestFit="1" customWidth="1"/>
    <col min="9220" max="9220" width="13.5703125" style="97" bestFit="1" customWidth="1"/>
    <col min="9221" max="9221" width="9.5703125" style="97" bestFit="1" customWidth="1"/>
    <col min="9222" max="9222" width="11.5703125" style="97" customWidth="1"/>
    <col min="9223" max="9223" width="9.140625" style="97"/>
    <col min="9224" max="9224" width="11.85546875" style="97" customWidth="1"/>
    <col min="9225" max="9452" width="9.140625" style="97"/>
    <col min="9453" max="9453" width="4.7109375" style="97" customWidth="1"/>
    <col min="9454" max="9454" width="12.140625" style="97" customWidth="1"/>
    <col min="9455" max="9455" width="47.5703125" style="97" customWidth="1"/>
    <col min="9456" max="9456" width="5.5703125" style="97" customWidth="1"/>
    <col min="9457" max="9457" width="9.7109375" style="97" customWidth="1"/>
    <col min="9458" max="9458" width="0" style="97" hidden="1" customWidth="1"/>
    <col min="9459" max="9460" width="9.7109375" style="97" customWidth="1"/>
    <col min="9461" max="9461" width="11.42578125" style="97" customWidth="1"/>
    <col min="9462" max="9462" width="9.7109375" style="97" customWidth="1"/>
    <col min="9463" max="9463" width="9.28515625" style="97" customWidth="1"/>
    <col min="9464" max="9465" width="10.85546875" style="97" customWidth="1"/>
    <col min="9466" max="9466" width="10.28515625" style="97" customWidth="1"/>
    <col min="9467" max="9467" width="11.42578125" style="97" customWidth="1"/>
    <col min="9468" max="9468" width="10.28515625" style="97" customWidth="1"/>
    <col min="9469" max="9469" width="9.5703125" style="97" bestFit="1" customWidth="1"/>
    <col min="9470" max="9471" width="0" style="97" hidden="1" customWidth="1"/>
    <col min="9472" max="9472" width="8.5703125" style="97" bestFit="1" customWidth="1"/>
    <col min="9473" max="9473" width="12.85546875" style="97" bestFit="1" customWidth="1"/>
    <col min="9474" max="9474" width="11" style="97" bestFit="1" customWidth="1"/>
    <col min="9475" max="9475" width="9" style="97" bestFit="1" customWidth="1"/>
    <col min="9476" max="9476" width="13.5703125" style="97" bestFit="1" customWidth="1"/>
    <col min="9477" max="9477" width="9.5703125" style="97" bestFit="1" customWidth="1"/>
    <col min="9478" max="9478" width="11.5703125" style="97" customWidth="1"/>
    <col min="9479" max="9479" width="9.140625" style="97"/>
    <col min="9480" max="9480" width="11.85546875" style="97" customWidth="1"/>
    <col min="9481" max="9708" width="9.140625" style="97"/>
    <col min="9709" max="9709" width="4.7109375" style="97" customWidth="1"/>
    <col min="9710" max="9710" width="12.140625" style="97" customWidth="1"/>
    <col min="9711" max="9711" width="47.5703125" style="97" customWidth="1"/>
    <col min="9712" max="9712" width="5.5703125" style="97" customWidth="1"/>
    <col min="9713" max="9713" width="9.7109375" style="97" customWidth="1"/>
    <col min="9714" max="9714" width="0" style="97" hidden="1" customWidth="1"/>
    <col min="9715" max="9716" width="9.7109375" style="97" customWidth="1"/>
    <col min="9717" max="9717" width="11.42578125" style="97" customWidth="1"/>
    <col min="9718" max="9718" width="9.7109375" style="97" customWidth="1"/>
    <col min="9719" max="9719" width="9.28515625" style="97" customWidth="1"/>
    <col min="9720" max="9721" width="10.85546875" style="97" customWidth="1"/>
    <col min="9722" max="9722" width="10.28515625" style="97" customWidth="1"/>
    <col min="9723" max="9723" width="11.42578125" style="97" customWidth="1"/>
    <col min="9724" max="9724" width="10.28515625" style="97" customWidth="1"/>
    <col min="9725" max="9725" width="9.5703125" style="97" bestFit="1" customWidth="1"/>
    <col min="9726" max="9727" width="0" style="97" hidden="1" customWidth="1"/>
    <col min="9728" max="9728" width="8.5703125" style="97" bestFit="1" customWidth="1"/>
    <col min="9729" max="9729" width="12.85546875" style="97" bestFit="1" customWidth="1"/>
    <col min="9730" max="9730" width="11" style="97" bestFit="1" customWidth="1"/>
    <col min="9731" max="9731" width="9" style="97" bestFit="1" customWidth="1"/>
    <col min="9732" max="9732" width="13.5703125" style="97" bestFit="1" customWidth="1"/>
    <col min="9733" max="9733" width="9.5703125" style="97" bestFit="1" customWidth="1"/>
    <col min="9734" max="9734" width="11.5703125" style="97" customWidth="1"/>
    <col min="9735" max="9735" width="9.140625" style="97"/>
    <col min="9736" max="9736" width="11.85546875" style="97" customWidth="1"/>
    <col min="9737" max="9964" width="9.140625" style="97"/>
    <col min="9965" max="9965" width="4.7109375" style="97" customWidth="1"/>
    <col min="9966" max="9966" width="12.140625" style="97" customWidth="1"/>
    <col min="9967" max="9967" width="47.5703125" style="97" customWidth="1"/>
    <col min="9968" max="9968" width="5.5703125" style="97" customWidth="1"/>
    <col min="9969" max="9969" width="9.7109375" style="97" customWidth="1"/>
    <col min="9970" max="9970" width="0" style="97" hidden="1" customWidth="1"/>
    <col min="9971" max="9972" width="9.7109375" style="97" customWidth="1"/>
    <col min="9973" max="9973" width="11.42578125" style="97" customWidth="1"/>
    <col min="9974" max="9974" width="9.7109375" style="97" customWidth="1"/>
    <col min="9975" max="9975" width="9.28515625" style="97" customWidth="1"/>
    <col min="9976" max="9977" width="10.85546875" style="97" customWidth="1"/>
    <col min="9978" max="9978" width="10.28515625" style="97" customWidth="1"/>
    <col min="9979" max="9979" width="11.42578125" style="97" customWidth="1"/>
    <col min="9980" max="9980" width="10.28515625" style="97" customWidth="1"/>
    <col min="9981" max="9981" width="9.5703125" style="97" bestFit="1" customWidth="1"/>
    <col min="9982" max="9983" width="0" style="97" hidden="1" customWidth="1"/>
    <col min="9984" max="9984" width="8.5703125" style="97" bestFit="1" customWidth="1"/>
    <col min="9985" max="9985" width="12.85546875" style="97" bestFit="1" customWidth="1"/>
    <col min="9986" max="9986" width="11" style="97" bestFit="1" customWidth="1"/>
    <col min="9987" max="9987" width="9" style="97" bestFit="1" customWidth="1"/>
    <col min="9988" max="9988" width="13.5703125" style="97" bestFit="1" customWidth="1"/>
    <col min="9989" max="9989" width="9.5703125" style="97" bestFit="1" customWidth="1"/>
    <col min="9990" max="9990" width="11.5703125" style="97" customWidth="1"/>
    <col min="9991" max="9991" width="9.140625" style="97"/>
    <col min="9992" max="9992" width="11.85546875" style="97" customWidth="1"/>
    <col min="9993" max="10220" width="9.140625" style="97"/>
    <col min="10221" max="10221" width="4.7109375" style="97" customWidth="1"/>
    <col min="10222" max="10222" width="12.140625" style="97" customWidth="1"/>
    <col min="10223" max="10223" width="47.5703125" style="97" customWidth="1"/>
    <col min="10224" max="10224" width="5.5703125" style="97" customWidth="1"/>
    <col min="10225" max="10225" width="9.7109375" style="97" customWidth="1"/>
    <col min="10226" max="10226" width="0" style="97" hidden="1" customWidth="1"/>
    <col min="10227" max="10228" width="9.7109375" style="97" customWidth="1"/>
    <col min="10229" max="10229" width="11.42578125" style="97" customWidth="1"/>
    <col min="10230" max="10230" width="9.7109375" style="97" customWidth="1"/>
    <col min="10231" max="10231" width="9.28515625" style="97" customWidth="1"/>
    <col min="10232" max="10233" width="10.85546875" style="97" customWidth="1"/>
    <col min="10234" max="10234" width="10.28515625" style="97" customWidth="1"/>
    <col min="10235" max="10235" width="11.42578125" style="97" customWidth="1"/>
    <col min="10236" max="10236" width="10.28515625" style="97" customWidth="1"/>
    <col min="10237" max="10237" width="9.5703125" style="97" bestFit="1" customWidth="1"/>
    <col min="10238" max="10239" width="0" style="97" hidden="1" customWidth="1"/>
    <col min="10240" max="10240" width="8.5703125" style="97" bestFit="1" customWidth="1"/>
    <col min="10241" max="10241" width="12.85546875" style="97" bestFit="1" customWidth="1"/>
    <col min="10242" max="10242" width="11" style="97" bestFit="1" customWidth="1"/>
    <col min="10243" max="10243" width="9" style="97" bestFit="1" customWidth="1"/>
    <col min="10244" max="10244" width="13.5703125" style="97" bestFit="1" customWidth="1"/>
    <col min="10245" max="10245" width="9.5703125" style="97" bestFit="1" customWidth="1"/>
    <col min="10246" max="10246" width="11.5703125" style="97" customWidth="1"/>
    <col min="10247" max="10247" width="9.140625" style="97"/>
    <col min="10248" max="10248" width="11.85546875" style="97" customWidth="1"/>
    <col min="10249" max="10476" width="9.140625" style="97"/>
    <col min="10477" max="10477" width="4.7109375" style="97" customWidth="1"/>
    <col min="10478" max="10478" width="12.140625" style="97" customWidth="1"/>
    <col min="10479" max="10479" width="47.5703125" style="97" customWidth="1"/>
    <col min="10480" max="10480" width="5.5703125" style="97" customWidth="1"/>
    <col min="10481" max="10481" width="9.7109375" style="97" customWidth="1"/>
    <col min="10482" max="10482" width="0" style="97" hidden="1" customWidth="1"/>
    <col min="10483" max="10484" width="9.7109375" style="97" customWidth="1"/>
    <col min="10485" max="10485" width="11.42578125" style="97" customWidth="1"/>
    <col min="10486" max="10486" width="9.7109375" style="97" customWidth="1"/>
    <col min="10487" max="10487" width="9.28515625" style="97" customWidth="1"/>
    <col min="10488" max="10489" width="10.85546875" style="97" customWidth="1"/>
    <col min="10490" max="10490" width="10.28515625" style="97" customWidth="1"/>
    <col min="10491" max="10491" width="11.42578125" style="97" customWidth="1"/>
    <col min="10492" max="10492" width="10.28515625" style="97" customWidth="1"/>
    <col min="10493" max="10493" width="9.5703125" style="97" bestFit="1" customWidth="1"/>
    <col min="10494" max="10495" width="0" style="97" hidden="1" customWidth="1"/>
    <col min="10496" max="10496" width="8.5703125" style="97" bestFit="1" customWidth="1"/>
    <col min="10497" max="10497" width="12.85546875" style="97" bestFit="1" customWidth="1"/>
    <col min="10498" max="10498" width="11" style="97" bestFit="1" customWidth="1"/>
    <col min="10499" max="10499" width="9" style="97" bestFit="1" customWidth="1"/>
    <col min="10500" max="10500" width="13.5703125" style="97" bestFit="1" customWidth="1"/>
    <col min="10501" max="10501" width="9.5703125" style="97" bestFit="1" customWidth="1"/>
    <col min="10502" max="10502" width="11.5703125" style="97" customWidth="1"/>
    <col min="10503" max="10503" width="9.140625" style="97"/>
    <col min="10504" max="10504" width="11.85546875" style="97" customWidth="1"/>
    <col min="10505" max="10732" width="9.140625" style="97"/>
    <col min="10733" max="10733" width="4.7109375" style="97" customWidth="1"/>
    <col min="10734" max="10734" width="12.140625" style="97" customWidth="1"/>
    <col min="10735" max="10735" width="47.5703125" style="97" customWidth="1"/>
    <col min="10736" max="10736" width="5.5703125" style="97" customWidth="1"/>
    <col min="10737" max="10737" width="9.7109375" style="97" customWidth="1"/>
    <col min="10738" max="10738" width="0" style="97" hidden="1" customWidth="1"/>
    <col min="10739" max="10740" width="9.7109375" style="97" customWidth="1"/>
    <col min="10741" max="10741" width="11.42578125" style="97" customWidth="1"/>
    <col min="10742" max="10742" width="9.7109375" style="97" customWidth="1"/>
    <col min="10743" max="10743" width="9.28515625" style="97" customWidth="1"/>
    <col min="10744" max="10745" width="10.85546875" style="97" customWidth="1"/>
    <col min="10746" max="10746" width="10.28515625" style="97" customWidth="1"/>
    <col min="10747" max="10747" width="11.42578125" style="97" customWidth="1"/>
    <col min="10748" max="10748" width="10.28515625" style="97" customWidth="1"/>
    <col min="10749" max="10749" width="9.5703125" style="97" bestFit="1" customWidth="1"/>
    <col min="10750" max="10751" width="0" style="97" hidden="1" customWidth="1"/>
    <col min="10752" max="10752" width="8.5703125" style="97" bestFit="1" customWidth="1"/>
    <col min="10753" max="10753" width="12.85546875" style="97" bestFit="1" customWidth="1"/>
    <col min="10754" max="10754" width="11" style="97" bestFit="1" customWidth="1"/>
    <col min="10755" max="10755" width="9" style="97" bestFit="1" customWidth="1"/>
    <col min="10756" max="10756" width="13.5703125" style="97" bestFit="1" customWidth="1"/>
    <col min="10757" max="10757" width="9.5703125" style="97" bestFit="1" customWidth="1"/>
    <col min="10758" max="10758" width="11.5703125" style="97" customWidth="1"/>
    <col min="10759" max="10759" width="9.140625" style="97"/>
    <col min="10760" max="10760" width="11.85546875" style="97" customWidth="1"/>
    <col min="10761" max="10988" width="9.140625" style="97"/>
    <col min="10989" max="10989" width="4.7109375" style="97" customWidth="1"/>
    <col min="10990" max="10990" width="12.140625" style="97" customWidth="1"/>
    <col min="10991" max="10991" width="47.5703125" style="97" customWidth="1"/>
    <col min="10992" max="10992" width="5.5703125" style="97" customWidth="1"/>
    <col min="10993" max="10993" width="9.7109375" style="97" customWidth="1"/>
    <col min="10994" max="10994" width="0" style="97" hidden="1" customWidth="1"/>
    <col min="10995" max="10996" width="9.7109375" style="97" customWidth="1"/>
    <col min="10997" max="10997" width="11.42578125" style="97" customWidth="1"/>
    <col min="10998" max="10998" width="9.7109375" style="97" customWidth="1"/>
    <col min="10999" max="10999" width="9.28515625" style="97" customWidth="1"/>
    <col min="11000" max="11001" width="10.85546875" style="97" customWidth="1"/>
    <col min="11002" max="11002" width="10.28515625" style="97" customWidth="1"/>
    <col min="11003" max="11003" width="11.42578125" style="97" customWidth="1"/>
    <col min="11004" max="11004" width="10.28515625" style="97" customWidth="1"/>
    <col min="11005" max="11005" width="9.5703125" style="97" bestFit="1" customWidth="1"/>
    <col min="11006" max="11007" width="0" style="97" hidden="1" customWidth="1"/>
    <col min="11008" max="11008" width="8.5703125" style="97" bestFit="1" customWidth="1"/>
    <col min="11009" max="11009" width="12.85546875" style="97" bestFit="1" customWidth="1"/>
    <col min="11010" max="11010" width="11" style="97" bestFit="1" customWidth="1"/>
    <col min="11011" max="11011" width="9" style="97" bestFit="1" customWidth="1"/>
    <col min="11012" max="11012" width="13.5703125" style="97" bestFit="1" customWidth="1"/>
    <col min="11013" max="11013" width="9.5703125" style="97" bestFit="1" customWidth="1"/>
    <col min="11014" max="11014" width="11.5703125" style="97" customWidth="1"/>
    <col min="11015" max="11015" width="9.140625" style="97"/>
    <col min="11016" max="11016" width="11.85546875" style="97" customWidth="1"/>
    <col min="11017" max="11244" width="9.140625" style="97"/>
    <col min="11245" max="11245" width="4.7109375" style="97" customWidth="1"/>
    <col min="11246" max="11246" width="12.140625" style="97" customWidth="1"/>
    <col min="11247" max="11247" width="47.5703125" style="97" customWidth="1"/>
    <col min="11248" max="11248" width="5.5703125" style="97" customWidth="1"/>
    <col min="11249" max="11249" width="9.7109375" style="97" customWidth="1"/>
    <col min="11250" max="11250" width="0" style="97" hidden="1" customWidth="1"/>
    <col min="11251" max="11252" width="9.7109375" style="97" customWidth="1"/>
    <col min="11253" max="11253" width="11.42578125" style="97" customWidth="1"/>
    <col min="11254" max="11254" width="9.7109375" style="97" customWidth="1"/>
    <col min="11255" max="11255" width="9.28515625" style="97" customWidth="1"/>
    <col min="11256" max="11257" width="10.85546875" style="97" customWidth="1"/>
    <col min="11258" max="11258" width="10.28515625" style="97" customWidth="1"/>
    <col min="11259" max="11259" width="11.42578125" style="97" customWidth="1"/>
    <col min="11260" max="11260" width="10.28515625" style="97" customWidth="1"/>
    <col min="11261" max="11261" width="9.5703125" style="97" bestFit="1" customWidth="1"/>
    <col min="11262" max="11263" width="0" style="97" hidden="1" customWidth="1"/>
    <col min="11264" max="11264" width="8.5703125" style="97" bestFit="1" customWidth="1"/>
    <col min="11265" max="11265" width="12.85546875" style="97" bestFit="1" customWidth="1"/>
    <col min="11266" max="11266" width="11" style="97" bestFit="1" customWidth="1"/>
    <col min="11267" max="11267" width="9" style="97" bestFit="1" customWidth="1"/>
    <col min="11268" max="11268" width="13.5703125" style="97" bestFit="1" customWidth="1"/>
    <col min="11269" max="11269" width="9.5703125" style="97" bestFit="1" customWidth="1"/>
    <col min="11270" max="11270" width="11.5703125" style="97" customWidth="1"/>
    <col min="11271" max="11271" width="9.140625" style="97"/>
    <col min="11272" max="11272" width="11.85546875" style="97" customWidth="1"/>
    <col min="11273" max="11500" width="9.140625" style="97"/>
    <col min="11501" max="11501" width="4.7109375" style="97" customWidth="1"/>
    <col min="11502" max="11502" width="12.140625" style="97" customWidth="1"/>
    <col min="11503" max="11503" width="47.5703125" style="97" customWidth="1"/>
    <col min="11504" max="11504" width="5.5703125" style="97" customWidth="1"/>
    <col min="11505" max="11505" width="9.7109375" style="97" customWidth="1"/>
    <col min="11506" max="11506" width="0" style="97" hidden="1" customWidth="1"/>
    <col min="11507" max="11508" width="9.7109375" style="97" customWidth="1"/>
    <col min="11509" max="11509" width="11.42578125" style="97" customWidth="1"/>
    <col min="11510" max="11510" width="9.7109375" style="97" customWidth="1"/>
    <col min="11511" max="11511" width="9.28515625" style="97" customWidth="1"/>
    <col min="11512" max="11513" width="10.85546875" style="97" customWidth="1"/>
    <col min="11514" max="11514" width="10.28515625" style="97" customWidth="1"/>
    <col min="11515" max="11515" width="11.42578125" style="97" customWidth="1"/>
    <col min="11516" max="11516" width="10.28515625" style="97" customWidth="1"/>
    <col min="11517" max="11517" width="9.5703125" style="97" bestFit="1" customWidth="1"/>
    <col min="11518" max="11519" width="0" style="97" hidden="1" customWidth="1"/>
    <col min="11520" max="11520" width="8.5703125" style="97" bestFit="1" customWidth="1"/>
    <col min="11521" max="11521" width="12.85546875" style="97" bestFit="1" customWidth="1"/>
    <col min="11522" max="11522" width="11" style="97" bestFit="1" customWidth="1"/>
    <col min="11523" max="11523" width="9" style="97" bestFit="1" customWidth="1"/>
    <col min="11524" max="11524" width="13.5703125" style="97" bestFit="1" customWidth="1"/>
    <col min="11525" max="11525" width="9.5703125" style="97" bestFit="1" customWidth="1"/>
    <col min="11526" max="11526" width="11.5703125" style="97" customWidth="1"/>
    <col min="11527" max="11527" width="9.140625" style="97"/>
    <col min="11528" max="11528" width="11.85546875" style="97" customWidth="1"/>
    <col min="11529" max="11756" width="9.140625" style="97"/>
    <col min="11757" max="11757" width="4.7109375" style="97" customWidth="1"/>
    <col min="11758" max="11758" width="12.140625" style="97" customWidth="1"/>
    <col min="11759" max="11759" width="47.5703125" style="97" customWidth="1"/>
    <col min="11760" max="11760" width="5.5703125" style="97" customWidth="1"/>
    <col min="11761" max="11761" width="9.7109375" style="97" customWidth="1"/>
    <col min="11762" max="11762" width="0" style="97" hidden="1" customWidth="1"/>
    <col min="11763" max="11764" width="9.7109375" style="97" customWidth="1"/>
    <col min="11765" max="11765" width="11.42578125" style="97" customWidth="1"/>
    <col min="11766" max="11766" width="9.7109375" style="97" customWidth="1"/>
    <col min="11767" max="11767" width="9.28515625" style="97" customWidth="1"/>
    <col min="11768" max="11769" width="10.85546875" style="97" customWidth="1"/>
    <col min="11770" max="11770" width="10.28515625" style="97" customWidth="1"/>
    <col min="11771" max="11771" width="11.42578125" style="97" customWidth="1"/>
    <col min="11772" max="11772" width="10.28515625" style="97" customWidth="1"/>
    <col min="11773" max="11773" width="9.5703125" style="97" bestFit="1" customWidth="1"/>
    <col min="11774" max="11775" width="0" style="97" hidden="1" customWidth="1"/>
    <col min="11776" max="11776" width="8.5703125" style="97" bestFit="1" customWidth="1"/>
    <col min="11777" max="11777" width="12.85546875" style="97" bestFit="1" customWidth="1"/>
    <col min="11778" max="11778" width="11" style="97" bestFit="1" customWidth="1"/>
    <col min="11779" max="11779" width="9" style="97" bestFit="1" customWidth="1"/>
    <col min="11780" max="11780" width="13.5703125" style="97" bestFit="1" customWidth="1"/>
    <col min="11781" max="11781" width="9.5703125" style="97" bestFit="1" customWidth="1"/>
    <col min="11782" max="11782" width="11.5703125" style="97" customWidth="1"/>
    <col min="11783" max="11783" width="9.140625" style="97"/>
    <col min="11784" max="11784" width="11.85546875" style="97" customWidth="1"/>
    <col min="11785" max="12012" width="9.140625" style="97"/>
    <col min="12013" max="12013" width="4.7109375" style="97" customWidth="1"/>
    <col min="12014" max="12014" width="12.140625" style="97" customWidth="1"/>
    <col min="12015" max="12015" width="47.5703125" style="97" customWidth="1"/>
    <col min="12016" max="12016" width="5.5703125" style="97" customWidth="1"/>
    <col min="12017" max="12017" width="9.7109375" style="97" customWidth="1"/>
    <col min="12018" max="12018" width="0" style="97" hidden="1" customWidth="1"/>
    <col min="12019" max="12020" width="9.7109375" style="97" customWidth="1"/>
    <col min="12021" max="12021" width="11.42578125" style="97" customWidth="1"/>
    <col min="12022" max="12022" width="9.7109375" style="97" customWidth="1"/>
    <col min="12023" max="12023" width="9.28515625" style="97" customWidth="1"/>
    <col min="12024" max="12025" width="10.85546875" style="97" customWidth="1"/>
    <col min="12026" max="12026" width="10.28515625" style="97" customWidth="1"/>
    <col min="12027" max="12027" width="11.42578125" style="97" customWidth="1"/>
    <col min="12028" max="12028" width="10.28515625" style="97" customWidth="1"/>
    <col min="12029" max="12029" width="9.5703125" style="97" bestFit="1" customWidth="1"/>
    <col min="12030" max="12031" width="0" style="97" hidden="1" customWidth="1"/>
    <col min="12032" max="12032" width="8.5703125" style="97" bestFit="1" customWidth="1"/>
    <col min="12033" max="12033" width="12.85546875" style="97" bestFit="1" customWidth="1"/>
    <col min="12034" max="12034" width="11" style="97" bestFit="1" customWidth="1"/>
    <col min="12035" max="12035" width="9" style="97" bestFit="1" customWidth="1"/>
    <col min="12036" max="12036" width="13.5703125" style="97" bestFit="1" customWidth="1"/>
    <col min="12037" max="12037" width="9.5703125" style="97" bestFit="1" customWidth="1"/>
    <col min="12038" max="12038" width="11.5703125" style="97" customWidth="1"/>
    <col min="12039" max="12039" width="9.140625" style="97"/>
    <col min="12040" max="12040" width="11.85546875" style="97" customWidth="1"/>
    <col min="12041" max="12268" width="9.140625" style="97"/>
    <col min="12269" max="12269" width="4.7109375" style="97" customWidth="1"/>
    <col min="12270" max="12270" width="12.140625" style="97" customWidth="1"/>
    <col min="12271" max="12271" width="47.5703125" style="97" customWidth="1"/>
    <col min="12272" max="12272" width="5.5703125" style="97" customWidth="1"/>
    <col min="12273" max="12273" width="9.7109375" style="97" customWidth="1"/>
    <col min="12274" max="12274" width="0" style="97" hidden="1" customWidth="1"/>
    <col min="12275" max="12276" width="9.7109375" style="97" customWidth="1"/>
    <col min="12277" max="12277" width="11.42578125" style="97" customWidth="1"/>
    <col min="12278" max="12278" width="9.7109375" style="97" customWidth="1"/>
    <col min="12279" max="12279" width="9.28515625" style="97" customWidth="1"/>
    <col min="12280" max="12281" width="10.85546875" style="97" customWidth="1"/>
    <col min="12282" max="12282" width="10.28515625" style="97" customWidth="1"/>
    <col min="12283" max="12283" width="11.42578125" style="97" customWidth="1"/>
    <col min="12284" max="12284" width="10.28515625" style="97" customWidth="1"/>
    <col min="12285" max="12285" width="9.5703125" style="97" bestFit="1" customWidth="1"/>
    <col min="12286" max="12287" width="0" style="97" hidden="1" customWidth="1"/>
    <col min="12288" max="12288" width="8.5703125" style="97" bestFit="1" customWidth="1"/>
    <col min="12289" max="12289" width="12.85546875" style="97" bestFit="1" customWidth="1"/>
    <col min="12290" max="12290" width="11" style="97" bestFit="1" customWidth="1"/>
    <col min="12291" max="12291" width="9" style="97" bestFit="1" customWidth="1"/>
    <col min="12292" max="12292" width="13.5703125" style="97" bestFit="1" customWidth="1"/>
    <col min="12293" max="12293" width="9.5703125" style="97" bestFit="1" customWidth="1"/>
    <col min="12294" max="12294" width="11.5703125" style="97" customWidth="1"/>
    <col min="12295" max="12295" width="9.140625" style="97"/>
    <col min="12296" max="12296" width="11.85546875" style="97" customWidth="1"/>
    <col min="12297" max="12524" width="9.140625" style="97"/>
    <col min="12525" max="12525" width="4.7109375" style="97" customWidth="1"/>
    <col min="12526" max="12526" width="12.140625" style="97" customWidth="1"/>
    <col min="12527" max="12527" width="47.5703125" style="97" customWidth="1"/>
    <col min="12528" max="12528" width="5.5703125" style="97" customWidth="1"/>
    <col min="12529" max="12529" width="9.7109375" style="97" customWidth="1"/>
    <col min="12530" max="12530" width="0" style="97" hidden="1" customWidth="1"/>
    <col min="12531" max="12532" width="9.7109375" style="97" customWidth="1"/>
    <col min="12533" max="12533" width="11.42578125" style="97" customWidth="1"/>
    <col min="12534" max="12534" width="9.7109375" style="97" customWidth="1"/>
    <col min="12535" max="12535" width="9.28515625" style="97" customWidth="1"/>
    <col min="12536" max="12537" width="10.85546875" style="97" customWidth="1"/>
    <col min="12538" max="12538" width="10.28515625" style="97" customWidth="1"/>
    <col min="12539" max="12539" width="11.42578125" style="97" customWidth="1"/>
    <col min="12540" max="12540" width="10.28515625" style="97" customWidth="1"/>
    <col min="12541" max="12541" width="9.5703125" style="97" bestFit="1" customWidth="1"/>
    <col min="12542" max="12543" width="0" style="97" hidden="1" customWidth="1"/>
    <col min="12544" max="12544" width="8.5703125" style="97" bestFit="1" customWidth="1"/>
    <col min="12545" max="12545" width="12.85546875" style="97" bestFit="1" customWidth="1"/>
    <col min="12546" max="12546" width="11" style="97" bestFit="1" customWidth="1"/>
    <col min="12547" max="12547" width="9" style="97" bestFit="1" customWidth="1"/>
    <col min="12548" max="12548" width="13.5703125" style="97" bestFit="1" customWidth="1"/>
    <col min="12549" max="12549" width="9.5703125" style="97" bestFit="1" customWidth="1"/>
    <col min="12550" max="12550" width="11.5703125" style="97" customWidth="1"/>
    <col min="12551" max="12551" width="9.140625" style="97"/>
    <col min="12552" max="12552" width="11.85546875" style="97" customWidth="1"/>
    <col min="12553" max="12780" width="9.140625" style="97"/>
    <col min="12781" max="12781" width="4.7109375" style="97" customWidth="1"/>
    <col min="12782" max="12782" width="12.140625" style="97" customWidth="1"/>
    <col min="12783" max="12783" width="47.5703125" style="97" customWidth="1"/>
    <col min="12784" max="12784" width="5.5703125" style="97" customWidth="1"/>
    <col min="12785" max="12785" width="9.7109375" style="97" customWidth="1"/>
    <col min="12786" max="12786" width="0" style="97" hidden="1" customWidth="1"/>
    <col min="12787" max="12788" width="9.7109375" style="97" customWidth="1"/>
    <col min="12789" max="12789" width="11.42578125" style="97" customWidth="1"/>
    <col min="12790" max="12790" width="9.7109375" style="97" customWidth="1"/>
    <col min="12791" max="12791" width="9.28515625" style="97" customWidth="1"/>
    <col min="12792" max="12793" width="10.85546875" style="97" customWidth="1"/>
    <col min="12794" max="12794" width="10.28515625" style="97" customWidth="1"/>
    <col min="12795" max="12795" width="11.42578125" style="97" customWidth="1"/>
    <col min="12796" max="12796" width="10.28515625" style="97" customWidth="1"/>
    <col min="12797" max="12797" width="9.5703125" style="97" bestFit="1" customWidth="1"/>
    <col min="12798" max="12799" width="0" style="97" hidden="1" customWidth="1"/>
    <col min="12800" max="12800" width="8.5703125" style="97" bestFit="1" customWidth="1"/>
    <col min="12801" max="12801" width="12.85546875" style="97" bestFit="1" customWidth="1"/>
    <col min="12802" max="12802" width="11" style="97" bestFit="1" customWidth="1"/>
    <col min="12803" max="12803" width="9" style="97" bestFit="1" customWidth="1"/>
    <col min="12804" max="12804" width="13.5703125" style="97" bestFit="1" customWidth="1"/>
    <col min="12805" max="12805" width="9.5703125" style="97" bestFit="1" customWidth="1"/>
    <col min="12806" max="12806" width="11.5703125" style="97" customWidth="1"/>
    <col min="12807" max="12807" width="9.140625" style="97"/>
    <col min="12808" max="12808" width="11.85546875" style="97" customWidth="1"/>
    <col min="12809" max="13036" width="9.140625" style="97"/>
    <col min="13037" max="13037" width="4.7109375" style="97" customWidth="1"/>
    <col min="13038" max="13038" width="12.140625" style="97" customWidth="1"/>
    <col min="13039" max="13039" width="47.5703125" style="97" customWidth="1"/>
    <col min="13040" max="13040" width="5.5703125" style="97" customWidth="1"/>
    <col min="13041" max="13041" width="9.7109375" style="97" customWidth="1"/>
    <col min="13042" max="13042" width="0" style="97" hidden="1" customWidth="1"/>
    <col min="13043" max="13044" width="9.7109375" style="97" customWidth="1"/>
    <col min="13045" max="13045" width="11.42578125" style="97" customWidth="1"/>
    <col min="13046" max="13046" width="9.7109375" style="97" customWidth="1"/>
    <col min="13047" max="13047" width="9.28515625" style="97" customWidth="1"/>
    <col min="13048" max="13049" width="10.85546875" style="97" customWidth="1"/>
    <col min="13050" max="13050" width="10.28515625" style="97" customWidth="1"/>
    <col min="13051" max="13051" width="11.42578125" style="97" customWidth="1"/>
    <col min="13052" max="13052" width="10.28515625" style="97" customWidth="1"/>
    <col min="13053" max="13053" width="9.5703125" style="97" bestFit="1" customWidth="1"/>
    <col min="13054" max="13055" width="0" style="97" hidden="1" customWidth="1"/>
    <col min="13056" max="13056" width="8.5703125" style="97" bestFit="1" customWidth="1"/>
    <col min="13057" max="13057" width="12.85546875" style="97" bestFit="1" customWidth="1"/>
    <col min="13058" max="13058" width="11" style="97" bestFit="1" customWidth="1"/>
    <col min="13059" max="13059" width="9" style="97" bestFit="1" customWidth="1"/>
    <col min="13060" max="13060" width="13.5703125" style="97" bestFit="1" customWidth="1"/>
    <col min="13061" max="13061" width="9.5703125" style="97" bestFit="1" customWidth="1"/>
    <col min="13062" max="13062" width="11.5703125" style="97" customWidth="1"/>
    <col min="13063" max="13063" width="9.140625" style="97"/>
    <col min="13064" max="13064" width="11.85546875" style="97" customWidth="1"/>
    <col min="13065" max="13292" width="9.140625" style="97"/>
    <col min="13293" max="13293" width="4.7109375" style="97" customWidth="1"/>
    <col min="13294" max="13294" width="12.140625" style="97" customWidth="1"/>
    <col min="13295" max="13295" width="47.5703125" style="97" customWidth="1"/>
    <col min="13296" max="13296" width="5.5703125" style="97" customWidth="1"/>
    <col min="13297" max="13297" width="9.7109375" style="97" customWidth="1"/>
    <col min="13298" max="13298" width="0" style="97" hidden="1" customWidth="1"/>
    <col min="13299" max="13300" width="9.7109375" style="97" customWidth="1"/>
    <col min="13301" max="13301" width="11.42578125" style="97" customWidth="1"/>
    <col min="13302" max="13302" width="9.7109375" style="97" customWidth="1"/>
    <col min="13303" max="13303" width="9.28515625" style="97" customWidth="1"/>
    <col min="13304" max="13305" width="10.85546875" style="97" customWidth="1"/>
    <col min="13306" max="13306" width="10.28515625" style="97" customWidth="1"/>
    <col min="13307" max="13307" width="11.42578125" style="97" customWidth="1"/>
    <col min="13308" max="13308" width="10.28515625" style="97" customWidth="1"/>
    <col min="13309" max="13309" width="9.5703125" style="97" bestFit="1" customWidth="1"/>
    <col min="13310" max="13311" width="0" style="97" hidden="1" customWidth="1"/>
    <col min="13312" max="13312" width="8.5703125" style="97" bestFit="1" customWidth="1"/>
    <col min="13313" max="13313" width="12.85546875" style="97" bestFit="1" customWidth="1"/>
    <col min="13314" max="13314" width="11" style="97" bestFit="1" customWidth="1"/>
    <col min="13315" max="13315" width="9" style="97" bestFit="1" customWidth="1"/>
    <col min="13316" max="13316" width="13.5703125" style="97" bestFit="1" customWidth="1"/>
    <col min="13317" max="13317" width="9.5703125" style="97" bestFit="1" customWidth="1"/>
    <col min="13318" max="13318" width="11.5703125" style="97" customWidth="1"/>
    <col min="13319" max="13319" width="9.140625" style="97"/>
    <col min="13320" max="13320" width="11.85546875" style="97" customWidth="1"/>
    <col min="13321" max="13548" width="9.140625" style="97"/>
    <col min="13549" max="13549" width="4.7109375" style="97" customWidth="1"/>
    <col min="13550" max="13550" width="12.140625" style="97" customWidth="1"/>
    <col min="13551" max="13551" width="47.5703125" style="97" customWidth="1"/>
    <col min="13552" max="13552" width="5.5703125" style="97" customWidth="1"/>
    <col min="13553" max="13553" width="9.7109375" style="97" customWidth="1"/>
    <col min="13554" max="13554" width="0" style="97" hidden="1" customWidth="1"/>
    <col min="13555" max="13556" width="9.7109375" style="97" customWidth="1"/>
    <col min="13557" max="13557" width="11.42578125" style="97" customWidth="1"/>
    <col min="13558" max="13558" width="9.7109375" style="97" customWidth="1"/>
    <col min="13559" max="13559" width="9.28515625" style="97" customWidth="1"/>
    <col min="13560" max="13561" width="10.85546875" style="97" customWidth="1"/>
    <col min="13562" max="13562" width="10.28515625" style="97" customWidth="1"/>
    <col min="13563" max="13563" width="11.42578125" style="97" customWidth="1"/>
    <col min="13564" max="13564" width="10.28515625" style="97" customWidth="1"/>
    <col min="13565" max="13565" width="9.5703125" style="97" bestFit="1" customWidth="1"/>
    <col min="13566" max="13567" width="0" style="97" hidden="1" customWidth="1"/>
    <col min="13568" max="13568" width="8.5703125" style="97" bestFit="1" customWidth="1"/>
    <col min="13569" max="13569" width="12.85546875" style="97" bestFit="1" customWidth="1"/>
    <col min="13570" max="13570" width="11" style="97" bestFit="1" customWidth="1"/>
    <col min="13571" max="13571" width="9" style="97" bestFit="1" customWidth="1"/>
    <col min="13572" max="13572" width="13.5703125" style="97" bestFit="1" customWidth="1"/>
    <col min="13573" max="13573" width="9.5703125" style="97" bestFit="1" customWidth="1"/>
    <col min="13574" max="13574" width="11.5703125" style="97" customWidth="1"/>
    <col min="13575" max="13575" width="9.140625" style="97"/>
    <col min="13576" max="13576" width="11.85546875" style="97" customWidth="1"/>
    <col min="13577" max="13804" width="9.140625" style="97"/>
    <col min="13805" max="13805" width="4.7109375" style="97" customWidth="1"/>
    <col min="13806" max="13806" width="12.140625" style="97" customWidth="1"/>
    <col min="13807" max="13807" width="47.5703125" style="97" customWidth="1"/>
    <col min="13808" max="13808" width="5.5703125" style="97" customWidth="1"/>
    <col min="13809" max="13809" width="9.7109375" style="97" customWidth="1"/>
    <col min="13810" max="13810" width="0" style="97" hidden="1" customWidth="1"/>
    <col min="13811" max="13812" width="9.7109375" style="97" customWidth="1"/>
    <col min="13813" max="13813" width="11.42578125" style="97" customWidth="1"/>
    <col min="13814" max="13814" width="9.7109375" style="97" customWidth="1"/>
    <col min="13815" max="13815" width="9.28515625" style="97" customWidth="1"/>
    <col min="13816" max="13817" width="10.85546875" style="97" customWidth="1"/>
    <col min="13818" max="13818" width="10.28515625" style="97" customWidth="1"/>
    <col min="13819" max="13819" width="11.42578125" style="97" customWidth="1"/>
    <col min="13820" max="13820" width="10.28515625" style="97" customWidth="1"/>
    <col min="13821" max="13821" width="9.5703125" style="97" bestFit="1" customWidth="1"/>
    <col min="13822" max="13823" width="0" style="97" hidden="1" customWidth="1"/>
    <col min="13824" max="13824" width="8.5703125" style="97" bestFit="1" customWidth="1"/>
    <col min="13825" max="13825" width="12.85546875" style="97" bestFit="1" customWidth="1"/>
    <col min="13826" max="13826" width="11" style="97" bestFit="1" customWidth="1"/>
    <col min="13827" max="13827" width="9" style="97" bestFit="1" customWidth="1"/>
    <col min="13828" max="13828" width="13.5703125" style="97" bestFit="1" customWidth="1"/>
    <col min="13829" max="13829" width="9.5703125" style="97" bestFit="1" customWidth="1"/>
    <col min="13830" max="13830" width="11.5703125" style="97" customWidth="1"/>
    <col min="13831" max="13831" width="9.140625" style="97"/>
    <col min="13832" max="13832" width="11.85546875" style="97" customWidth="1"/>
    <col min="13833" max="14060" width="9.140625" style="97"/>
    <col min="14061" max="14061" width="4.7109375" style="97" customWidth="1"/>
    <col min="14062" max="14062" width="12.140625" style="97" customWidth="1"/>
    <col min="14063" max="14063" width="47.5703125" style="97" customWidth="1"/>
    <col min="14064" max="14064" width="5.5703125" style="97" customWidth="1"/>
    <col min="14065" max="14065" width="9.7109375" style="97" customWidth="1"/>
    <col min="14066" max="14066" width="0" style="97" hidden="1" customWidth="1"/>
    <col min="14067" max="14068" width="9.7109375" style="97" customWidth="1"/>
    <col min="14069" max="14069" width="11.42578125" style="97" customWidth="1"/>
    <col min="14070" max="14070" width="9.7109375" style="97" customWidth="1"/>
    <col min="14071" max="14071" width="9.28515625" style="97" customWidth="1"/>
    <col min="14072" max="14073" width="10.85546875" style="97" customWidth="1"/>
    <col min="14074" max="14074" width="10.28515625" style="97" customWidth="1"/>
    <col min="14075" max="14075" width="11.42578125" style="97" customWidth="1"/>
    <col min="14076" max="14076" width="10.28515625" style="97" customWidth="1"/>
    <col min="14077" max="14077" width="9.5703125" style="97" bestFit="1" customWidth="1"/>
    <col min="14078" max="14079" width="0" style="97" hidden="1" customWidth="1"/>
    <col min="14080" max="14080" width="8.5703125" style="97" bestFit="1" customWidth="1"/>
    <col min="14081" max="14081" width="12.85546875" style="97" bestFit="1" customWidth="1"/>
    <col min="14082" max="14082" width="11" style="97" bestFit="1" customWidth="1"/>
    <col min="14083" max="14083" width="9" style="97" bestFit="1" customWidth="1"/>
    <col min="14084" max="14084" width="13.5703125" style="97" bestFit="1" customWidth="1"/>
    <col min="14085" max="14085" width="9.5703125" style="97" bestFit="1" customWidth="1"/>
    <col min="14086" max="14086" width="11.5703125" style="97" customWidth="1"/>
    <col min="14087" max="14087" width="9.140625" style="97"/>
    <col min="14088" max="14088" width="11.85546875" style="97" customWidth="1"/>
    <col min="14089" max="14316" width="9.140625" style="97"/>
    <col min="14317" max="14317" width="4.7109375" style="97" customWidth="1"/>
    <col min="14318" max="14318" width="12.140625" style="97" customWidth="1"/>
    <col min="14319" max="14319" width="47.5703125" style="97" customWidth="1"/>
    <col min="14320" max="14320" width="5.5703125" style="97" customWidth="1"/>
    <col min="14321" max="14321" width="9.7109375" style="97" customWidth="1"/>
    <col min="14322" max="14322" width="0" style="97" hidden="1" customWidth="1"/>
    <col min="14323" max="14324" width="9.7109375" style="97" customWidth="1"/>
    <col min="14325" max="14325" width="11.42578125" style="97" customWidth="1"/>
    <col min="14326" max="14326" width="9.7109375" style="97" customWidth="1"/>
    <col min="14327" max="14327" width="9.28515625" style="97" customWidth="1"/>
    <col min="14328" max="14329" width="10.85546875" style="97" customWidth="1"/>
    <col min="14330" max="14330" width="10.28515625" style="97" customWidth="1"/>
    <col min="14331" max="14331" width="11.42578125" style="97" customWidth="1"/>
    <col min="14332" max="14332" width="10.28515625" style="97" customWidth="1"/>
    <col min="14333" max="14333" width="9.5703125" style="97" bestFit="1" customWidth="1"/>
    <col min="14334" max="14335" width="0" style="97" hidden="1" customWidth="1"/>
    <col min="14336" max="14336" width="8.5703125" style="97" bestFit="1" customWidth="1"/>
    <col min="14337" max="14337" width="12.85546875" style="97" bestFit="1" customWidth="1"/>
    <col min="14338" max="14338" width="11" style="97" bestFit="1" customWidth="1"/>
    <col min="14339" max="14339" width="9" style="97" bestFit="1" customWidth="1"/>
    <col min="14340" max="14340" width="13.5703125" style="97" bestFit="1" customWidth="1"/>
    <col min="14341" max="14341" width="9.5703125" style="97" bestFit="1" customWidth="1"/>
    <col min="14342" max="14342" width="11.5703125" style="97" customWidth="1"/>
    <col min="14343" max="14343" width="9.140625" style="97"/>
    <col min="14344" max="14344" width="11.85546875" style="97" customWidth="1"/>
    <col min="14345" max="14572" width="9.140625" style="97"/>
    <col min="14573" max="14573" width="4.7109375" style="97" customWidth="1"/>
    <col min="14574" max="14574" width="12.140625" style="97" customWidth="1"/>
    <col min="14575" max="14575" width="47.5703125" style="97" customWidth="1"/>
    <col min="14576" max="14576" width="5.5703125" style="97" customWidth="1"/>
    <col min="14577" max="14577" width="9.7109375" style="97" customWidth="1"/>
    <col min="14578" max="14578" width="0" style="97" hidden="1" customWidth="1"/>
    <col min="14579" max="14580" width="9.7109375" style="97" customWidth="1"/>
    <col min="14581" max="14581" width="11.42578125" style="97" customWidth="1"/>
    <col min="14582" max="14582" width="9.7109375" style="97" customWidth="1"/>
    <col min="14583" max="14583" width="9.28515625" style="97" customWidth="1"/>
    <col min="14584" max="14585" width="10.85546875" style="97" customWidth="1"/>
    <col min="14586" max="14586" width="10.28515625" style="97" customWidth="1"/>
    <col min="14587" max="14587" width="11.42578125" style="97" customWidth="1"/>
    <col min="14588" max="14588" width="10.28515625" style="97" customWidth="1"/>
    <col min="14589" max="14589" width="9.5703125" style="97" bestFit="1" customWidth="1"/>
    <col min="14590" max="14591" width="0" style="97" hidden="1" customWidth="1"/>
    <col min="14592" max="14592" width="8.5703125" style="97" bestFit="1" customWidth="1"/>
    <col min="14593" max="14593" width="12.85546875" style="97" bestFit="1" customWidth="1"/>
    <col min="14594" max="14594" width="11" style="97" bestFit="1" customWidth="1"/>
    <col min="14595" max="14595" width="9" style="97" bestFit="1" customWidth="1"/>
    <col min="14596" max="14596" width="13.5703125" style="97" bestFit="1" customWidth="1"/>
    <col min="14597" max="14597" width="9.5703125" style="97" bestFit="1" customWidth="1"/>
    <col min="14598" max="14598" width="11.5703125" style="97" customWidth="1"/>
    <col min="14599" max="14599" width="9.140625" style="97"/>
    <col min="14600" max="14600" width="11.85546875" style="97" customWidth="1"/>
    <col min="14601" max="14828" width="9.140625" style="97"/>
    <col min="14829" max="14829" width="4.7109375" style="97" customWidth="1"/>
    <col min="14830" max="14830" width="12.140625" style="97" customWidth="1"/>
    <col min="14831" max="14831" width="47.5703125" style="97" customWidth="1"/>
    <col min="14832" max="14832" width="5.5703125" style="97" customWidth="1"/>
    <col min="14833" max="14833" width="9.7109375" style="97" customWidth="1"/>
    <col min="14834" max="14834" width="0" style="97" hidden="1" customWidth="1"/>
    <col min="14835" max="14836" width="9.7109375" style="97" customWidth="1"/>
    <col min="14837" max="14837" width="11.42578125" style="97" customWidth="1"/>
    <col min="14838" max="14838" width="9.7109375" style="97" customWidth="1"/>
    <col min="14839" max="14839" width="9.28515625" style="97" customWidth="1"/>
    <col min="14840" max="14841" width="10.85546875" style="97" customWidth="1"/>
    <col min="14842" max="14842" width="10.28515625" style="97" customWidth="1"/>
    <col min="14843" max="14843" width="11.42578125" style="97" customWidth="1"/>
    <col min="14844" max="14844" width="10.28515625" style="97" customWidth="1"/>
    <col min="14845" max="14845" width="9.5703125" style="97" bestFit="1" customWidth="1"/>
    <col min="14846" max="14847" width="0" style="97" hidden="1" customWidth="1"/>
    <col min="14848" max="14848" width="8.5703125" style="97" bestFit="1" customWidth="1"/>
    <col min="14849" max="14849" width="12.85546875" style="97" bestFit="1" customWidth="1"/>
    <col min="14850" max="14850" width="11" style="97" bestFit="1" customWidth="1"/>
    <col min="14851" max="14851" width="9" style="97" bestFit="1" customWidth="1"/>
    <col min="14852" max="14852" width="13.5703125" style="97" bestFit="1" customWidth="1"/>
    <col min="14853" max="14853" width="9.5703125" style="97" bestFit="1" customWidth="1"/>
    <col min="14854" max="14854" width="11.5703125" style="97" customWidth="1"/>
    <col min="14855" max="14855" width="9.140625" style="97"/>
    <col min="14856" max="14856" width="11.85546875" style="97" customWidth="1"/>
    <col min="14857" max="15084" width="9.140625" style="97"/>
    <col min="15085" max="15085" width="4.7109375" style="97" customWidth="1"/>
    <col min="15086" max="15086" width="12.140625" style="97" customWidth="1"/>
    <col min="15087" max="15087" width="47.5703125" style="97" customWidth="1"/>
    <col min="15088" max="15088" width="5.5703125" style="97" customWidth="1"/>
    <col min="15089" max="15089" width="9.7109375" style="97" customWidth="1"/>
    <col min="15090" max="15090" width="0" style="97" hidden="1" customWidth="1"/>
    <col min="15091" max="15092" width="9.7109375" style="97" customWidth="1"/>
    <col min="15093" max="15093" width="11.42578125" style="97" customWidth="1"/>
    <col min="15094" max="15094" width="9.7109375" style="97" customWidth="1"/>
    <col min="15095" max="15095" width="9.28515625" style="97" customWidth="1"/>
    <col min="15096" max="15097" width="10.85546875" style="97" customWidth="1"/>
    <col min="15098" max="15098" width="10.28515625" style="97" customWidth="1"/>
    <col min="15099" max="15099" width="11.42578125" style="97" customWidth="1"/>
    <col min="15100" max="15100" width="10.28515625" style="97" customWidth="1"/>
    <col min="15101" max="15101" width="9.5703125" style="97" bestFit="1" customWidth="1"/>
    <col min="15102" max="15103" width="0" style="97" hidden="1" customWidth="1"/>
    <col min="15104" max="15104" width="8.5703125" style="97" bestFit="1" customWidth="1"/>
    <col min="15105" max="15105" width="12.85546875" style="97" bestFit="1" customWidth="1"/>
    <col min="15106" max="15106" width="11" style="97" bestFit="1" customWidth="1"/>
    <col min="15107" max="15107" width="9" style="97" bestFit="1" customWidth="1"/>
    <col min="15108" max="15108" width="13.5703125" style="97" bestFit="1" customWidth="1"/>
    <col min="15109" max="15109" width="9.5703125" style="97" bestFit="1" customWidth="1"/>
    <col min="15110" max="15110" width="11.5703125" style="97" customWidth="1"/>
    <col min="15111" max="15111" width="9.140625" style="97"/>
    <col min="15112" max="15112" width="11.85546875" style="97" customWidth="1"/>
    <col min="15113" max="15340" width="9.140625" style="97"/>
    <col min="15341" max="15341" width="4.7109375" style="97" customWidth="1"/>
    <col min="15342" max="15342" width="12.140625" style="97" customWidth="1"/>
    <col min="15343" max="15343" width="47.5703125" style="97" customWidth="1"/>
    <col min="15344" max="15344" width="5.5703125" style="97" customWidth="1"/>
    <col min="15345" max="15345" width="9.7109375" style="97" customWidth="1"/>
    <col min="15346" max="15346" width="0" style="97" hidden="1" customWidth="1"/>
    <col min="15347" max="15348" width="9.7109375" style="97" customWidth="1"/>
    <col min="15349" max="15349" width="11.42578125" style="97" customWidth="1"/>
    <col min="15350" max="15350" width="9.7109375" style="97" customWidth="1"/>
    <col min="15351" max="15351" width="9.28515625" style="97" customWidth="1"/>
    <col min="15352" max="15353" width="10.85546875" style="97" customWidth="1"/>
    <col min="15354" max="15354" width="10.28515625" style="97" customWidth="1"/>
    <col min="15355" max="15355" width="11.42578125" style="97" customWidth="1"/>
    <col min="15356" max="15356" width="10.28515625" style="97" customWidth="1"/>
    <col min="15357" max="15357" width="9.5703125" style="97" bestFit="1" customWidth="1"/>
    <col min="15358" max="15359" width="0" style="97" hidden="1" customWidth="1"/>
    <col min="15360" max="15360" width="8.5703125" style="97" bestFit="1" customWidth="1"/>
    <col min="15361" max="15361" width="12.85546875" style="97" bestFit="1" customWidth="1"/>
    <col min="15362" max="15362" width="11" style="97" bestFit="1" customWidth="1"/>
    <col min="15363" max="15363" width="9" style="97" bestFit="1" customWidth="1"/>
    <col min="15364" max="15364" width="13.5703125" style="97" bestFit="1" customWidth="1"/>
    <col min="15365" max="15365" width="9.5703125" style="97" bestFit="1" customWidth="1"/>
    <col min="15366" max="15366" width="11.5703125" style="97" customWidth="1"/>
    <col min="15367" max="15367" width="9.140625" style="97"/>
    <col min="15368" max="15368" width="11.85546875" style="97" customWidth="1"/>
    <col min="15369" max="15596" width="9.140625" style="97"/>
    <col min="15597" max="15597" width="4.7109375" style="97" customWidth="1"/>
    <col min="15598" max="15598" width="12.140625" style="97" customWidth="1"/>
    <col min="15599" max="15599" width="47.5703125" style="97" customWidth="1"/>
    <col min="15600" max="15600" width="5.5703125" style="97" customWidth="1"/>
    <col min="15601" max="15601" width="9.7109375" style="97" customWidth="1"/>
    <col min="15602" max="15602" width="0" style="97" hidden="1" customWidth="1"/>
    <col min="15603" max="15604" width="9.7109375" style="97" customWidth="1"/>
    <col min="15605" max="15605" width="11.42578125" style="97" customWidth="1"/>
    <col min="15606" max="15606" width="9.7109375" style="97" customWidth="1"/>
    <col min="15607" max="15607" width="9.28515625" style="97" customWidth="1"/>
    <col min="15608" max="15609" width="10.85546875" style="97" customWidth="1"/>
    <col min="15610" max="15610" width="10.28515625" style="97" customWidth="1"/>
    <col min="15611" max="15611" width="11.42578125" style="97" customWidth="1"/>
    <col min="15612" max="15612" width="10.28515625" style="97" customWidth="1"/>
    <col min="15613" max="15613" width="9.5703125" style="97" bestFit="1" customWidth="1"/>
    <col min="15614" max="15615" width="0" style="97" hidden="1" customWidth="1"/>
    <col min="15616" max="15616" width="8.5703125" style="97" bestFit="1" customWidth="1"/>
    <col min="15617" max="15617" width="12.85546875" style="97" bestFit="1" customWidth="1"/>
    <col min="15618" max="15618" width="11" style="97" bestFit="1" customWidth="1"/>
    <col min="15619" max="15619" width="9" style="97" bestFit="1" customWidth="1"/>
    <col min="15620" max="15620" width="13.5703125" style="97" bestFit="1" customWidth="1"/>
    <col min="15621" max="15621" width="9.5703125" style="97" bestFit="1" customWidth="1"/>
    <col min="15622" max="15622" width="11.5703125" style="97" customWidth="1"/>
    <col min="15623" max="15623" width="9.140625" style="97"/>
    <col min="15624" max="15624" width="11.85546875" style="97" customWidth="1"/>
    <col min="15625" max="15852" width="9.140625" style="97"/>
    <col min="15853" max="15853" width="4.7109375" style="97" customWidth="1"/>
    <col min="15854" max="15854" width="12.140625" style="97" customWidth="1"/>
    <col min="15855" max="15855" width="47.5703125" style="97" customWidth="1"/>
    <col min="15856" max="15856" width="5.5703125" style="97" customWidth="1"/>
    <col min="15857" max="15857" width="9.7109375" style="97" customWidth="1"/>
    <col min="15858" max="15858" width="0" style="97" hidden="1" customWidth="1"/>
    <col min="15859" max="15860" width="9.7109375" style="97" customWidth="1"/>
    <col min="15861" max="15861" width="11.42578125" style="97" customWidth="1"/>
    <col min="15862" max="15862" width="9.7109375" style="97" customWidth="1"/>
    <col min="15863" max="15863" width="9.28515625" style="97" customWidth="1"/>
    <col min="15864" max="15865" width="10.85546875" style="97" customWidth="1"/>
    <col min="15866" max="15866" width="10.28515625" style="97" customWidth="1"/>
    <col min="15867" max="15867" width="11.42578125" style="97" customWidth="1"/>
    <col min="15868" max="15868" width="10.28515625" style="97" customWidth="1"/>
    <col min="15869" max="15869" width="9.5703125" style="97" bestFit="1" customWidth="1"/>
    <col min="15870" max="15871" width="0" style="97" hidden="1" customWidth="1"/>
    <col min="15872" max="15872" width="8.5703125" style="97" bestFit="1" customWidth="1"/>
    <col min="15873" max="15873" width="12.85546875" style="97" bestFit="1" customWidth="1"/>
    <col min="15874" max="15874" width="11" style="97" bestFit="1" customWidth="1"/>
    <col min="15875" max="15875" width="9" style="97" bestFit="1" customWidth="1"/>
    <col min="15876" max="15876" width="13.5703125" style="97" bestFit="1" customWidth="1"/>
    <col min="15877" max="15877" width="9.5703125" style="97" bestFit="1" customWidth="1"/>
    <col min="15878" max="15878" width="11.5703125" style="97" customWidth="1"/>
    <col min="15879" max="15879" width="9.140625" style="97"/>
    <col min="15880" max="15880" width="11.85546875" style="97" customWidth="1"/>
    <col min="15881" max="16108" width="9.140625" style="97"/>
    <col min="16109" max="16109" width="4.7109375" style="97" customWidth="1"/>
    <col min="16110" max="16110" width="12.140625" style="97" customWidth="1"/>
    <col min="16111" max="16111" width="47.5703125" style="97" customWidth="1"/>
    <col min="16112" max="16112" width="5.5703125" style="97" customWidth="1"/>
    <col min="16113" max="16113" width="9.7109375" style="97" customWidth="1"/>
    <col min="16114" max="16114" width="0" style="97" hidden="1" customWidth="1"/>
    <col min="16115" max="16116" width="9.7109375" style="97" customWidth="1"/>
    <col min="16117" max="16117" width="11.42578125" style="97" customWidth="1"/>
    <col min="16118" max="16118" width="9.7109375" style="97" customWidth="1"/>
    <col min="16119" max="16119" width="9.28515625" style="97" customWidth="1"/>
    <col min="16120" max="16121" width="10.85546875" style="97" customWidth="1"/>
    <col min="16122" max="16122" width="10.28515625" style="97" customWidth="1"/>
    <col min="16123" max="16123" width="11.42578125" style="97" customWidth="1"/>
    <col min="16124" max="16124" width="10.28515625" style="97" customWidth="1"/>
    <col min="16125" max="16125" width="9.5703125" style="97" bestFit="1" customWidth="1"/>
    <col min="16126" max="16127" width="0" style="97" hidden="1" customWidth="1"/>
    <col min="16128" max="16128" width="8.5703125" style="97" bestFit="1" customWidth="1"/>
    <col min="16129" max="16129" width="12.85546875" style="97" bestFit="1" customWidth="1"/>
    <col min="16130" max="16130" width="11" style="97" bestFit="1" customWidth="1"/>
    <col min="16131" max="16131" width="9" style="97" bestFit="1" customWidth="1"/>
    <col min="16132" max="16132" width="13.5703125" style="97" bestFit="1" customWidth="1"/>
    <col min="16133" max="16133" width="9.5703125" style="97" bestFit="1" customWidth="1"/>
    <col min="16134" max="16134" width="11.5703125" style="97" customWidth="1"/>
    <col min="16135" max="16135" width="9.140625" style="97"/>
    <col min="16136" max="16136" width="11.85546875" style="97" customWidth="1"/>
    <col min="16137" max="16384" width="9.140625" style="97"/>
  </cols>
  <sheetData>
    <row r="1" spans="1:7" ht="15" customHeight="1" x14ac:dyDescent="0.2">
      <c r="A1" s="417" t="s">
        <v>522</v>
      </c>
      <c r="B1" s="406"/>
      <c r="C1" s="406"/>
      <c r="D1" s="406"/>
      <c r="E1" s="407"/>
    </row>
    <row r="2" spans="1:7" ht="15" customHeight="1" x14ac:dyDescent="0.2">
      <c r="A2" s="418" t="s">
        <v>523</v>
      </c>
      <c r="B2" s="408"/>
      <c r="C2" s="408"/>
      <c r="D2" s="408"/>
      <c r="E2" s="409"/>
    </row>
    <row r="3" spans="1:7" ht="15" customHeight="1" x14ac:dyDescent="0.2">
      <c r="A3" s="418" t="s">
        <v>521</v>
      </c>
      <c r="B3" s="408"/>
      <c r="C3" s="408"/>
      <c r="D3" s="408"/>
      <c r="E3" s="409"/>
    </row>
    <row r="4" spans="1:7" ht="15" customHeight="1" x14ac:dyDescent="0.2">
      <c r="A4" s="418" t="s">
        <v>520</v>
      </c>
      <c r="B4" s="408"/>
      <c r="C4" s="408"/>
      <c r="D4" s="408"/>
      <c r="E4" s="409"/>
    </row>
    <row r="5" spans="1:7" ht="20.25" customHeight="1" x14ac:dyDescent="0.2">
      <c r="A5" s="419"/>
      <c r="B5" s="412"/>
      <c r="C5" s="412"/>
      <c r="D5" s="412"/>
      <c r="E5" s="413"/>
    </row>
    <row r="6" spans="1:7" ht="15" customHeight="1" x14ac:dyDescent="0.2">
      <c r="A6" s="624" t="s">
        <v>491</v>
      </c>
      <c r="B6" s="624"/>
      <c r="C6" s="624"/>
      <c r="D6" s="624"/>
      <c r="E6" s="624"/>
    </row>
    <row r="7" spans="1:7" ht="15" customHeight="1" x14ac:dyDescent="0.2">
      <c r="A7" s="627" t="s">
        <v>146</v>
      </c>
      <c r="B7" s="627"/>
      <c r="C7" s="628" t="s">
        <v>333</v>
      </c>
      <c r="D7" s="628" t="s">
        <v>148</v>
      </c>
      <c r="E7" s="623" t="s">
        <v>44</v>
      </c>
    </row>
    <row r="8" spans="1:7" ht="15" customHeight="1" x14ac:dyDescent="0.2">
      <c r="A8" s="627"/>
      <c r="B8" s="627"/>
      <c r="C8" s="628"/>
      <c r="D8" s="628"/>
      <c r="E8" s="623"/>
    </row>
    <row r="9" spans="1:7" ht="15" customHeight="1" x14ac:dyDescent="0.2">
      <c r="A9" s="629" t="s">
        <v>149</v>
      </c>
      <c r="B9" s="629"/>
      <c r="C9" s="629"/>
      <c r="D9" s="629"/>
      <c r="E9" s="629"/>
    </row>
    <row r="10" spans="1:7" ht="15" customHeight="1" x14ac:dyDescent="0.2">
      <c r="A10" s="625">
        <v>4915744</v>
      </c>
      <c r="B10" s="616"/>
      <c r="C10" s="108" t="s">
        <v>196</v>
      </c>
      <c r="D10" s="109" t="s">
        <v>151</v>
      </c>
      <c r="E10" s="119">
        <v>416</v>
      </c>
    </row>
    <row r="11" spans="1:7" ht="15" customHeight="1" x14ac:dyDescent="0.2">
      <c r="A11" s="625">
        <v>4915776</v>
      </c>
      <c r="B11" s="616"/>
      <c r="C11" s="108" t="s">
        <v>150</v>
      </c>
      <c r="D11" s="109" t="s">
        <v>244</v>
      </c>
      <c r="E11" s="119">
        <v>0.42699999999999999</v>
      </c>
    </row>
    <row r="12" spans="1:7" ht="15" customHeight="1" x14ac:dyDescent="0.2">
      <c r="A12" s="625">
        <v>4915672</v>
      </c>
      <c r="B12" s="616"/>
      <c r="C12" s="108" t="s">
        <v>152</v>
      </c>
      <c r="D12" s="109" t="s">
        <v>153</v>
      </c>
      <c r="E12" s="119">
        <v>335.70000000000005</v>
      </c>
      <c r="G12" s="99"/>
    </row>
    <row r="13" spans="1:7" ht="15" customHeight="1" x14ac:dyDescent="0.2">
      <c r="A13" s="626"/>
      <c r="B13" s="626"/>
      <c r="C13" s="626"/>
      <c r="D13" s="626"/>
      <c r="E13" s="626"/>
      <c r="G13" s="99"/>
    </row>
    <row r="14" spans="1:7" ht="15" customHeight="1" x14ac:dyDescent="0.2">
      <c r="A14" s="630" t="s">
        <v>154</v>
      </c>
      <c r="B14" s="630"/>
      <c r="C14" s="630"/>
      <c r="D14" s="630"/>
      <c r="E14" s="630"/>
      <c r="G14" s="99"/>
    </row>
    <row r="15" spans="1:7" ht="15" customHeight="1" x14ac:dyDescent="0.2">
      <c r="A15" s="617" t="s">
        <v>274</v>
      </c>
      <c r="B15" s="617"/>
      <c r="C15" s="108" t="s">
        <v>155</v>
      </c>
      <c r="D15" s="109" t="s">
        <v>153</v>
      </c>
      <c r="E15" s="338">
        <v>196.8</v>
      </c>
      <c r="G15" s="99"/>
    </row>
    <row r="16" spans="1:7" ht="15" customHeight="1" x14ac:dyDescent="0.2">
      <c r="A16" s="603" t="str">
        <f>'9 - Manutenção'!B20</f>
        <v>AGM9910008</v>
      </c>
      <c r="B16" s="604"/>
      <c r="C16" s="428" t="str">
        <f>'9 - Manutenção'!C20</f>
        <v>Infraestrutura - Ponteira para esteio</v>
      </c>
      <c r="D16" s="109" t="s">
        <v>86</v>
      </c>
      <c r="E16" s="338">
        <v>65</v>
      </c>
      <c r="G16" s="99"/>
    </row>
    <row r="17" spans="1:7" ht="15" customHeight="1" x14ac:dyDescent="0.2">
      <c r="A17" s="617" t="s">
        <v>275</v>
      </c>
      <c r="B17" s="617"/>
      <c r="C17" s="112" t="s">
        <v>156</v>
      </c>
      <c r="D17" s="109" t="s">
        <v>86</v>
      </c>
      <c r="E17" s="338">
        <v>26</v>
      </c>
      <c r="F17" s="98"/>
    </row>
    <row r="18" spans="1:7" ht="15" customHeight="1" x14ac:dyDescent="0.2">
      <c r="A18" s="613"/>
      <c r="B18" s="613"/>
      <c r="C18" s="613"/>
      <c r="D18" s="613"/>
      <c r="E18" s="613"/>
      <c r="G18" s="98"/>
    </row>
    <row r="19" spans="1:7" ht="15" customHeight="1" x14ac:dyDescent="0.2">
      <c r="A19" s="611" t="s">
        <v>159</v>
      </c>
      <c r="B19" s="611"/>
      <c r="C19" s="611"/>
      <c r="D19" s="611"/>
      <c r="E19" s="611"/>
    </row>
    <row r="20" spans="1:7" ht="15" customHeight="1" x14ac:dyDescent="0.2">
      <c r="A20" s="609" t="s">
        <v>276</v>
      </c>
      <c r="B20" s="609"/>
      <c r="C20" s="108" t="s">
        <v>88</v>
      </c>
      <c r="D20" s="109" t="s">
        <v>153</v>
      </c>
      <c r="E20" s="338">
        <v>393.6</v>
      </c>
    </row>
    <row r="21" spans="1:7" ht="15" customHeight="1" x14ac:dyDescent="0.2">
      <c r="A21" s="609" t="s">
        <v>277</v>
      </c>
      <c r="B21" s="609"/>
      <c r="C21" s="108" t="s">
        <v>245</v>
      </c>
      <c r="D21" s="109" t="s">
        <v>153</v>
      </c>
      <c r="E21" s="338">
        <v>393.6</v>
      </c>
    </row>
    <row r="22" spans="1:7" ht="15.75" customHeight="1" x14ac:dyDescent="0.2">
      <c r="A22" s="609" t="s">
        <v>278</v>
      </c>
      <c r="B22" s="609"/>
      <c r="C22" s="108" t="s">
        <v>349</v>
      </c>
      <c r="D22" s="109" t="s">
        <v>153</v>
      </c>
      <c r="E22" s="338">
        <v>328.8</v>
      </c>
    </row>
    <row r="23" spans="1:7" ht="3.75" hidden="1" customHeight="1" x14ac:dyDescent="0.2">
      <c r="A23" s="609" t="s">
        <v>279</v>
      </c>
      <c r="B23" s="609"/>
      <c r="C23" s="108" t="s">
        <v>247</v>
      </c>
      <c r="D23" s="109" t="s">
        <v>153</v>
      </c>
      <c r="E23" s="338">
        <v>130.28</v>
      </c>
    </row>
    <row r="24" spans="1:7" ht="15" customHeight="1" x14ac:dyDescent="0.2">
      <c r="A24" s="609" t="s">
        <v>280</v>
      </c>
      <c r="B24" s="609"/>
      <c r="C24" s="108" t="s">
        <v>248</v>
      </c>
      <c r="D24" s="109" t="s">
        <v>153</v>
      </c>
      <c r="E24" s="338">
        <v>328.8</v>
      </c>
    </row>
    <row r="25" spans="1:7" ht="14.25" customHeight="1" x14ac:dyDescent="0.2">
      <c r="A25" s="609" t="s">
        <v>281</v>
      </c>
      <c r="B25" s="609"/>
      <c r="C25" s="108" t="s">
        <v>249</v>
      </c>
      <c r="D25" s="109" t="s">
        <v>153</v>
      </c>
      <c r="E25" s="338">
        <v>328.8</v>
      </c>
      <c r="F25" s="282"/>
    </row>
    <row r="26" spans="1:7" ht="15" hidden="1" customHeight="1" x14ac:dyDescent="0.2">
      <c r="A26" s="622" t="s">
        <v>282</v>
      </c>
      <c r="B26" s="609"/>
      <c r="C26" s="108" t="s">
        <v>250</v>
      </c>
      <c r="D26" s="109" t="s">
        <v>153</v>
      </c>
      <c r="E26" s="338">
        <v>130.28</v>
      </c>
      <c r="F26" s="282"/>
    </row>
    <row r="27" spans="1:7" ht="15" customHeight="1" x14ac:dyDescent="0.2">
      <c r="A27" s="609" t="s">
        <v>283</v>
      </c>
      <c r="B27" s="609"/>
      <c r="C27" s="108" t="s">
        <v>251</v>
      </c>
      <c r="D27" s="109" t="s">
        <v>153</v>
      </c>
      <c r="E27" s="338">
        <v>328.8</v>
      </c>
      <c r="F27" s="282"/>
    </row>
    <row r="28" spans="1:7" ht="17.25" customHeight="1" x14ac:dyDescent="0.2">
      <c r="A28" s="609" t="s">
        <v>284</v>
      </c>
      <c r="B28" s="609"/>
      <c r="C28" s="108" t="s">
        <v>252</v>
      </c>
      <c r="D28" s="109" t="s">
        <v>153</v>
      </c>
      <c r="E28" s="338">
        <v>368.96</v>
      </c>
      <c r="F28" s="282"/>
    </row>
    <row r="29" spans="1:7" ht="3.75" hidden="1" customHeight="1" x14ac:dyDescent="0.2">
      <c r="A29" s="609" t="s">
        <v>285</v>
      </c>
      <c r="B29" s="609"/>
      <c r="C29" s="108" t="s">
        <v>253</v>
      </c>
      <c r="D29" s="109" t="s">
        <v>153</v>
      </c>
      <c r="E29" s="338">
        <v>146.19999999999999</v>
      </c>
      <c r="F29" s="282"/>
    </row>
    <row r="30" spans="1:7" ht="15" customHeight="1" x14ac:dyDescent="0.2">
      <c r="A30" s="609" t="s">
        <v>286</v>
      </c>
      <c r="B30" s="609"/>
      <c r="C30" s="108" t="s">
        <v>254</v>
      </c>
      <c r="D30" s="109" t="s">
        <v>153</v>
      </c>
      <c r="E30" s="338">
        <v>368.96</v>
      </c>
      <c r="F30" s="282"/>
    </row>
    <row r="31" spans="1:7" ht="15" customHeight="1" x14ac:dyDescent="0.2">
      <c r="A31" s="613"/>
      <c r="B31" s="613"/>
      <c r="C31" s="613"/>
      <c r="D31" s="613"/>
      <c r="E31" s="613"/>
      <c r="G31" s="98"/>
    </row>
    <row r="32" spans="1:7" ht="15" customHeight="1" x14ac:dyDescent="0.2">
      <c r="A32" s="611" t="s">
        <v>160</v>
      </c>
      <c r="B32" s="611"/>
      <c r="C32" s="611"/>
      <c r="D32" s="611"/>
      <c r="E32" s="611"/>
    </row>
    <row r="33" spans="1:7" ht="15" customHeight="1" x14ac:dyDescent="0.2">
      <c r="A33" s="607" t="s">
        <v>287</v>
      </c>
      <c r="B33" s="605"/>
      <c r="C33" s="112" t="s">
        <v>98</v>
      </c>
      <c r="D33" s="109" t="s">
        <v>153</v>
      </c>
      <c r="E33" s="338">
        <v>6176.88</v>
      </c>
      <c r="F33" s="282"/>
    </row>
    <row r="34" spans="1:7" ht="0.75" hidden="1" customHeight="1" x14ac:dyDescent="0.2">
      <c r="A34" s="605" t="s">
        <v>288</v>
      </c>
      <c r="B34" s="605"/>
      <c r="C34" s="112" t="s">
        <v>100</v>
      </c>
      <c r="D34" s="109" t="s">
        <v>153</v>
      </c>
      <c r="E34" s="338">
        <v>2465.6</v>
      </c>
      <c r="F34" s="282"/>
    </row>
    <row r="35" spans="1:7" ht="15" customHeight="1" x14ac:dyDescent="0.2">
      <c r="A35" s="605" t="s">
        <v>289</v>
      </c>
      <c r="B35" s="605"/>
      <c r="C35" s="112" t="s">
        <v>102</v>
      </c>
      <c r="D35" s="109" t="s">
        <v>153</v>
      </c>
      <c r="E35" s="338">
        <f>E33</f>
        <v>6176.88</v>
      </c>
      <c r="F35" s="282"/>
    </row>
    <row r="36" spans="1:7" ht="15" customHeight="1" x14ac:dyDescent="0.2">
      <c r="A36" s="605" t="s">
        <v>290</v>
      </c>
      <c r="B36" s="605"/>
      <c r="C36" s="112" t="s">
        <v>103</v>
      </c>
      <c r="D36" s="109" t="s">
        <v>153</v>
      </c>
      <c r="E36" s="338">
        <v>1611.36</v>
      </c>
      <c r="F36" s="282"/>
    </row>
    <row r="37" spans="1:7" ht="15" hidden="1" customHeight="1" x14ac:dyDescent="0.2">
      <c r="A37" s="605" t="s">
        <v>291</v>
      </c>
      <c r="B37" s="605"/>
      <c r="C37" s="112" t="s">
        <v>105</v>
      </c>
      <c r="D37" s="109" t="s">
        <v>153</v>
      </c>
      <c r="E37" s="338">
        <v>643.20000000000005</v>
      </c>
      <c r="F37" s="282"/>
    </row>
    <row r="38" spans="1:7" ht="15" customHeight="1" x14ac:dyDescent="0.2">
      <c r="A38" s="605" t="s">
        <v>292</v>
      </c>
      <c r="B38" s="605"/>
      <c r="C38" s="112" t="s">
        <v>266</v>
      </c>
      <c r="D38" s="109" t="s">
        <v>153</v>
      </c>
      <c r="E38" s="338">
        <f>E36</f>
        <v>1611.36</v>
      </c>
      <c r="F38" s="282"/>
    </row>
    <row r="39" spans="1:7" ht="13.5" customHeight="1" x14ac:dyDescent="0.2">
      <c r="A39" s="605" t="s">
        <v>293</v>
      </c>
      <c r="B39" s="605"/>
      <c r="C39" s="112" t="s">
        <v>108</v>
      </c>
      <c r="D39" s="109" t="s">
        <v>153</v>
      </c>
      <c r="E39" s="338">
        <v>537.12</v>
      </c>
      <c r="F39" s="282"/>
    </row>
    <row r="40" spans="1:7" ht="15" hidden="1" customHeight="1" x14ac:dyDescent="0.2">
      <c r="A40" s="605" t="s">
        <v>294</v>
      </c>
      <c r="B40" s="605"/>
      <c r="C40" s="112" t="s">
        <v>110</v>
      </c>
      <c r="D40" s="109" t="s">
        <v>153</v>
      </c>
      <c r="E40" s="338">
        <v>214.4</v>
      </c>
      <c r="F40" s="282"/>
    </row>
    <row r="41" spans="1:7" ht="15" customHeight="1" x14ac:dyDescent="0.2">
      <c r="A41" s="607" t="s">
        <v>295</v>
      </c>
      <c r="B41" s="605"/>
      <c r="C41" s="112" t="s">
        <v>112</v>
      </c>
      <c r="D41" s="109" t="s">
        <v>153</v>
      </c>
      <c r="E41" s="338">
        <f>E39</f>
        <v>537.12</v>
      </c>
      <c r="F41" s="282"/>
    </row>
    <row r="42" spans="1:7" ht="15" customHeight="1" x14ac:dyDescent="0.2">
      <c r="A42" s="605" t="s">
        <v>296</v>
      </c>
      <c r="B42" s="605"/>
      <c r="C42" s="112" t="s">
        <v>114</v>
      </c>
      <c r="D42" s="109" t="s">
        <v>153</v>
      </c>
      <c r="E42" s="339">
        <v>1008</v>
      </c>
      <c r="F42" s="282"/>
    </row>
    <row r="43" spans="1:7" ht="15" hidden="1" customHeight="1" x14ac:dyDescent="0.2">
      <c r="A43" s="605" t="s">
        <v>297</v>
      </c>
      <c r="B43" s="605"/>
      <c r="C43" s="112" t="s">
        <v>115</v>
      </c>
      <c r="D43" s="109" t="s">
        <v>153</v>
      </c>
      <c r="E43" s="338">
        <v>402</v>
      </c>
      <c r="F43" s="282"/>
    </row>
    <row r="44" spans="1:7" ht="15" customHeight="1" x14ac:dyDescent="0.2">
      <c r="A44" s="607" t="s">
        <v>298</v>
      </c>
      <c r="B44" s="605"/>
      <c r="C44" s="112" t="s">
        <v>116</v>
      </c>
      <c r="D44" s="114" t="s">
        <v>153</v>
      </c>
      <c r="E44" s="339">
        <f>E42</f>
        <v>1008</v>
      </c>
      <c r="F44" s="282"/>
    </row>
    <row r="45" spans="1:7" ht="14.25" customHeight="1" x14ac:dyDescent="0.2">
      <c r="A45" s="605" t="s">
        <v>299</v>
      </c>
      <c r="B45" s="605"/>
      <c r="C45" s="112" t="s">
        <v>117</v>
      </c>
      <c r="D45" s="114" t="s">
        <v>153</v>
      </c>
      <c r="E45" s="338">
        <v>504</v>
      </c>
      <c r="F45" s="282"/>
    </row>
    <row r="46" spans="1:7" ht="15" hidden="1" customHeight="1" x14ac:dyDescent="0.2">
      <c r="A46" s="605" t="s">
        <v>300</v>
      </c>
      <c r="B46" s="605"/>
      <c r="C46" s="112" t="s">
        <v>118</v>
      </c>
      <c r="D46" s="114" t="s">
        <v>153</v>
      </c>
      <c r="E46" s="338">
        <v>201</v>
      </c>
      <c r="F46" s="282"/>
    </row>
    <row r="47" spans="1:7" ht="15" customHeight="1" x14ac:dyDescent="0.2">
      <c r="A47" s="605" t="s">
        <v>301</v>
      </c>
      <c r="B47" s="605"/>
      <c r="C47" s="112" t="s">
        <v>119</v>
      </c>
      <c r="D47" s="114" t="s">
        <v>153</v>
      </c>
      <c r="E47" s="338">
        <f>E45</f>
        <v>504</v>
      </c>
      <c r="F47" s="282"/>
    </row>
    <row r="48" spans="1:7" ht="15" customHeight="1" x14ac:dyDescent="0.2">
      <c r="A48" s="619"/>
      <c r="B48" s="620"/>
      <c r="C48" s="620"/>
      <c r="D48" s="620"/>
      <c r="E48" s="621"/>
      <c r="G48" s="98"/>
    </row>
    <row r="49" spans="1:7" ht="15" customHeight="1" x14ac:dyDescent="0.2">
      <c r="A49" s="608" t="s">
        <v>161</v>
      </c>
      <c r="B49" s="608"/>
      <c r="C49" s="608"/>
      <c r="D49" s="608"/>
      <c r="E49" s="608"/>
    </row>
    <row r="50" spans="1:7" ht="15" customHeight="1" x14ac:dyDescent="0.2">
      <c r="A50" s="606">
        <v>4805757</v>
      </c>
      <c r="B50" s="605"/>
      <c r="C50" s="112" t="s">
        <v>162</v>
      </c>
      <c r="D50" s="114" t="s">
        <v>158</v>
      </c>
      <c r="E50" s="338">
        <v>352.8</v>
      </c>
    </row>
    <row r="51" spans="1:7" ht="15" customHeight="1" x14ac:dyDescent="0.2">
      <c r="A51" s="606">
        <v>4915671</v>
      </c>
      <c r="B51" s="605"/>
      <c r="C51" s="112" t="s">
        <v>163</v>
      </c>
      <c r="D51" s="114" t="s">
        <v>158</v>
      </c>
      <c r="E51" s="338">
        <v>352.8</v>
      </c>
    </row>
    <row r="52" spans="1:7" ht="22.5" customHeight="1" x14ac:dyDescent="0.2">
      <c r="A52" s="607" t="s">
        <v>311</v>
      </c>
      <c r="B52" s="605"/>
      <c r="C52" s="112" t="s">
        <v>495</v>
      </c>
      <c r="D52" s="114" t="s">
        <v>151</v>
      </c>
      <c r="E52" s="338">
        <v>352.8</v>
      </c>
    </row>
    <row r="53" spans="1:7" ht="0.75" hidden="1" customHeight="1" x14ac:dyDescent="0.2">
      <c r="A53" s="605" t="s">
        <v>312</v>
      </c>
      <c r="B53" s="605"/>
      <c r="C53" s="112" t="s">
        <v>494</v>
      </c>
      <c r="D53" s="114" t="s">
        <v>151</v>
      </c>
      <c r="E53" s="338">
        <v>141.12</v>
      </c>
    </row>
    <row r="54" spans="1:7" ht="24" x14ac:dyDescent="0.2">
      <c r="A54" s="605" t="s">
        <v>313</v>
      </c>
      <c r="B54" s="605"/>
      <c r="C54" s="112" t="s">
        <v>496</v>
      </c>
      <c r="D54" s="114" t="s">
        <v>151</v>
      </c>
      <c r="E54" s="338">
        <f>E52</f>
        <v>352.8</v>
      </c>
    </row>
    <row r="55" spans="1:7" ht="15" customHeight="1" x14ac:dyDescent="0.2">
      <c r="A55" s="613"/>
      <c r="B55" s="613"/>
      <c r="C55" s="613"/>
      <c r="D55" s="613"/>
      <c r="E55" s="613"/>
      <c r="G55" s="98"/>
    </row>
    <row r="56" spans="1:7" ht="15" customHeight="1" x14ac:dyDescent="0.2">
      <c r="A56" s="618" t="s">
        <v>165</v>
      </c>
      <c r="B56" s="618"/>
      <c r="C56" s="618"/>
      <c r="D56" s="618"/>
      <c r="E56" s="618"/>
    </row>
    <row r="57" spans="1:7" ht="15" customHeight="1" x14ac:dyDescent="0.2">
      <c r="A57" s="606">
        <v>3816197</v>
      </c>
      <c r="B57" s="605"/>
      <c r="C57" s="112" t="s">
        <v>166</v>
      </c>
      <c r="D57" s="114" t="s">
        <v>158</v>
      </c>
      <c r="E57" s="338">
        <v>136.209</v>
      </c>
    </row>
    <row r="58" spans="1:7" ht="15" customHeight="1" x14ac:dyDescent="0.2">
      <c r="A58" s="605" t="s">
        <v>314</v>
      </c>
      <c r="B58" s="605"/>
      <c r="C58" s="112" t="s">
        <v>167</v>
      </c>
      <c r="D58" s="114" t="s">
        <v>151</v>
      </c>
      <c r="E58" s="338">
        <v>4987.2359999999999</v>
      </c>
    </row>
    <row r="59" spans="1:7" ht="15" customHeight="1" x14ac:dyDescent="0.2">
      <c r="A59" s="605" t="s">
        <v>315</v>
      </c>
      <c r="B59" s="605"/>
      <c r="C59" s="112" t="s">
        <v>168</v>
      </c>
      <c r="D59" s="114" t="s">
        <v>157</v>
      </c>
      <c r="E59" s="338">
        <v>4926.4440000000004</v>
      </c>
    </row>
    <row r="60" spans="1:7" ht="15" customHeight="1" x14ac:dyDescent="0.2">
      <c r="A60" s="613"/>
      <c r="B60" s="613"/>
      <c r="C60" s="613"/>
      <c r="D60" s="613"/>
      <c r="E60" s="613"/>
      <c r="G60" s="100"/>
    </row>
    <row r="61" spans="1:7" ht="15" customHeight="1" x14ac:dyDescent="0.2">
      <c r="A61" s="611" t="s">
        <v>169</v>
      </c>
      <c r="B61" s="611"/>
      <c r="C61" s="611"/>
      <c r="D61" s="611"/>
      <c r="E61" s="611"/>
    </row>
    <row r="62" spans="1:7" ht="15" customHeight="1" x14ac:dyDescent="0.2">
      <c r="A62" s="605" t="s">
        <v>316</v>
      </c>
      <c r="B62" s="605"/>
      <c r="C62" s="108" t="s">
        <v>124</v>
      </c>
      <c r="D62" s="114" t="s">
        <v>158</v>
      </c>
      <c r="E62" s="338">
        <v>237.24799999999999</v>
      </c>
    </row>
    <row r="63" spans="1:7" ht="15" customHeight="1" x14ac:dyDescent="0.2">
      <c r="A63" s="607" t="s">
        <v>317</v>
      </c>
      <c r="B63" s="605"/>
      <c r="C63" s="108" t="s">
        <v>257</v>
      </c>
      <c r="D63" s="114" t="s">
        <v>157</v>
      </c>
      <c r="E63" s="338">
        <v>2467.4430000000002</v>
      </c>
    </row>
    <row r="64" spans="1:7" ht="15" customHeight="1" x14ac:dyDescent="0.2">
      <c r="A64" s="605" t="s">
        <v>318</v>
      </c>
      <c r="B64" s="605"/>
      <c r="C64" s="108" t="s">
        <v>126</v>
      </c>
      <c r="D64" s="114" t="s">
        <v>157</v>
      </c>
      <c r="E64" s="338">
        <v>876.88199999999995</v>
      </c>
    </row>
    <row r="65" spans="1:7" ht="15" customHeight="1" x14ac:dyDescent="0.2">
      <c r="A65" s="605" t="s">
        <v>319</v>
      </c>
      <c r="B65" s="605"/>
      <c r="C65" s="108" t="s">
        <v>27</v>
      </c>
      <c r="D65" s="114" t="s">
        <v>157</v>
      </c>
      <c r="E65" s="338">
        <v>30.081</v>
      </c>
    </row>
    <row r="66" spans="1:7" ht="15" customHeight="1" x14ac:dyDescent="0.2">
      <c r="A66" s="605" t="s">
        <v>320</v>
      </c>
      <c r="B66" s="605"/>
      <c r="C66" s="108" t="s">
        <v>29</v>
      </c>
      <c r="D66" s="114" t="s">
        <v>157</v>
      </c>
      <c r="E66" s="338">
        <v>572</v>
      </c>
    </row>
    <row r="67" spans="1:7" ht="15" customHeight="1" x14ac:dyDescent="0.2">
      <c r="A67" s="605" t="s">
        <v>492</v>
      </c>
      <c r="B67" s="605"/>
      <c r="C67" s="108" t="s">
        <v>258</v>
      </c>
      <c r="D67" s="114" t="s">
        <v>170</v>
      </c>
      <c r="E67" s="338">
        <v>2.992</v>
      </c>
    </row>
    <row r="68" spans="1:7" ht="15" customHeight="1" x14ac:dyDescent="0.2">
      <c r="A68" s="613"/>
      <c r="B68" s="613"/>
      <c r="C68" s="613"/>
      <c r="D68" s="613"/>
      <c r="E68" s="613"/>
      <c r="G68" s="98"/>
    </row>
    <row r="69" spans="1:7" ht="15" customHeight="1" x14ac:dyDescent="0.2">
      <c r="A69" s="612" t="s">
        <v>171</v>
      </c>
      <c r="B69" s="612"/>
      <c r="C69" s="612"/>
      <c r="D69" s="612"/>
      <c r="E69" s="612"/>
    </row>
    <row r="70" spans="1:7" ht="15" customHeight="1" x14ac:dyDescent="0.2">
      <c r="A70" s="614">
        <v>5914479</v>
      </c>
      <c r="B70" s="615"/>
      <c r="C70" s="112" t="s">
        <v>267</v>
      </c>
      <c r="D70" s="114" t="s">
        <v>172</v>
      </c>
      <c r="E70" s="338">
        <v>79478.080000000002</v>
      </c>
    </row>
    <row r="71" spans="1:7" ht="15" customHeight="1" x14ac:dyDescent="0.2">
      <c r="A71" s="614">
        <v>5914464</v>
      </c>
      <c r="B71" s="615"/>
      <c r="C71" s="112" t="s">
        <v>268</v>
      </c>
      <c r="D71" s="114" t="s">
        <v>172</v>
      </c>
      <c r="E71" s="338">
        <v>3795.97</v>
      </c>
    </row>
    <row r="72" spans="1:7" ht="15" customHeight="1" x14ac:dyDescent="0.2">
      <c r="A72" s="614">
        <v>5914479</v>
      </c>
      <c r="B72" s="615"/>
      <c r="C72" s="112" t="s">
        <v>269</v>
      </c>
      <c r="D72" s="114" t="s">
        <v>172</v>
      </c>
      <c r="E72" s="338">
        <v>1642.72</v>
      </c>
    </row>
    <row r="73" spans="1:7" ht="15" customHeight="1" x14ac:dyDescent="0.2">
      <c r="A73" s="614">
        <v>5914464</v>
      </c>
      <c r="B73" s="615"/>
      <c r="C73" s="112" t="s">
        <v>270</v>
      </c>
      <c r="D73" s="114" t="s">
        <v>172</v>
      </c>
      <c r="E73" s="338">
        <v>78.459999999999994</v>
      </c>
    </row>
    <row r="74" spans="1:7" ht="15" customHeight="1" x14ac:dyDescent="0.2">
      <c r="A74" s="614" t="s">
        <v>322</v>
      </c>
      <c r="B74" s="615"/>
      <c r="C74" s="112" t="s">
        <v>134</v>
      </c>
      <c r="D74" s="114" t="s">
        <v>170</v>
      </c>
      <c r="E74" s="338">
        <v>2.992</v>
      </c>
    </row>
    <row r="75" spans="1:7" ht="15" customHeight="1" x14ac:dyDescent="0.2">
      <c r="A75" s="613"/>
      <c r="B75" s="613"/>
      <c r="C75" s="613"/>
      <c r="D75" s="613"/>
      <c r="E75" s="613"/>
      <c r="G75" s="98"/>
    </row>
    <row r="76" spans="1:7" ht="15" customHeight="1" x14ac:dyDescent="0.2">
      <c r="A76" s="610" t="s">
        <v>173</v>
      </c>
      <c r="B76" s="610"/>
      <c r="C76" s="610"/>
      <c r="D76" s="610"/>
      <c r="E76" s="610"/>
    </row>
    <row r="77" spans="1:7" ht="15" customHeight="1" x14ac:dyDescent="0.2">
      <c r="A77" s="617">
        <v>5213571</v>
      </c>
      <c r="B77" s="617"/>
      <c r="C77" s="112" t="s">
        <v>174</v>
      </c>
      <c r="D77" s="114" t="s">
        <v>151</v>
      </c>
      <c r="E77" s="338">
        <v>20.904</v>
      </c>
    </row>
    <row r="78" spans="1:7" ht="15" customHeight="1" x14ac:dyDescent="0.2">
      <c r="A78" s="617">
        <v>5213572</v>
      </c>
      <c r="B78" s="617"/>
      <c r="C78" s="112" t="s">
        <v>175</v>
      </c>
      <c r="D78" s="114" t="s">
        <v>151</v>
      </c>
      <c r="E78" s="338">
        <v>26.623999999999999</v>
      </c>
    </row>
    <row r="79" spans="1:7" ht="15" customHeight="1" x14ac:dyDescent="0.2">
      <c r="A79" s="617">
        <v>5213476</v>
      </c>
      <c r="B79" s="617"/>
      <c r="C79" s="112" t="s">
        <v>176</v>
      </c>
      <c r="D79" s="114" t="s">
        <v>86</v>
      </c>
      <c r="E79" s="338">
        <v>260</v>
      </c>
    </row>
    <row r="80" spans="1:7" ht="15" customHeight="1" x14ac:dyDescent="0.2">
      <c r="A80" s="617">
        <v>5216111</v>
      </c>
      <c r="B80" s="617"/>
      <c r="C80" s="112" t="s">
        <v>177</v>
      </c>
      <c r="D80" s="114" t="s">
        <v>86</v>
      </c>
      <c r="E80" s="338">
        <v>78</v>
      </c>
    </row>
    <row r="81" spans="1:7" ht="15" customHeight="1" x14ac:dyDescent="0.2">
      <c r="A81" s="617" t="s">
        <v>323</v>
      </c>
      <c r="B81" s="617"/>
      <c r="C81" s="112" t="s">
        <v>178</v>
      </c>
      <c r="D81" s="114" t="s">
        <v>86</v>
      </c>
      <c r="E81" s="338">
        <v>273</v>
      </c>
    </row>
    <row r="82" spans="1:7" ht="15" customHeight="1" x14ac:dyDescent="0.2">
      <c r="A82" s="613"/>
      <c r="B82" s="613"/>
      <c r="C82" s="613"/>
      <c r="D82" s="613"/>
      <c r="E82" s="613"/>
      <c r="G82" s="98"/>
    </row>
    <row r="83" spans="1:7" ht="15" customHeight="1" x14ac:dyDescent="0.2">
      <c r="A83" s="612" t="s">
        <v>179</v>
      </c>
      <c r="B83" s="612"/>
      <c r="C83" s="612"/>
      <c r="D83" s="612"/>
      <c r="E83" s="612"/>
    </row>
    <row r="84" spans="1:7" ht="15" customHeight="1" x14ac:dyDescent="0.2">
      <c r="A84" s="616" t="s">
        <v>324</v>
      </c>
      <c r="B84" s="616"/>
      <c r="C84" s="113" t="s">
        <v>255</v>
      </c>
      <c r="D84" s="114" t="s">
        <v>86</v>
      </c>
      <c r="E84" s="119">
        <v>1</v>
      </c>
    </row>
    <row r="85" spans="1:7" ht="15" customHeight="1" x14ac:dyDescent="0.2">
      <c r="A85" s="613"/>
      <c r="B85" s="613"/>
      <c r="C85" s="613"/>
      <c r="D85" s="613"/>
      <c r="E85" s="613"/>
      <c r="G85" s="98"/>
    </row>
    <row r="86" spans="1:7" ht="15" customHeight="1" x14ac:dyDescent="0.2">
      <c r="A86" s="612" t="s">
        <v>180</v>
      </c>
      <c r="B86" s="612"/>
      <c r="C86" s="612"/>
      <c r="D86" s="612"/>
      <c r="E86" s="612"/>
    </row>
    <row r="87" spans="1:7" ht="15" customHeight="1" x14ac:dyDescent="0.2">
      <c r="A87" s="616" t="s">
        <v>325</v>
      </c>
      <c r="B87" s="616"/>
      <c r="C87" s="113" t="s">
        <v>256</v>
      </c>
      <c r="D87" s="114" t="s">
        <v>181</v>
      </c>
      <c r="E87" s="120">
        <v>12</v>
      </c>
    </row>
    <row r="88" spans="1:7" ht="15" customHeight="1" x14ac:dyDescent="0.2">
      <c r="A88" s="613"/>
      <c r="B88" s="613"/>
      <c r="C88" s="613"/>
      <c r="D88" s="613"/>
      <c r="E88" s="613"/>
      <c r="G88" s="98"/>
    </row>
    <row r="89" spans="1:7" ht="15" customHeight="1" x14ac:dyDescent="0.2">
      <c r="A89" s="612" t="s">
        <v>182</v>
      </c>
      <c r="B89" s="612"/>
      <c r="C89" s="612"/>
      <c r="D89" s="612"/>
      <c r="E89" s="612"/>
    </row>
    <row r="90" spans="1:7" ht="15" customHeight="1" x14ac:dyDescent="0.2">
      <c r="A90" s="616" t="s">
        <v>326</v>
      </c>
      <c r="B90" s="616"/>
      <c r="C90" s="115" t="s">
        <v>487</v>
      </c>
      <c r="D90" s="114" t="s">
        <v>86</v>
      </c>
      <c r="E90" s="119">
        <v>1</v>
      </c>
    </row>
    <row r="91" spans="1:7" ht="15" customHeight="1" x14ac:dyDescent="0.2">
      <c r="A91" s="616" t="s">
        <v>327</v>
      </c>
      <c r="B91" s="616"/>
      <c r="C91" s="115" t="s">
        <v>183</v>
      </c>
      <c r="D91" s="114" t="s">
        <v>86</v>
      </c>
      <c r="E91" s="119">
        <v>1</v>
      </c>
    </row>
    <row r="92" spans="1:7" ht="15" customHeight="1" x14ac:dyDescent="0.2">
      <c r="A92" s="616" t="s">
        <v>328</v>
      </c>
      <c r="B92" s="616"/>
      <c r="C92" s="115" t="s">
        <v>493</v>
      </c>
      <c r="D92" s="114" t="s">
        <v>86</v>
      </c>
      <c r="E92" s="119">
        <v>1</v>
      </c>
    </row>
    <row r="93" spans="1:7" x14ac:dyDescent="0.2">
      <c r="C93" s="102"/>
      <c r="D93" s="102"/>
    </row>
    <row r="96" spans="1:7" x14ac:dyDescent="0.2">
      <c r="D96" s="103"/>
      <c r="E96" s="97"/>
    </row>
  </sheetData>
  <mergeCells count="89">
    <mergeCell ref="A20:B20"/>
    <mergeCell ref="E7:E8"/>
    <mergeCell ref="A6:E6"/>
    <mergeCell ref="A15:B15"/>
    <mergeCell ref="A17:B17"/>
    <mergeCell ref="A10:B10"/>
    <mergeCell ref="A11:B11"/>
    <mergeCell ref="A12:B12"/>
    <mergeCell ref="A13:E13"/>
    <mergeCell ref="A7:B8"/>
    <mergeCell ref="C7:C8"/>
    <mergeCell ref="D7:D8"/>
    <mergeCell ref="A9:E9"/>
    <mergeCell ref="A14:E14"/>
    <mergeCell ref="A19:E19"/>
    <mergeCell ref="A18:E18"/>
    <mergeCell ref="A25:B25"/>
    <mergeCell ref="A26:B26"/>
    <mergeCell ref="A28:B28"/>
    <mergeCell ref="A33:B33"/>
    <mergeCell ref="A34:B34"/>
    <mergeCell ref="A29:B29"/>
    <mergeCell ref="A30:B30"/>
    <mergeCell ref="A32:E32"/>
    <mergeCell ref="A31:E31"/>
    <mergeCell ref="A63:B63"/>
    <mergeCell ref="A35:B35"/>
    <mergeCell ref="A39:B39"/>
    <mergeCell ref="A40:B40"/>
    <mergeCell ref="A46:B46"/>
    <mergeCell ref="A47:B47"/>
    <mergeCell ref="A57:B57"/>
    <mergeCell ref="A51:B51"/>
    <mergeCell ref="A52:B52"/>
    <mergeCell ref="A53:B53"/>
    <mergeCell ref="A56:E56"/>
    <mergeCell ref="A58:B58"/>
    <mergeCell ref="A59:B59"/>
    <mergeCell ref="A48:E48"/>
    <mergeCell ref="A55:E55"/>
    <mergeCell ref="A54:B54"/>
    <mergeCell ref="A91:B91"/>
    <mergeCell ref="A92:B92"/>
    <mergeCell ref="A77:B77"/>
    <mergeCell ref="A78:B78"/>
    <mergeCell ref="A87:B87"/>
    <mergeCell ref="A79:B79"/>
    <mergeCell ref="A80:B80"/>
    <mergeCell ref="A81:B81"/>
    <mergeCell ref="A84:B84"/>
    <mergeCell ref="A82:E82"/>
    <mergeCell ref="A85:E85"/>
    <mergeCell ref="A88:E88"/>
    <mergeCell ref="A86:E86"/>
    <mergeCell ref="A89:E89"/>
    <mergeCell ref="A83:E83"/>
    <mergeCell ref="A90:B90"/>
    <mergeCell ref="A76:E76"/>
    <mergeCell ref="A61:E61"/>
    <mergeCell ref="A69:E69"/>
    <mergeCell ref="A60:E60"/>
    <mergeCell ref="A64:B64"/>
    <mergeCell ref="A70:B70"/>
    <mergeCell ref="A71:B71"/>
    <mergeCell ref="A72:B72"/>
    <mergeCell ref="A73:B73"/>
    <mergeCell ref="A75:E75"/>
    <mergeCell ref="A68:E68"/>
    <mergeCell ref="A66:B66"/>
    <mergeCell ref="A62:B62"/>
    <mergeCell ref="A74:B74"/>
    <mergeCell ref="A67:B67"/>
    <mergeCell ref="A65:B65"/>
    <mergeCell ref="A16:B16"/>
    <mergeCell ref="A36:B36"/>
    <mergeCell ref="A37:B37"/>
    <mergeCell ref="A38:B38"/>
    <mergeCell ref="A50:B50"/>
    <mergeCell ref="A41:B41"/>
    <mergeCell ref="A42:B42"/>
    <mergeCell ref="A43:B43"/>
    <mergeCell ref="A44:B44"/>
    <mergeCell ref="A45:B45"/>
    <mergeCell ref="A49:E49"/>
    <mergeCell ref="A21:B21"/>
    <mergeCell ref="A22:B22"/>
    <mergeCell ref="A23:B23"/>
    <mergeCell ref="A24:B24"/>
    <mergeCell ref="A27:B27"/>
  </mergeCells>
  <printOptions horizontalCentered="1"/>
  <pageMargins left="0.23622047244094491" right="0.23622047244094491" top="0.78740157480314965" bottom="1.3385826771653544" header="0.31496062992125984" footer="0.31496062992125984"/>
  <pageSetup paperSize="9" scale="82" fitToHeight="0" orientation="landscape" r:id="rId1"/>
  <rowBreaks count="3" manualBreakCount="3">
    <brk id="35" max="4" man="1"/>
    <brk id="60" max="4" man="1"/>
    <brk id="82" max="4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rgb="FFFF0000"/>
    <pageSetUpPr fitToPage="1"/>
  </sheetPr>
  <dimension ref="A1:T111"/>
  <sheetViews>
    <sheetView tabSelected="1" view="pageBreakPreview" zoomScale="80" zoomScaleNormal="100" zoomScaleSheetLayoutView="80" workbookViewId="0">
      <selection activeCell="N116" sqref="N116"/>
    </sheetView>
  </sheetViews>
  <sheetFormatPr defaultRowHeight="12" x14ac:dyDescent="0.2"/>
  <cols>
    <col min="1" max="1" width="8.140625" style="101" customWidth="1"/>
    <col min="2" max="2" width="14.5703125" style="101" customWidth="1"/>
    <col min="3" max="3" width="93.7109375" style="97" customWidth="1"/>
    <col min="4" max="4" width="7.140625" style="97" customWidth="1"/>
    <col min="5" max="5" width="11.42578125" style="263" customWidth="1"/>
    <col min="6" max="6" width="11.85546875" style="279" customWidth="1"/>
    <col min="7" max="7" width="17" style="106" bestFit="1" customWidth="1"/>
    <col min="8" max="8" width="13.28515625" style="107" customWidth="1"/>
    <col min="9" max="9" width="16.28515625" style="107" bestFit="1" customWidth="1"/>
    <col min="10" max="10" width="9.42578125" style="107" customWidth="1"/>
    <col min="11" max="11" width="13.85546875" style="105" customWidth="1"/>
    <col min="12" max="12" width="12.85546875" style="279" customWidth="1"/>
    <col min="13" max="13" width="17.5703125" style="279" customWidth="1"/>
    <col min="14" max="14" width="11.5703125" style="279" customWidth="1"/>
    <col min="15" max="15" width="17" style="279" customWidth="1"/>
    <col min="16" max="16" width="12.42578125" style="278" customWidth="1"/>
    <col min="17" max="17" width="6" style="97" customWidth="1"/>
    <col min="18" max="243" width="9.140625" style="97"/>
    <col min="244" max="244" width="4.7109375" style="97" customWidth="1"/>
    <col min="245" max="245" width="12.140625" style="97" customWidth="1"/>
    <col min="246" max="246" width="47.5703125" style="97" customWidth="1"/>
    <col min="247" max="247" width="5.5703125" style="97" customWidth="1"/>
    <col min="248" max="248" width="9.7109375" style="97" customWidth="1"/>
    <col min="249" max="249" width="0" style="97" hidden="1" customWidth="1"/>
    <col min="250" max="251" width="9.7109375" style="97" customWidth="1"/>
    <col min="252" max="252" width="11.42578125" style="97" customWidth="1"/>
    <col min="253" max="253" width="9.7109375" style="97" customWidth="1"/>
    <col min="254" max="254" width="9.28515625" style="97" customWidth="1"/>
    <col min="255" max="256" width="10.85546875" style="97" customWidth="1"/>
    <col min="257" max="257" width="10.28515625" style="97" customWidth="1"/>
    <col min="258" max="258" width="11.42578125" style="97" customWidth="1"/>
    <col min="259" max="259" width="10.28515625" style="97" customWidth="1"/>
    <col min="260" max="260" width="9.5703125" style="97" bestFit="1" customWidth="1"/>
    <col min="261" max="262" width="0" style="97" hidden="1" customWidth="1"/>
    <col min="263" max="263" width="8.5703125" style="97" bestFit="1" customWidth="1"/>
    <col min="264" max="264" width="12.85546875" style="97" bestFit="1" customWidth="1"/>
    <col min="265" max="265" width="11" style="97" bestFit="1" customWidth="1"/>
    <col min="266" max="266" width="9" style="97" bestFit="1" customWidth="1"/>
    <col min="267" max="267" width="13.5703125" style="97" bestFit="1" customWidth="1"/>
    <col min="268" max="268" width="9.5703125" style="97" bestFit="1" customWidth="1"/>
    <col min="269" max="269" width="11.5703125" style="97" customWidth="1"/>
    <col min="270" max="270" width="9.140625" style="97"/>
    <col min="271" max="271" width="11.85546875" style="97" customWidth="1"/>
    <col min="272" max="499" width="9.140625" style="97"/>
    <col min="500" max="500" width="4.7109375" style="97" customWidth="1"/>
    <col min="501" max="501" width="12.140625" style="97" customWidth="1"/>
    <col min="502" max="502" width="47.5703125" style="97" customWidth="1"/>
    <col min="503" max="503" width="5.5703125" style="97" customWidth="1"/>
    <col min="504" max="504" width="9.7109375" style="97" customWidth="1"/>
    <col min="505" max="505" width="0" style="97" hidden="1" customWidth="1"/>
    <col min="506" max="507" width="9.7109375" style="97" customWidth="1"/>
    <col min="508" max="508" width="11.42578125" style="97" customWidth="1"/>
    <col min="509" max="509" width="9.7109375" style="97" customWidth="1"/>
    <col min="510" max="510" width="9.28515625" style="97" customWidth="1"/>
    <col min="511" max="512" width="10.85546875" style="97" customWidth="1"/>
    <col min="513" max="513" width="10.28515625" style="97" customWidth="1"/>
    <col min="514" max="514" width="11.42578125" style="97" customWidth="1"/>
    <col min="515" max="515" width="10.28515625" style="97" customWidth="1"/>
    <col min="516" max="516" width="9.5703125" style="97" bestFit="1" customWidth="1"/>
    <col min="517" max="518" width="0" style="97" hidden="1" customWidth="1"/>
    <col min="519" max="519" width="8.5703125" style="97" bestFit="1" customWidth="1"/>
    <col min="520" max="520" width="12.85546875" style="97" bestFit="1" customWidth="1"/>
    <col min="521" max="521" width="11" style="97" bestFit="1" customWidth="1"/>
    <col min="522" max="522" width="9" style="97" bestFit="1" customWidth="1"/>
    <col min="523" max="523" width="13.5703125" style="97" bestFit="1" customWidth="1"/>
    <col min="524" max="524" width="9.5703125" style="97" bestFit="1" customWidth="1"/>
    <col min="525" max="525" width="11.5703125" style="97" customWidth="1"/>
    <col min="526" max="526" width="9.140625" style="97"/>
    <col min="527" max="527" width="11.85546875" style="97" customWidth="1"/>
    <col min="528" max="755" width="9.140625" style="97"/>
    <col min="756" max="756" width="4.7109375" style="97" customWidth="1"/>
    <col min="757" max="757" width="12.140625" style="97" customWidth="1"/>
    <col min="758" max="758" width="47.5703125" style="97" customWidth="1"/>
    <col min="759" max="759" width="5.5703125" style="97" customWidth="1"/>
    <col min="760" max="760" width="9.7109375" style="97" customWidth="1"/>
    <col min="761" max="761" width="0" style="97" hidden="1" customWidth="1"/>
    <col min="762" max="763" width="9.7109375" style="97" customWidth="1"/>
    <col min="764" max="764" width="11.42578125" style="97" customWidth="1"/>
    <col min="765" max="765" width="9.7109375" style="97" customWidth="1"/>
    <col min="766" max="766" width="9.28515625" style="97" customWidth="1"/>
    <col min="767" max="768" width="10.85546875" style="97" customWidth="1"/>
    <col min="769" max="769" width="10.28515625" style="97" customWidth="1"/>
    <col min="770" max="770" width="11.42578125" style="97" customWidth="1"/>
    <col min="771" max="771" width="10.28515625" style="97" customWidth="1"/>
    <col min="772" max="772" width="9.5703125" style="97" bestFit="1" customWidth="1"/>
    <col min="773" max="774" width="0" style="97" hidden="1" customWidth="1"/>
    <col min="775" max="775" width="8.5703125" style="97" bestFit="1" customWidth="1"/>
    <col min="776" max="776" width="12.85546875" style="97" bestFit="1" customWidth="1"/>
    <col min="777" max="777" width="11" style="97" bestFit="1" customWidth="1"/>
    <col min="778" max="778" width="9" style="97" bestFit="1" customWidth="1"/>
    <col min="779" max="779" width="13.5703125" style="97" bestFit="1" customWidth="1"/>
    <col min="780" max="780" width="9.5703125" style="97" bestFit="1" customWidth="1"/>
    <col min="781" max="781" width="11.5703125" style="97" customWidth="1"/>
    <col min="782" max="782" width="9.140625" style="97"/>
    <col min="783" max="783" width="11.85546875" style="97" customWidth="1"/>
    <col min="784" max="1011" width="9.140625" style="97"/>
    <col min="1012" max="1012" width="4.7109375" style="97" customWidth="1"/>
    <col min="1013" max="1013" width="12.140625" style="97" customWidth="1"/>
    <col min="1014" max="1014" width="47.5703125" style="97" customWidth="1"/>
    <col min="1015" max="1015" width="5.5703125" style="97" customWidth="1"/>
    <col min="1016" max="1016" width="9.7109375" style="97" customWidth="1"/>
    <col min="1017" max="1017" width="0" style="97" hidden="1" customWidth="1"/>
    <col min="1018" max="1019" width="9.7109375" style="97" customWidth="1"/>
    <col min="1020" max="1020" width="11.42578125" style="97" customWidth="1"/>
    <col min="1021" max="1021" width="9.7109375" style="97" customWidth="1"/>
    <col min="1022" max="1022" width="9.28515625" style="97" customWidth="1"/>
    <col min="1023" max="1024" width="10.85546875" style="97" customWidth="1"/>
    <col min="1025" max="1025" width="10.28515625" style="97" customWidth="1"/>
    <col min="1026" max="1026" width="11.42578125" style="97" customWidth="1"/>
    <col min="1027" max="1027" width="10.28515625" style="97" customWidth="1"/>
    <col min="1028" max="1028" width="9.5703125" style="97" bestFit="1" customWidth="1"/>
    <col min="1029" max="1030" width="0" style="97" hidden="1" customWidth="1"/>
    <col min="1031" max="1031" width="8.5703125" style="97" bestFit="1" customWidth="1"/>
    <col min="1032" max="1032" width="12.85546875" style="97" bestFit="1" customWidth="1"/>
    <col min="1033" max="1033" width="11" style="97" bestFit="1" customWidth="1"/>
    <col min="1034" max="1034" width="9" style="97" bestFit="1" customWidth="1"/>
    <col min="1035" max="1035" width="13.5703125" style="97" bestFit="1" customWidth="1"/>
    <col min="1036" max="1036" width="9.5703125" style="97" bestFit="1" customWidth="1"/>
    <col min="1037" max="1037" width="11.5703125" style="97" customWidth="1"/>
    <col min="1038" max="1038" width="9.140625" style="97"/>
    <col min="1039" max="1039" width="11.85546875" style="97" customWidth="1"/>
    <col min="1040" max="1267" width="9.140625" style="97"/>
    <col min="1268" max="1268" width="4.7109375" style="97" customWidth="1"/>
    <col min="1269" max="1269" width="12.140625" style="97" customWidth="1"/>
    <col min="1270" max="1270" width="47.5703125" style="97" customWidth="1"/>
    <col min="1271" max="1271" width="5.5703125" style="97" customWidth="1"/>
    <col min="1272" max="1272" width="9.7109375" style="97" customWidth="1"/>
    <col min="1273" max="1273" width="0" style="97" hidden="1" customWidth="1"/>
    <col min="1274" max="1275" width="9.7109375" style="97" customWidth="1"/>
    <col min="1276" max="1276" width="11.42578125" style="97" customWidth="1"/>
    <col min="1277" max="1277" width="9.7109375" style="97" customWidth="1"/>
    <col min="1278" max="1278" width="9.28515625" style="97" customWidth="1"/>
    <col min="1279" max="1280" width="10.85546875" style="97" customWidth="1"/>
    <col min="1281" max="1281" width="10.28515625" style="97" customWidth="1"/>
    <col min="1282" max="1282" width="11.42578125" style="97" customWidth="1"/>
    <col min="1283" max="1283" width="10.28515625" style="97" customWidth="1"/>
    <col min="1284" max="1284" width="9.5703125" style="97" bestFit="1" customWidth="1"/>
    <col min="1285" max="1286" width="0" style="97" hidden="1" customWidth="1"/>
    <col min="1287" max="1287" width="8.5703125" style="97" bestFit="1" customWidth="1"/>
    <col min="1288" max="1288" width="12.85546875" style="97" bestFit="1" customWidth="1"/>
    <col min="1289" max="1289" width="11" style="97" bestFit="1" customWidth="1"/>
    <col min="1290" max="1290" width="9" style="97" bestFit="1" customWidth="1"/>
    <col min="1291" max="1291" width="13.5703125" style="97" bestFit="1" customWidth="1"/>
    <col min="1292" max="1292" width="9.5703125" style="97" bestFit="1" customWidth="1"/>
    <col min="1293" max="1293" width="11.5703125" style="97" customWidth="1"/>
    <col min="1294" max="1294" width="9.140625" style="97"/>
    <col min="1295" max="1295" width="11.85546875" style="97" customWidth="1"/>
    <col min="1296" max="1523" width="9.140625" style="97"/>
    <col min="1524" max="1524" width="4.7109375" style="97" customWidth="1"/>
    <col min="1525" max="1525" width="12.140625" style="97" customWidth="1"/>
    <col min="1526" max="1526" width="47.5703125" style="97" customWidth="1"/>
    <col min="1527" max="1527" width="5.5703125" style="97" customWidth="1"/>
    <col min="1528" max="1528" width="9.7109375" style="97" customWidth="1"/>
    <col min="1529" max="1529" width="0" style="97" hidden="1" customWidth="1"/>
    <col min="1530" max="1531" width="9.7109375" style="97" customWidth="1"/>
    <col min="1532" max="1532" width="11.42578125" style="97" customWidth="1"/>
    <col min="1533" max="1533" width="9.7109375" style="97" customWidth="1"/>
    <col min="1534" max="1534" width="9.28515625" style="97" customWidth="1"/>
    <col min="1535" max="1536" width="10.85546875" style="97" customWidth="1"/>
    <col min="1537" max="1537" width="10.28515625" style="97" customWidth="1"/>
    <col min="1538" max="1538" width="11.42578125" style="97" customWidth="1"/>
    <col min="1539" max="1539" width="10.28515625" style="97" customWidth="1"/>
    <col min="1540" max="1540" width="9.5703125" style="97" bestFit="1" customWidth="1"/>
    <col min="1541" max="1542" width="0" style="97" hidden="1" customWidth="1"/>
    <col min="1543" max="1543" width="8.5703125" style="97" bestFit="1" customWidth="1"/>
    <col min="1544" max="1544" width="12.85546875" style="97" bestFit="1" customWidth="1"/>
    <col min="1545" max="1545" width="11" style="97" bestFit="1" customWidth="1"/>
    <col min="1546" max="1546" width="9" style="97" bestFit="1" customWidth="1"/>
    <col min="1547" max="1547" width="13.5703125" style="97" bestFit="1" customWidth="1"/>
    <col min="1548" max="1548" width="9.5703125" style="97" bestFit="1" customWidth="1"/>
    <col min="1549" max="1549" width="11.5703125" style="97" customWidth="1"/>
    <col min="1550" max="1550" width="9.140625" style="97"/>
    <col min="1551" max="1551" width="11.85546875" style="97" customWidth="1"/>
    <col min="1552" max="1779" width="9.140625" style="97"/>
    <col min="1780" max="1780" width="4.7109375" style="97" customWidth="1"/>
    <col min="1781" max="1781" width="12.140625" style="97" customWidth="1"/>
    <col min="1782" max="1782" width="47.5703125" style="97" customWidth="1"/>
    <col min="1783" max="1783" width="5.5703125" style="97" customWidth="1"/>
    <col min="1784" max="1784" width="9.7109375" style="97" customWidth="1"/>
    <col min="1785" max="1785" width="0" style="97" hidden="1" customWidth="1"/>
    <col min="1786" max="1787" width="9.7109375" style="97" customWidth="1"/>
    <col min="1788" max="1788" width="11.42578125" style="97" customWidth="1"/>
    <col min="1789" max="1789" width="9.7109375" style="97" customWidth="1"/>
    <col min="1790" max="1790" width="9.28515625" style="97" customWidth="1"/>
    <col min="1791" max="1792" width="10.85546875" style="97" customWidth="1"/>
    <col min="1793" max="1793" width="10.28515625" style="97" customWidth="1"/>
    <col min="1794" max="1794" width="11.42578125" style="97" customWidth="1"/>
    <col min="1795" max="1795" width="10.28515625" style="97" customWidth="1"/>
    <col min="1796" max="1796" width="9.5703125" style="97" bestFit="1" customWidth="1"/>
    <col min="1797" max="1798" width="0" style="97" hidden="1" customWidth="1"/>
    <col min="1799" max="1799" width="8.5703125" style="97" bestFit="1" customWidth="1"/>
    <col min="1800" max="1800" width="12.85546875" style="97" bestFit="1" customWidth="1"/>
    <col min="1801" max="1801" width="11" style="97" bestFit="1" customWidth="1"/>
    <col min="1802" max="1802" width="9" style="97" bestFit="1" customWidth="1"/>
    <col min="1803" max="1803" width="13.5703125" style="97" bestFit="1" customWidth="1"/>
    <col min="1804" max="1804" width="9.5703125" style="97" bestFit="1" customWidth="1"/>
    <col min="1805" max="1805" width="11.5703125" style="97" customWidth="1"/>
    <col min="1806" max="1806" width="9.140625" style="97"/>
    <col min="1807" max="1807" width="11.85546875" style="97" customWidth="1"/>
    <col min="1808" max="2035" width="9.140625" style="97"/>
    <col min="2036" max="2036" width="4.7109375" style="97" customWidth="1"/>
    <col min="2037" max="2037" width="12.140625" style="97" customWidth="1"/>
    <col min="2038" max="2038" width="47.5703125" style="97" customWidth="1"/>
    <col min="2039" max="2039" width="5.5703125" style="97" customWidth="1"/>
    <col min="2040" max="2040" width="9.7109375" style="97" customWidth="1"/>
    <col min="2041" max="2041" width="0" style="97" hidden="1" customWidth="1"/>
    <col min="2042" max="2043" width="9.7109375" style="97" customWidth="1"/>
    <col min="2044" max="2044" width="11.42578125" style="97" customWidth="1"/>
    <col min="2045" max="2045" width="9.7109375" style="97" customWidth="1"/>
    <col min="2046" max="2046" width="9.28515625" style="97" customWidth="1"/>
    <col min="2047" max="2048" width="10.85546875" style="97" customWidth="1"/>
    <col min="2049" max="2049" width="10.28515625" style="97" customWidth="1"/>
    <col min="2050" max="2050" width="11.42578125" style="97" customWidth="1"/>
    <col min="2051" max="2051" width="10.28515625" style="97" customWidth="1"/>
    <col min="2052" max="2052" width="9.5703125" style="97" bestFit="1" customWidth="1"/>
    <col min="2053" max="2054" width="0" style="97" hidden="1" customWidth="1"/>
    <col min="2055" max="2055" width="8.5703125" style="97" bestFit="1" customWidth="1"/>
    <col min="2056" max="2056" width="12.85546875" style="97" bestFit="1" customWidth="1"/>
    <col min="2057" max="2057" width="11" style="97" bestFit="1" customWidth="1"/>
    <col min="2058" max="2058" width="9" style="97" bestFit="1" customWidth="1"/>
    <col min="2059" max="2059" width="13.5703125" style="97" bestFit="1" customWidth="1"/>
    <col min="2060" max="2060" width="9.5703125" style="97" bestFit="1" customWidth="1"/>
    <col min="2061" max="2061" width="11.5703125" style="97" customWidth="1"/>
    <col min="2062" max="2062" width="9.140625" style="97"/>
    <col min="2063" max="2063" width="11.85546875" style="97" customWidth="1"/>
    <col min="2064" max="2291" width="9.140625" style="97"/>
    <col min="2292" max="2292" width="4.7109375" style="97" customWidth="1"/>
    <col min="2293" max="2293" width="12.140625" style="97" customWidth="1"/>
    <col min="2294" max="2294" width="47.5703125" style="97" customWidth="1"/>
    <col min="2295" max="2295" width="5.5703125" style="97" customWidth="1"/>
    <col min="2296" max="2296" width="9.7109375" style="97" customWidth="1"/>
    <col min="2297" max="2297" width="0" style="97" hidden="1" customWidth="1"/>
    <col min="2298" max="2299" width="9.7109375" style="97" customWidth="1"/>
    <col min="2300" max="2300" width="11.42578125" style="97" customWidth="1"/>
    <col min="2301" max="2301" width="9.7109375" style="97" customWidth="1"/>
    <col min="2302" max="2302" width="9.28515625" style="97" customWidth="1"/>
    <col min="2303" max="2304" width="10.85546875" style="97" customWidth="1"/>
    <col min="2305" max="2305" width="10.28515625" style="97" customWidth="1"/>
    <col min="2306" max="2306" width="11.42578125" style="97" customWidth="1"/>
    <col min="2307" max="2307" width="10.28515625" style="97" customWidth="1"/>
    <col min="2308" max="2308" width="9.5703125" style="97" bestFit="1" customWidth="1"/>
    <col min="2309" max="2310" width="0" style="97" hidden="1" customWidth="1"/>
    <col min="2311" max="2311" width="8.5703125" style="97" bestFit="1" customWidth="1"/>
    <col min="2312" max="2312" width="12.85546875" style="97" bestFit="1" customWidth="1"/>
    <col min="2313" max="2313" width="11" style="97" bestFit="1" customWidth="1"/>
    <col min="2314" max="2314" width="9" style="97" bestFit="1" customWidth="1"/>
    <col min="2315" max="2315" width="13.5703125" style="97" bestFit="1" customWidth="1"/>
    <col min="2316" max="2316" width="9.5703125" style="97" bestFit="1" customWidth="1"/>
    <col min="2317" max="2317" width="11.5703125" style="97" customWidth="1"/>
    <col min="2318" max="2318" width="9.140625" style="97"/>
    <col min="2319" max="2319" width="11.85546875" style="97" customWidth="1"/>
    <col min="2320" max="2547" width="9.140625" style="97"/>
    <col min="2548" max="2548" width="4.7109375" style="97" customWidth="1"/>
    <col min="2549" max="2549" width="12.140625" style="97" customWidth="1"/>
    <col min="2550" max="2550" width="47.5703125" style="97" customWidth="1"/>
    <col min="2551" max="2551" width="5.5703125" style="97" customWidth="1"/>
    <col min="2552" max="2552" width="9.7109375" style="97" customWidth="1"/>
    <col min="2553" max="2553" width="0" style="97" hidden="1" customWidth="1"/>
    <col min="2554" max="2555" width="9.7109375" style="97" customWidth="1"/>
    <col min="2556" max="2556" width="11.42578125" style="97" customWidth="1"/>
    <col min="2557" max="2557" width="9.7109375" style="97" customWidth="1"/>
    <col min="2558" max="2558" width="9.28515625" style="97" customWidth="1"/>
    <col min="2559" max="2560" width="10.85546875" style="97" customWidth="1"/>
    <col min="2561" max="2561" width="10.28515625" style="97" customWidth="1"/>
    <col min="2562" max="2562" width="11.42578125" style="97" customWidth="1"/>
    <col min="2563" max="2563" width="10.28515625" style="97" customWidth="1"/>
    <col min="2564" max="2564" width="9.5703125" style="97" bestFit="1" customWidth="1"/>
    <col min="2565" max="2566" width="0" style="97" hidden="1" customWidth="1"/>
    <col min="2567" max="2567" width="8.5703125" style="97" bestFit="1" customWidth="1"/>
    <col min="2568" max="2568" width="12.85546875" style="97" bestFit="1" customWidth="1"/>
    <col min="2569" max="2569" width="11" style="97" bestFit="1" customWidth="1"/>
    <col min="2570" max="2570" width="9" style="97" bestFit="1" customWidth="1"/>
    <col min="2571" max="2571" width="13.5703125" style="97" bestFit="1" customWidth="1"/>
    <col min="2572" max="2572" width="9.5703125" style="97" bestFit="1" customWidth="1"/>
    <col min="2573" max="2573" width="11.5703125" style="97" customWidth="1"/>
    <col min="2574" max="2574" width="9.140625" style="97"/>
    <col min="2575" max="2575" width="11.85546875" style="97" customWidth="1"/>
    <col min="2576" max="2803" width="9.140625" style="97"/>
    <col min="2804" max="2804" width="4.7109375" style="97" customWidth="1"/>
    <col min="2805" max="2805" width="12.140625" style="97" customWidth="1"/>
    <col min="2806" max="2806" width="47.5703125" style="97" customWidth="1"/>
    <col min="2807" max="2807" width="5.5703125" style="97" customWidth="1"/>
    <col min="2808" max="2808" width="9.7109375" style="97" customWidth="1"/>
    <col min="2809" max="2809" width="0" style="97" hidden="1" customWidth="1"/>
    <col min="2810" max="2811" width="9.7109375" style="97" customWidth="1"/>
    <col min="2812" max="2812" width="11.42578125" style="97" customWidth="1"/>
    <col min="2813" max="2813" width="9.7109375" style="97" customWidth="1"/>
    <col min="2814" max="2814" width="9.28515625" style="97" customWidth="1"/>
    <col min="2815" max="2816" width="10.85546875" style="97" customWidth="1"/>
    <col min="2817" max="2817" width="10.28515625" style="97" customWidth="1"/>
    <col min="2818" max="2818" width="11.42578125" style="97" customWidth="1"/>
    <col min="2819" max="2819" width="10.28515625" style="97" customWidth="1"/>
    <col min="2820" max="2820" width="9.5703125" style="97" bestFit="1" customWidth="1"/>
    <col min="2821" max="2822" width="0" style="97" hidden="1" customWidth="1"/>
    <col min="2823" max="2823" width="8.5703125" style="97" bestFit="1" customWidth="1"/>
    <col min="2824" max="2824" width="12.85546875" style="97" bestFit="1" customWidth="1"/>
    <col min="2825" max="2825" width="11" style="97" bestFit="1" customWidth="1"/>
    <col min="2826" max="2826" width="9" style="97" bestFit="1" customWidth="1"/>
    <col min="2827" max="2827" width="13.5703125" style="97" bestFit="1" customWidth="1"/>
    <col min="2828" max="2828" width="9.5703125" style="97" bestFit="1" customWidth="1"/>
    <col min="2829" max="2829" width="11.5703125" style="97" customWidth="1"/>
    <col min="2830" max="2830" width="9.140625" style="97"/>
    <col min="2831" max="2831" width="11.85546875" style="97" customWidth="1"/>
    <col min="2832" max="3059" width="9.140625" style="97"/>
    <col min="3060" max="3060" width="4.7109375" style="97" customWidth="1"/>
    <col min="3061" max="3061" width="12.140625" style="97" customWidth="1"/>
    <col min="3062" max="3062" width="47.5703125" style="97" customWidth="1"/>
    <col min="3063" max="3063" width="5.5703125" style="97" customWidth="1"/>
    <col min="3064" max="3064" width="9.7109375" style="97" customWidth="1"/>
    <col min="3065" max="3065" width="0" style="97" hidden="1" customWidth="1"/>
    <col min="3066" max="3067" width="9.7109375" style="97" customWidth="1"/>
    <col min="3068" max="3068" width="11.42578125" style="97" customWidth="1"/>
    <col min="3069" max="3069" width="9.7109375" style="97" customWidth="1"/>
    <col min="3070" max="3070" width="9.28515625" style="97" customWidth="1"/>
    <col min="3071" max="3072" width="10.85546875" style="97" customWidth="1"/>
    <col min="3073" max="3073" width="10.28515625" style="97" customWidth="1"/>
    <col min="3074" max="3074" width="11.42578125" style="97" customWidth="1"/>
    <col min="3075" max="3075" width="10.28515625" style="97" customWidth="1"/>
    <col min="3076" max="3076" width="9.5703125" style="97" bestFit="1" customWidth="1"/>
    <col min="3077" max="3078" width="0" style="97" hidden="1" customWidth="1"/>
    <col min="3079" max="3079" width="8.5703125" style="97" bestFit="1" customWidth="1"/>
    <col min="3080" max="3080" width="12.85546875" style="97" bestFit="1" customWidth="1"/>
    <col min="3081" max="3081" width="11" style="97" bestFit="1" customWidth="1"/>
    <col min="3082" max="3082" width="9" style="97" bestFit="1" customWidth="1"/>
    <col min="3083" max="3083" width="13.5703125" style="97" bestFit="1" customWidth="1"/>
    <col min="3084" max="3084" width="9.5703125" style="97" bestFit="1" customWidth="1"/>
    <col min="3085" max="3085" width="11.5703125" style="97" customWidth="1"/>
    <col min="3086" max="3086" width="9.140625" style="97"/>
    <col min="3087" max="3087" width="11.85546875" style="97" customWidth="1"/>
    <col min="3088" max="3315" width="9.140625" style="97"/>
    <col min="3316" max="3316" width="4.7109375" style="97" customWidth="1"/>
    <col min="3317" max="3317" width="12.140625" style="97" customWidth="1"/>
    <col min="3318" max="3318" width="47.5703125" style="97" customWidth="1"/>
    <col min="3319" max="3319" width="5.5703125" style="97" customWidth="1"/>
    <col min="3320" max="3320" width="9.7109375" style="97" customWidth="1"/>
    <col min="3321" max="3321" width="0" style="97" hidden="1" customWidth="1"/>
    <col min="3322" max="3323" width="9.7109375" style="97" customWidth="1"/>
    <col min="3324" max="3324" width="11.42578125" style="97" customWidth="1"/>
    <col min="3325" max="3325" width="9.7109375" style="97" customWidth="1"/>
    <col min="3326" max="3326" width="9.28515625" style="97" customWidth="1"/>
    <col min="3327" max="3328" width="10.85546875" style="97" customWidth="1"/>
    <col min="3329" max="3329" width="10.28515625" style="97" customWidth="1"/>
    <col min="3330" max="3330" width="11.42578125" style="97" customWidth="1"/>
    <col min="3331" max="3331" width="10.28515625" style="97" customWidth="1"/>
    <col min="3332" max="3332" width="9.5703125" style="97" bestFit="1" customWidth="1"/>
    <col min="3333" max="3334" width="0" style="97" hidden="1" customWidth="1"/>
    <col min="3335" max="3335" width="8.5703125" style="97" bestFit="1" customWidth="1"/>
    <col min="3336" max="3336" width="12.85546875" style="97" bestFit="1" customWidth="1"/>
    <col min="3337" max="3337" width="11" style="97" bestFit="1" customWidth="1"/>
    <col min="3338" max="3338" width="9" style="97" bestFit="1" customWidth="1"/>
    <col min="3339" max="3339" width="13.5703125" style="97" bestFit="1" customWidth="1"/>
    <col min="3340" max="3340" width="9.5703125" style="97" bestFit="1" customWidth="1"/>
    <col min="3341" max="3341" width="11.5703125" style="97" customWidth="1"/>
    <col min="3342" max="3342" width="9.140625" style="97"/>
    <col min="3343" max="3343" width="11.85546875" style="97" customWidth="1"/>
    <col min="3344" max="3571" width="9.140625" style="97"/>
    <col min="3572" max="3572" width="4.7109375" style="97" customWidth="1"/>
    <col min="3573" max="3573" width="12.140625" style="97" customWidth="1"/>
    <col min="3574" max="3574" width="47.5703125" style="97" customWidth="1"/>
    <col min="3575" max="3575" width="5.5703125" style="97" customWidth="1"/>
    <col min="3576" max="3576" width="9.7109375" style="97" customWidth="1"/>
    <col min="3577" max="3577" width="0" style="97" hidden="1" customWidth="1"/>
    <col min="3578" max="3579" width="9.7109375" style="97" customWidth="1"/>
    <col min="3580" max="3580" width="11.42578125" style="97" customWidth="1"/>
    <col min="3581" max="3581" width="9.7109375" style="97" customWidth="1"/>
    <col min="3582" max="3582" width="9.28515625" style="97" customWidth="1"/>
    <col min="3583" max="3584" width="10.85546875" style="97" customWidth="1"/>
    <col min="3585" max="3585" width="10.28515625" style="97" customWidth="1"/>
    <col min="3586" max="3586" width="11.42578125" style="97" customWidth="1"/>
    <col min="3587" max="3587" width="10.28515625" style="97" customWidth="1"/>
    <col min="3588" max="3588" width="9.5703125" style="97" bestFit="1" customWidth="1"/>
    <col min="3589" max="3590" width="0" style="97" hidden="1" customWidth="1"/>
    <col min="3591" max="3591" width="8.5703125" style="97" bestFit="1" customWidth="1"/>
    <col min="3592" max="3592" width="12.85546875" style="97" bestFit="1" customWidth="1"/>
    <col min="3593" max="3593" width="11" style="97" bestFit="1" customWidth="1"/>
    <col min="3594" max="3594" width="9" style="97" bestFit="1" customWidth="1"/>
    <col min="3595" max="3595" width="13.5703125" style="97" bestFit="1" customWidth="1"/>
    <col min="3596" max="3596" width="9.5703125" style="97" bestFit="1" customWidth="1"/>
    <col min="3597" max="3597" width="11.5703125" style="97" customWidth="1"/>
    <col min="3598" max="3598" width="9.140625" style="97"/>
    <col min="3599" max="3599" width="11.85546875" style="97" customWidth="1"/>
    <col min="3600" max="3827" width="9.140625" style="97"/>
    <col min="3828" max="3828" width="4.7109375" style="97" customWidth="1"/>
    <col min="3829" max="3829" width="12.140625" style="97" customWidth="1"/>
    <col min="3830" max="3830" width="47.5703125" style="97" customWidth="1"/>
    <col min="3831" max="3831" width="5.5703125" style="97" customWidth="1"/>
    <col min="3832" max="3832" width="9.7109375" style="97" customWidth="1"/>
    <col min="3833" max="3833" width="0" style="97" hidden="1" customWidth="1"/>
    <col min="3834" max="3835" width="9.7109375" style="97" customWidth="1"/>
    <col min="3836" max="3836" width="11.42578125" style="97" customWidth="1"/>
    <col min="3837" max="3837" width="9.7109375" style="97" customWidth="1"/>
    <col min="3838" max="3838" width="9.28515625" style="97" customWidth="1"/>
    <col min="3839" max="3840" width="10.85546875" style="97" customWidth="1"/>
    <col min="3841" max="3841" width="10.28515625" style="97" customWidth="1"/>
    <col min="3842" max="3842" width="11.42578125" style="97" customWidth="1"/>
    <col min="3843" max="3843" width="10.28515625" style="97" customWidth="1"/>
    <col min="3844" max="3844" width="9.5703125" style="97" bestFit="1" customWidth="1"/>
    <col min="3845" max="3846" width="0" style="97" hidden="1" customWidth="1"/>
    <col min="3847" max="3847" width="8.5703125" style="97" bestFit="1" customWidth="1"/>
    <col min="3848" max="3848" width="12.85546875" style="97" bestFit="1" customWidth="1"/>
    <col min="3849" max="3849" width="11" style="97" bestFit="1" customWidth="1"/>
    <col min="3850" max="3850" width="9" style="97" bestFit="1" customWidth="1"/>
    <col min="3851" max="3851" width="13.5703125" style="97" bestFit="1" customWidth="1"/>
    <col min="3852" max="3852" width="9.5703125" style="97" bestFit="1" customWidth="1"/>
    <col min="3853" max="3853" width="11.5703125" style="97" customWidth="1"/>
    <col min="3854" max="3854" width="9.140625" style="97"/>
    <col min="3855" max="3855" width="11.85546875" style="97" customWidth="1"/>
    <col min="3856" max="4083" width="9.140625" style="97"/>
    <col min="4084" max="4084" width="4.7109375" style="97" customWidth="1"/>
    <col min="4085" max="4085" width="12.140625" style="97" customWidth="1"/>
    <col min="4086" max="4086" width="47.5703125" style="97" customWidth="1"/>
    <col min="4087" max="4087" width="5.5703125" style="97" customWidth="1"/>
    <col min="4088" max="4088" width="9.7109375" style="97" customWidth="1"/>
    <col min="4089" max="4089" width="0" style="97" hidden="1" customWidth="1"/>
    <col min="4090" max="4091" width="9.7109375" style="97" customWidth="1"/>
    <col min="4092" max="4092" width="11.42578125" style="97" customWidth="1"/>
    <col min="4093" max="4093" width="9.7109375" style="97" customWidth="1"/>
    <col min="4094" max="4094" width="9.28515625" style="97" customWidth="1"/>
    <col min="4095" max="4096" width="10.85546875" style="97" customWidth="1"/>
    <col min="4097" max="4097" width="10.28515625" style="97" customWidth="1"/>
    <col min="4098" max="4098" width="11.42578125" style="97" customWidth="1"/>
    <col min="4099" max="4099" width="10.28515625" style="97" customWidth="1"/>
    <col min="4100" max="4100" width="9.5703125" style="97" bestFit="1" customWidth="1"/>
    <col min="4101" max="4102" width="0" style="97" hidden="1" customWidth="1"/>
    <col min="4103" max="4103" width="8.5703125" style="97" bestFit="1" customWidth="1"/>
    <col min="4104" max="4104" width="12.85546875" style="97" bestFit="1" customWidth="1"/>
    <col min="4105" max="4105" width="11" style="97" bestFit="1" customWidth="1"/>
    <col min="4106" max="4106" width="9" style="97" bestFit="1" customWidth="1"/>
    <col min="4107" max="4107" width="13.5703125" style="97" bestFit="1" customWidth="1"/>
    <col min="4108" max="4108" width="9.5703125" style="97" bestFit="1" customWidth="1"/>
    <col min="4109" max="4109" width="11.5703125" style="97" customWidth="1"/>
    <col min="4110" max="4110" width="9.140625" style="97"/>
    <col min="4111" max="4111" width="11.85546875" style="97" customWidth="1"/>
    <col min="4112" max="4339" width="9.140625" style="97"/>
    <col min="4340" max="4340" width="4.7109375" style="97" customWidth="1"/>
    <col min="4341" max="4341" width="12.140625" style="97" customWidth="1"/>
    <col min="4342" max="4342" width="47.5703125" style="97" customWidth="1"/>
    <col min="4343" max="4343" width="5.5703125" style="97" customWidth="1"/>
    <col min="4344" max="4344" width="9.7109375" style="97" customWidth="1"/>
    <col min="4345" max="4345" width="0" style="97" hidden="1" customWidth="1"/>
    <col min="4346" max="4347" width="9.7109375" style="97" customWidth="1"/>
    <col min="4348" max="4348" width="11.42578125" style="97" customWidth="1"/>
    <col min="4349" max="4349" width="9.7109375" style="97" customWidth="1"/>
    <col min="4350" max="4350" width="9.28515625" style="97" customWidth="1"/>
    <col min="4351" max="4352" width="10.85546875" style="97" customWidth="1"/>
    <col min="4353" max="4353" width="10.28515625" style="97" customWidth="1"/>
    <col min="4354" max="4354" width="11.42578125" style="97" customWidth="1"/>
    <col min="4355" max="4355" width="10.28515625" style="97" customWidth="1"/>
    <col min="4356" max="4356" width="9.5703125" style="97" bestFit="1" customWidth="1"/>
    <col min="4357" max="4358" width="0" style="97" hidden="1" customWidth="1"/>
    <col min="4359" max="4359" width="8.5703125" style="97" bestFit="1" customWidth="1"/>
    <col min="4360" max="4360" width="12.85546875" style="97" bestFit="1" customWidth="1"/>
    <col min="4361" max="4361" width="11" style="97" bestFit="1" customWidth="1"/>
    <col min="4362" max="4362" width="9" style="97" bestFit="1" customWidth="1"/>
    <col min="4363" max="4363" width="13.5703125" style="97" bestFit="1" customWidth="1"/>
    <col min="4364" max="4364" width="9.5703125" style="97" bestFit="1" customWidth="1"/>
    <col min="4365" max="4365" width="11.5703125" style="97" customWidth="1"/>
    <col min="4366" max="4366" width="9.140625" style="97"/>
    <col min="4367" max="4367" width="11.85546875" style="97" customWidth="1"/>
    <col min="4368" max="4595" width="9.140625" style="97"/>
    <col min="4596" max="4596" width="4.7109375" style="97" customWidth="1"/>
    <col min="4597" max="4597" width="12.140625" style="97" customWidth="1"/>
    <col min="4598" max="4598" width="47.5703125" style="97" customWidth="1"/>
    <col min="4599" max="4599" width="5.5703125" style="97" customWidth="1"/>
    <col min="4600" max="4600" width="9.7109375" style="97" customWidth="1"/>
    <col min="4601" max="4601" width="0" style="97" hidden="1" customWidth="1"/>
    <col min="4602" max="4603" width="9.7109375" style="97" customWidth="1"/>
    <col min="4604" max="4604" width="11.42578125" style="97" customWidth="1"/>
    <col min="4605" max="4605" width="9.7109375" style="97" customWidth="1"/>
    <col min="4606" max="4606" width="9.28515625" style="97" customWidth="1"/>
    <col min="4607" max="4608" width="10.85546875" style="97" customWidth="1"/>
    <col min="4609" max="4609" width="10.28515625" style="97" customWidth="1"/>
    <col min="4610" max="4610" width="11.42578125" style="97" customWidth="1"/>
    <col min="4611" max="4611" width="10.28515625" style="97" customWidth="1"/>
    <col min="4612" max="4612" width="9.5703125" style="97" bestFit="1" customWidth="1"/>
    <col min="4613" max="4614" width="0" style="97" hidden="1" customWidth="1"/>
    <col min="4615" max="4615" width="8.5703125" style="97" bestFit="1" customWidth="1"/>
    <col min="4616" max="4616" width="12.85546875" style="97" bestFit="1" customWidth="1"/>
    <col min="4617" max="4617" width="11" style="97" bestFit="1" customWidth="1"/>
    <col min="4618" max="4618" width="9" style="97" bestFit="1" customWidth="1"/>
    <col min="4619" max="4619" width="13.5703125" style="97" bestFit="1" customWidth="1"/>
    <col min="4620" max="4620" width="9.5703125" style="97" bestFit="1" customWidth="1"/>
    <col min="4621" max="4621" width="11.5703125" style="97" customWidth="1"/>
    <col min="4622" max="4622" width="9.140625" style="97"/>
    <col min="4623" max="4623" width="11.85546875" style="97" customWidth="1"/>
    <col min="4624" max="4851" width="9.140625" style="97"/>
    <col min="4852" max="4852" width="4.7109375" style="97" customWidth="1"/>
    <col min="4853" max="4853" width="12.140625" style="97" customWidth="1"/>
    <col min="4854" max="4854" width="47.5703125" style="97" customWidth="1"/>
    <col min="4855" max="4855" width="5.5703125" style="97" customWidth="1"/>
    <col min="4856" max="4856" width="9.7109375" style="97" customWidth="1"/>
    <col min="4857" max="4857" width="0" style="97" hidden="1" customWidth="1"/>
    <col min="4858" max="4859" width="9.7109375" style="97" customWidth="1"/>
    <col min="4860" max="4860" width="11.42578125" style="97" customWidth="1"/>
    <col min="4861" max="4861" width="9.7109375" style="97" customWidth="1"/>
    <col min="4862" max="4862" width="9.28515625" style="97" customWidth="1"/>
    <col min="4863" max="4864" width="10.85546875" style="97" customWidth="1"/>
    <col min="4865" max="4865" width="10.28515625" style="97" customWidth="1"/>
    <col min="4866" max="4866" width="11.42578125" style="97" customWidth="1"/>
    <col min="4867" max="4867" width="10.28515625" style="97" customWidth="1"/>
    <col min="4868" max="4868" width="9.5703125" style="97" bestFit="1" customWidth="1"/>
    <col min="4869" max="4870" width="0" style="97" hidden="1" customWidth="1"/>
    <col min="4871" max="4871" width="8.5703125" style="97" bestFit="1" customWidth="1"/>
    <col min="4872" max="4872" width="12.85546875" style="97" bestFit="1" customWidth="1"/>
    <col min="4873" max="4873" width="11" style="97" bestFit="1" customWidth="1"/>
    <col min="4874" max="4874" width="9" style="97" bestFit="1" customWidth="1"/>
    <col min="4875" max="4875" width="13.5703125" style="97" bestFit="1" customWidth="1"/>
    <col min="4876" max="4876" width="9.5703125" style="97" bestFit="1" customWidth="1"/>
    <col min="4877" max="4877" width="11.5703125" style="97" customWidth="1"/>
    <col min="4878" max="4878" width="9.140625" style="97"/>
    <col min="4879" max="4879" width="11.85546875" style="97" customWidth="1"/>
    <col min="4880" max="5107" width="9.140625" style="97"/>
    <col min="5108" max="5108" width="4.7109375" style="97" customWidth="1"/>
    <col min="5109" max="5109" width="12.140625" style="97" customWidth="1"/>
    <col min="5110" max="5110" width="47.5703125" style="97" customWidth="1"/>
    <col min="5111" max="5111" width="5.5703125" style="97" customWidth="1"/>
    <col min="5112" max="5112" width="9.7109375" style="97" customWidth="1"/>
    <col min="5113" max="5113" width="0" style="97" hidden="1" customWidth="1"/>
    <col min="5114" max="5115" width="9.7109375" style="97" customWidth="1"/>
    <col min="5116" max="5116" width="11.42578125" style="97" customWidth="1"/>
    <col min="5117" max="5117" width="9.7109375" style="97" customWidth="1"/>
    <col min="5118" max="5118" width="9.28515625" style="97" customWidth="1"/>
    <col min="5119" max="5120" width="10.85546875" style="97" customWidth="1"/>
    <col min="5121" max="5121" width="10.28515625" style="97" customWidth="1"/>
    <col min="5122" max="5122" width="11.42578125" style="97" customWidth="1"/>
    <col min="5123" max="5123" width="10.28515625" style="97" customWidth="1"/>
    <col min="5124" max="5124" width="9.5703125" style="97" bestFit="1" customWidth="1"/>
    <col min="5125" max="5126" width="0" style="97" hidden="1" customWidth="1"/>
    <col min="5127" max="5127" width="8.5703125" style="97" bestFit="1" customWidth="1"/>
    <col min="5128" max="5128" width="12.85546875" style="97" bestFit="1" customWidth="1"/>
    <col min="5129" max="5129" width="11" style="97" bestFit="1" customWidth="1"/>
    <col min="5130" max="5130" width="9" style="97" bestFit="1" customWidth="1"/>
    <col min="5131" max="5131" width="13.5703125" style="97" bestFit="1" customWidth="1"/>
    <col min="5132" max="5132" width="9.5703125" style="97" bestFit="1" customWidth="1"/>
    <col min="5133" max="5133" width="11.5703125" style="97" customWidth="1"/>
    <col min="5134" max="5134" width="9.140625" style="97"/>
    <col min="5135" max="5135" width="11.85546875" style="97" customWidth="1"/>
    <col min="5136" max="5363" width="9.140625" style="97"/>
    <col min="5364" max="5364" width="4.7109375" style="97" customWidth="1"/>
    <col min="5365" max="5365" width="12.140625" style="97" customWidth="1"/>
    <col min="5366" max="5366" width="47.5703125" style="97" customWidth="1"/>
    <col min="5367" max="5367" width="5.5703125" style="97" customWidth="1"/>
    <col min="5368" max="5368" width="9.7109375" style="97" customWidth="1"/>
    <col min="5369" max="5369" width="0" style="97" hidden="1" customWidth="1"/>
    <col min="5370" max="5371" width="9.7109375" style="97" customWidth="1"/>
    <col min="5372" max="5372" width="11.42578125" style="97" customWidth="1"/>
    <col min="5373" max="5373" width="9.7109375" style="97" customWidth="1"/>
    <col min="5374" max="5374" width="9.28515625" style="97" customWidth="1"/>
    <col min="5375" max="5376" width="10.85546875" style="97" customWidth="1"/>
    <col min="5377" max="5377" width="10.28515625" style="97" customWidth="1"/>
    <col min="5378" max="5378" width="11.42578125" style="97" customWidth="1"/>
    <col min="5379" max="5379" width="10.28515625" style="97" customWidth="1"/>
    <col min="5380" max="5380" width="9.5703125" style="97" bestFit="1" customWidth="1"/>
    <col min="5381" max="5382" width="0" style="97" hidden="1" customWidth="1"/>
    <col min="5383" max="5383" width="8.5703125" style="97" bestFit="1" customWidth="1"/>
    <col min="5384" max="5384" width="12.85546875" style="97" bestFit="1" customWidth="1"/>
    <col min="5385" max="5385" width="11" style="97" bestFit="1" customWidth="1"/>
    <col min="5386" max="5386" width="9" style="97" bestFit="1" customWidth="1"/>
    <col min="5387" max="5387" width="13.5703125" style="97" bestFit="1" customWidth="1"/>
    <col min="5388" max="5388" width="9.5703125" style="97" bestFit="1" customWidth="1"/>
    <col min="5389" max="5389" width="11.5703125" style="97" customWidth="1"/>
    <col min="5390" max="5390" width="9.140625" style="97"/>
    <col min="5391" max="5391" width="11.85546875" style="97" customWidth="1"/>
    <col min="5392" max="5619" width="9.140625" style="97"/>
    <col min="5620" max="5620" width="4.7109375" style="97" customWidth="1"/>
    <col min="5621" max="5621" width="12.140625" style="97" customWidth="1"/>
    <col min="5622" max="5622" width="47.5703125" style="97" customWidth="1"/>
    <col min="5623" max="5623" width="5.5703125" style="97" customWidth="1"/>
    <col min="5624" max="5624" width="9.7109375" style="97" customWidth="1"/>
    <col min="5625" max="5625" width="0" style="97" hidden="1" customWidth="1"/>
    <col min="5626" max="5627" width="9.7109375" style="97" customWidth="1"/>
    <col min="5628" max="5628" width="11.42578125" style="97" customWidth="1"/>
    <col min="5629" max="5629" width="9.7109375" style="97" customWidth="1"/>
    <col min="5630" max="5630" width="9.28515625" style="97" customWidth="1"/>
    <col min="5631" max="5632" width="10.85546875" style="97" customWidth="1"/>
    <col min="5633" max="5633" width="10.28515625" style="97" customWidth="1"/>
    <col min="5634" max="5634" width="11.42578125" style="97" customWidth="1"/>
    <col min="5635" max="5635" width="10.28515625" style="97" customWidth="1"/>
    <col min="5636" max="5636" width="9.5703125" style="97" bestFit="1" customWidth="1"/>
    <col min="5637" max="5638" width="0" style="97" hidden="1" customWidth="1"/>
    <col min="5639" max="5639" width="8.5703125" style="97" bestFit="1" customWidth="1"/>
    <col min="5640" max="5640" width="12.85546875" style="97" bestFit="1" customWidth="1"/>
    <col min="5641" max="5641" width="11" style="97" bestFit="1" customWidth="1"/>
    <col min="5642" max="5642" width="9" style="97" bestFit="1" customWidth="1"/>
    <col min="5643" max="5643" width="13.5703125" style="97" bestFit="1" customWidth="1"/>
    <col min="5644" max="5644" width="9.5703125" style="97" bestFit="1" customWidth="1"/>
    <col min="5645" max="5645" width="11.5703125" style="97" customWidth="1"/>
    <col min="5646" max="5646" width="9.140625" style="97"/>
    <col min="5647" max="5647" width="11.85546875" style="97" customWidth="1"/>
    <col min="5648" max="5875" width="9.140625" style="97"/>
    <col min="5876" max="5876" width="4.7109375" style="97" customWidth="1"/>
    <col min="5877" max="5877" width="12.140625" style="97" customWidth="1"/>
    <col min="5878" max="5878" width="47.5703125" style="97" customWidth="1"/>
    <col min="5879" max="5879" width="5.5703125" style="97" customWidth="1"/>
    <col min="5880" max="5880" width="9.7109375" style="97" customWidth="1"/>
    <col min="5881" max="5881" width="0" style="97" hidden="1" customWidth="1"/>
    <col min="5882" max="5883" width="9.7109375" style="97" customWidth="1"/>
    <col min="5884" max="5884" width="11.42578125" style="97" customWidth="1"/>
    <col min="5885" max="5885" width="9.7109375" style="97" customWidth="1"/>
    <col min="5886" max="5886" width="9.28515625" style="97" customWidth="1"/>
    <col min="5887" max="5888" width="10.85546875" style="97" customWidth="1"/>
    <col min="5889" max="5889" width="10.28515625" style="97" customWidth="1"/>
    <col min="5890" max="5890" width="11.42578125" style="97" customWidth="1"/>
    <col min="5891" max="5891" width="10.28515625" style="97" customWidth="1"/>
    <col min="5892" max="5892" width="9.5703125" style="97" bestFit="1" customWidth="1"/>
    <col min="5893" max="5894" width="0" style="97" hidden="1" customWidth="1"/>
    <col min="5895" max="5895" width="8.5703125" style="97" bestFit="1" customWidth="1"/>
    <col min="5896" max="5896" width="12.85546875" style="97" bestFit="1" customWidth="1"/>
    <col min="5897" max="5897" width="11" style="97" bestFit="1" customWidth="1"/>
    <col min="5898" max="5898" width="9" style="97" bestFit="1" customWidth="1"/>
    <col min="5899" max="5899" width="13.5703125" style="97" bestFit="1" customWidth="1"/>
    <col min="5900" max="5900" width="9.5703125" style="97" bestFit="1" customWidth="1"/>
    <col min="5901" max="5901" width="11.5703125" style="97" customWidth="1"/>
    <col min="5902" max="5902" width="9.140625" style="97"/>
    <col min="5903" max="5903" width="11.85546875" style="97" customWidth="1"/>
    <col min="5904" max="6131" width="9.140625" style="97"/>
    <col min="6132" max="6132" width="4.7109375" style="97" customWidth="1"/>
    <col min="6133" max="6133" width="12.140625" style="97" customWidth="1"/>
    <col min="6134" max="6134" width="47.5703125" style="97" customWidth="1"/>
    <col min="6135" max="6135" width="5.5703125" style="97" customWidth="1"/>
    <col min="6136" max="6136" width="9.7109375" style="97" customWidth="1"/>
    <col min="6137" max="6137" width="0" style="97" hidden="1" customWidth="1"/>
    <col min="6138" max="6139" width="9.7109375" style="97" customWidth="1"/>
    <col min="6140" max="6140" width="11.42578125" style="97" customWidth="1"/>
    <col min="6141" max="6141" width="9.7109375" style="97" customWidth="1"/>
    <col min="6142" max="6142" width="9.28515625" style="97" customWidth="1"/>
    <col min="6143" max="6144" width="10.85546875" style="97" customWidth="1"/>
    <col min="6145" max="6145" width="10.28515625" style="97" customWidth="1"/>
    <col min="6146" max="6146" width="11.42578125" style="97" customWidth="1"/>
    <col min="6147" max="6147" width="10.28515625" style="97" customWidth="1"/>
    <col min="6148" max="6148" width="9.5703125" style="97" bestFit="1" customWidth="1"/>
    <col min="6149" max="6150" width="0" style="97" hidden="1" customWidth="1"/>
    <col min="6151" max="6151" width="8.5703125" style="97" bestFit="1" customWidth="1"/>
    <col min="6152" max="6152" width="12.85546875" style="97" bestFit="1" customWidth="1"/>
    <col min="6153" max="6153" width="11" style="97" bestFit="1" customWidth="1"/>
    <col min="6154" max="6154" width="9" style="97" bestFit="1" customWidth="1"/>
    <col min="6155" max="6155" width="13.5703125" style="97" bestFit="1" customWidth="1"/>
    <col min="6156" max="6156" width="9.5703125" style="97" bestFit="1" customWidth="1"/>
    <col min="6157" max="6157" width="11.5703125" style="97" customWidth="1"/>
    <col min="6158" max="6158" width="9.140625" style="97"/>
    <col min="6159" max="6159" width="11.85546875" style="97" customWidth="1"/>
    <col min="6160" max="6387" width="9.140625" style="97"/>
    <col min="6388" max="6388" width="4.7109375" style="97" customWidth="1"/>
    <col min="6389" max="6389" width="12.140625" style="97" customWidth="1"/>
    <col min="6390" max="6390" width="47.5703125" style="97" customWidth="1"/>
    <col min="6391" max="6391" width="5.5703125" style="97" customWidth="1"/>
    <col min="6392" max="6392" width="9.7109375" style="97" customWidth="1"/>
    <col min="6393" max="6393" width="0" style="97" hidden="1" customWidth="1"/>
    <col min="6394" max="6395" width="9.7109375" style="97" customWidth="1"/>
    <col min="6396" max="6396" width="11.42578125" style="97" customWidth="1"/>
    <col min="6397" max="6397" width="9.7109375" style="97" customWidth="1"/>
    <col min="6398" max="6398" width="9.28515625" style="97" customWidth="1"/>
    <col min="6399" max="6400" width="10.85546875" style="97" customWidth="1"/>
    <col min="6401" max="6401" width="10.28515625" style="97" customWidth="1"/>
    <col min="6402" max="6402" width="11.42578125" style="97" customWidth="1"/>
    <col min="6403" max="6403" width="10.28515625" style="97" customWidth="1"/>
    <col min="6404" max="6404" width="9.5703125" style="97" bestFit="1" customWidth="1"/>
    <col min="6405" max="6406" width="0" style="97" hidden="1" customWidth="1"/>
    <col min="6407" max="6407" width="8.5703125" style="97" bestFit="1" customWidth="1"/>
    <col min="6408" max="6408" width="12.85546875" style="97" bestFit="1" customWidth="1"/>
    <col min="6409" max="6409" width="11" style="97" bestFit="1" customWidth="1"/>
    <col min="6410" max="6410" width="9" style="97" bestFit="1" customWidth="1"/>
    <col min="6411" max="6411" width="13.5703125" style="97" bestFit="1" customWidth="1"/>
    <col min="6412" max="6412" width="9.5703125" style="97" bestFit="1" customWidth="1"/>
    <col min="6413" max="6413" width="11.5703125" style="97" customWidth="1"/>
    <col min="6414" max="6414" width="9.140625" style="97"/>
    <col min="6415" max="6415" width="11.85546875" style="97" customWidth="1"/>
    <col min="6416" max="6643" width="9.140625" style="97"/>
    <col min="6644" max="6644" width="4.7109375" style="97" customWidth="1"/>
    <col min="6645" max="6645" width="12.140625" style="97" customWidth="1"/>
    <col min="6646" max="6646" width="47.5703125" style="97" customWidth="1"/>
    <col min="6647" max="6647" width="5.5703125" style="97" customWidth="1"/>
    <col min="6648" max="6648" width="9.7109375" style="97" customWidth="1"/>
    <col min="6649" max="6649" width="0" style="97" hidden="1" customWidth="1"/>
    <col min="6650" max="6651" width="9.7109375" style="97" customWidth="1"/>
    <col min="6652" max="6652" width="11.42578125" style="97" customWidth="1"/>
    <col min="6653" max="6653" width="9.7109375" style="97" customWidth="1"/>
    <col min="6654" max="6654" width="9.28515625" style="97" customWidth="1"/>
    <col min="6655" max="6656" width="10.85546875" style="97" customWidth="1"/>
    <col min="6657" max="6657" width="10.28515625" style="97" customWidth="1"/>
    <col min="6658" max="6658" width="11.42578125" style="97" customWidth="1"/>
    <col min="6659" max="6659" width="10.28515625" style="97" customWidth="1"/>
    <col min="6660" max="6660" width="9.5703125" style="97" bestFit="1" customWidth="1"/>
    <col min="6661" max="6662" width="0" style="97" hidden="1" customWidth="1"/>
    <col min="6663" max="6663" width="8.5703125" style="97" bestFit="1" customWidth="1"/>
    <col min="6664" max="6664" width="12.85546875" style="97" bestFit="1" customWidth="1"/>
    <col min="6665" max="6665" width="11" style="97" bestFit="1" customWidth="1"/>
    <col min="6666" max="6666" width="9" style="97" bestFit="1" customWidth="1"/>
    <col min="6667" max="6667" width="13.5703125" style="97" bestFit="1" customWidth="1"/>
    <col min="6668" max="6668" width="9.5703125" style="97" bestFit="1" customWidth="1"/>
    <col min="6669" max="6669" width="11.5703125" style="97" customWidth="1"/>
    <col min="6670" max="6670" width="9.140625" style="97"/>
    <col min="6671" max="6671" width="11.85546875" style="97" customWidth="1"/>
    <col min="6672" max="6899" width="9.140625" style="97"/>
    <col min="6900" max="6900" width="4.7109375" style="97" customWidth="1"/>
    <col min="6901" max="6901" width="12.140625" style="97" customWidth="1"/>
    <col min="6902" max="6902" width="47.5703125" style="97" customWidth="1"/>
    <col min="6903" max="6903" width="5.5703125" style="97" customWidth="1"/>
    <col min="6904" max="6904" width="9.7109375" style="97" customWidth="1"/>
    <col min="6905" max="6905" width="0" style="97" hidden="1" customWidth="1"/>
    <col min="6906" max="6907" width="9.7109375" style="97" customWidth="1"/>
    <col min="6908" max="6908" width="11.42578125" style="97" customWidth="1"/>
    <col min="6909" max="6909" width="9.7109375" style="97" customWidth="1"/>
    <col min="6910" max="6910" width="9.28515625" style="97" customWidth="1"/>
    <col min="6911" max="6912" width="10.85546875" style="97" customWidth="1"/>
    <col min="6913" max="6913" width="10.28515625" style="97" customWidth="1"/>
    <col min="6914" max="6914" width="11.42578125" style="97" customWidth="1"/>
    <col min="6915" max="6915" width="10.28515625" style="97" customWidth="1"/>
    <col min="6916" max="6916" width="9.5703125" style="97" bestFit="1" customWidth="1"/>
    <col min="6917" max="6918" width="0" style="97" hidden="1" customWidth="1"/>
    <col min="6919" max="6919" width="8.5703125" style="97" bestFit="1" customWidth="1"/>
    <col min="6920" max="6920" width="12.85546875" style="97" bestFit="1" customWidth="1"/>
    <col min="6921" max="6921" width="11" style="97" bestFit="1" customWidth="1"/>
    <col min="6922" max="6922" width="9" style="97" bestFit="1" customWidth="1"/>
    <col min="6923" max="6923" width="13.5703125" style="97" bestFit="1" customWidth="1"/>
    <col min="6924" max="6924" width="9.5703125" style="97" bestFit="1" customWidth="1"/>
    <col min="6925" max="6925" width="11.5703125" style="97" customWidth="1"/>
    <col min="6926" max="6926" width="9.140625" style="97"/>
    <col min="6927" max="6927" width="11.85546875" style="97" customWidth="1"/>
    <col min="6928" max="7155" width="9.140625" style="97"/>
    <col min="7156" max="7156" width="4.7109375" style="97" customWidth="1"/>
    <col min="7157" max="7157" width="12.140625" style="97" customWidth="1"/>
    <col min="7158" max="7158" width="47.5703125" style="97" customWidth="1"/>
    <col min="7159" max="7159" width="5.5703125" style="97" customWidth="1"/>
    <col min="7160" max="7160" width="9.7109375" style="97" customWidth="1"/>
    <col min="7161" max="7161" width="0" style="97" hidden="1" customWidth="1"/>
    <col min="7162" max="7163" width="9.7109375" style="97" customWidth="1"/>
    <col min="7164" max="7164" width="11.42578125" style="97" customWidth="1"/>
    <col min="7165" max="7165" width="9.7109375" style="97" customWidth="1"/>
    <col min="7166" max="7166" width="9.28515625" style="97" customWidth="1"/>
    <col min="7167" max="7168" width="10.85546875" style="97" customWidth="1"/>
    <col min="7169" max="7169" width="10.28515625" style="97" customWidth="1"/>
    <col min="7170" max="7170" width="11.42578125" style="97" customWidth="1"/>
    <col min="7171" max="7171" width="10.28515625" style="97" customWidth="1"/>
    <col min="7172" max="7172" width="9.5703125" style="97" bestFit="1" customWidth="1"/>
    <col min="7173" max="7174" width="0" style="97" hidden="1" customWidth="1"/>
    <col min="7175" max="7175" width="8.5703125" style="97" bestFit="1" customWidth="1"/>
    <col min="7176" max="7176" width="12.85546875" style="97" bestFit="1" customWidth="1"/>
    <col min="7177" max="7177" width="11" style="97" bestFit="1" customWidth="1"/>
    <col min="7178" max="7178" width="9" style="97" bestFit="1" customWidth="1"/>
    <col min="7179" max="7179" width="13.5703125" style="97" bestFit="1" customWidth="1"/>
    <col min="7180" max="7180" width="9.5703125" style="97" bestFit="1" customWidth="1"/>
    <col min="7181" max="7181" width="11.5703125" style="97" customWidth="1"/>
    <col min="7182" max="7182" width="9.140625" style="97"/>
    <col min="7183" max="7183" width="11.85546875" style="97" customWidth="1"/>
    <col min="7184" max="7411" width="9.140625" style="97"/>
    <col min="7412" max="7412" width="4.7109375" style="97" customWidth="1"/>
    <col min="7413" max="7413" width="12.140625" style="97" customWidth="1"/>
    <col min="7414" max="7414" width="47.5703125" style="97" customWidth="1"/>
    <col min="7415" max="7415" width="5.5703125" style="97" customWidth="1"/>
    <col min="7416" max="7416" width="9.7109375" style="97" customWidth="1"/>
    <col min="7417" max="7417" width="0" style="97" hidden="1" customWidth="1"/>
    <col min="7418" max="7419" width="9.7109375" style="97" customWidth="1"/>
    <col min="7420" max="7420" width="11.42578125" style="97" customWidth="1"/>
    <col min="7421" max="7421" width="9.7109375" style="97" customWidth="1"/>
    <col min="7422" max="7422" width="9.28515625" style="97" customWidth="1"/>
    <col min="7423" max="7424" width="10.85546875" style="97" customWidth="1"/>
    <col min="7425" max="7425" width="10.28515625" style="97" customWidth="1"/>
    <col min="7426" max="7426" width="11.42578125" style="97" customWidth="1"/>
    <col min="7427" max="7427" width="10.28515625" style="97" customWidth="1"/>
    <col min="7428" max="7428" width="9.5703125" style="97" bestFit="1" customWidth="1"/>
    <col min="7429" max="7430" width="0" style="97" hidden="1" customWidth="1"/>
    <col min="7431" max="7431" width="8.5703125" style="97" bestFit="1" customWidth="1"/>
    <col min="7432" max="7432" width="12.85546875" style="97" bestFit="1" customWidth="1"/>
    <col min="7433" max="7433" width="11" style="97" bestFit="1" customWidth="1"/>
    <col min="7434" max="7434" width="9" style="97" bestFit="1" customWidth="1"/>
    <col min="7435" max="7435" width="13.5703125" style="97" bestFit="1" customWidth="1"/>
    <col min="7436" max="7436" width="9.5703125" style="97" bestFit="1" customWidth="1"/>
    <col min="7437" max="7437" width="11.5703125" style="97" customWidth="1"/>
    <col min="7438" max="7438" width="9.140625" style="97"/>
    <col min="7439" max="7439" width="11.85546875" style="97" customWidth="1"/>
    <col min="7440" max="7667" width="9.140625" style="97"/>
    <col min="7668" max="7668" width="4.7109375" style="97" customWidth="1"/>
    <col min="7669" max="7669" width="12.140625" style="97" customWidth="1"/>
    <col min="7670" max="7670" width="47.5703125" style="97" customWidth="1"/>
    <col min="7671" max="7671" width="5.5703125" style="97" customWidth="1"/>
    <col min="7672" max="7672" width="9.7109375" style="97" customWidth="1"/>
    <col min="7673" max="7673" width="0" style="97" hidden="1" customWidth="1"/>
    <col min="7674" max="7675" width="9.7109375" style="97" customWidth="1"/>
    <col min="7676" max="7676" width="11.42578125" style="97" customWidth="1"/>
    <col min="7677" max="7677" width="9.7109375" style="97" customWidth="1"/>
    <col min="7678" max="7678" width="9.28515625" style="97" customWidth="1"/>
    <col min="7679" max="7680" width="10.85546875" style="97" customWidth="1"/>
    <col min="7681" max="7681" width="10.28515625" style="97" customWidth="1"/>
    <col min="7682" max="7682" width="11.42578125" style="97" customWidth="1"/>
    <col min="7683" max="7683" width="10.28515625" style="97" customWidth="1"/>
    <col min="7684" max="7684" width="9.5703125" style="97" bestFit="1" customWidth="1"/>
    <col min="7685" max="7686" width="0" style="97" hidden="1" customWidth="1"/>
    <col min="7687" max="7687" width="8.5703125" style="97" bestFit="1" customWidth="1"/>
    <col min="7688" max="7688" width="12.85546875" style="97" bestFit="1" customWidth="1"/>
    <col min="7689" max="7689" width="11" style="97" bestFit="1" customWidth="1"/>
    <col min="7690" max="7690" width="9" style="97" bestFit="1" customWidth="1"/>
    <col min="7691" max="7691" width="13.5703125" style="97" bestFit="1" customWidth="1"/>
    <col min="7692" max="7692" width="9.5703125" style="97" bestFit="1" customWidth="1"/>
    <col min="7693" max="7693" width="11.5703125" style="97" customWidth="1"/>
    <col min="7694" max="7694" width="9.140625" style="97"/>
    <col min="7695" max="7695" width="11.85546875" style="97" customWidth="1"/>
    <col min="7696" max="7923" width="9.140625" style="97"/>
    <col min="7924" max="7924" width="4.7109375" style="97" customWidth="1"/>
    <col min="7925" max="7925" width="12.140625" style="97" customWidth="1"/>
    <col min="7926" max="7926" width="47.5703125" style="97" customWidth="1"/>
    <col min="7927" max="7927" width="5.5703125" style="97" customWidth="1"/>
    <col min="7928" max="7928" width="9.7109375" style="97" customWidth="1"/>
    <col min="7929" max="7929" width="0" style="97" hidden="1" customWidth="1"/>
    <col min="7930" max="7931" width="9.7109375" style="97" customWidth="1"/>
    <col min="7932" max="7932" width="11.42578125" style="97" customWidth="1"/>
    <col min="7933" max="7933" width="9.7109375" style="97" customWidth="1"/>
    <col min="7934" max="7934" width="9.28515625" style="97" customWidth="1"/>
    <col min="7935" max="7936" width="10.85546875" style="97" customWidth="1"/>
    <col min="7937" max="7937" width="10.28515625" style="97" customWidth="1"/>
    <col min="7938" max="7938" width="11.42578125" style="97" customWidth="1"/>
    <col min="7939" max="7939" width="10.28515625" style="97" customWidth="1"/>
    <col min="7940" max="7940" width="9.5703125" style="97" bestFit="1" customWidth="1"/>
    <col min="7941" max="7942" width="0" style="97" hidden="1" customWidth="1"/>
    <col min="7943" max="7943" width="8.5703125" style="97" bestFit="1" customWidth="1"/>
    <col min="7944" max="7944" width="12.85546875" style="97" bestFit="1" customWidth="1"/>
    <col min="7945" max="7945" width="11" style="97" bestFit="1" customWidth="1"/>
    <col min="7946" max="7946" width="9" style="97" bestFit="1" customWidth="1"/>
    <col min="7947" max="7947" width="13.5703125" style="97" bestFit="1" customWidth="1"/>
    <col min="7948" max="7948" width="9.5703125" style="97" bestFit="1" customWidth="1"/>
    <col min="7949" max="7949" width="11.5703125" style="97" customWidth="1"/>
    <col min="7950" max="7950" width="9.140625" style="97"/>
    <col min="7951" max="7951" width="11.85546875" style="97" customWidth="1"/>
    <col min="7952" max="8179" width="9.140625" style="97"/>
    <col min="8180" max="8180" width="4.7109375" style="97" customWidth="1"/>
    <col min="8181" max="8181" width="12.140625" style="97" customWidth="1"/>
    <col min="8182" max="8182" width="47.5703125" style="97" customWidth="1"/>
    <col min="8183" max="8183" width="5.5703125" style="97" customWidth="1"/>
    <col min="8184" max="8184" width="9.7109375" style="97" customWidth="1"/>
    <col min="8185" max="8185" width="0" style="97" hidden="1" customWidth="1"/>
    <col min="8186" max="8187" width="9.7109375" style="97" customWidth="1"/>
    <col min="8188" max="8188" width="11.42578125" style="97" customWidth="1"/>
    <col min="8189" max="8189" width="9.7109375" style="97" customWidth="1"/>
    <col min="8190" max="8190" width="9.28515625" style="97" customWidth="1"/>
    <col min="8191" max="8192" width="10.85546875" style="97" customWidth="1"/>
    <col min="8193" max="8193" width="10.28515625" style="97" customWidth="1"/>
    <col min="8194" max="8194" width="11.42578125" style="97" customWidth="1"/>
    <col min="8195" max="8195" width="10.28515625" style="97" customWidth="1"/>
    <col min="8196" max="8196" width="9.5703125" style="97" bestFit="1" customWidth="1"/>
    <col min="8197" max="8198" width="0" style="97" hidden="1" customWidth="1"/>
    <col min="8199" max="8199" width="8.5703125" style="97" bestFit="1" customWidth="1"/>
    <col min="8200" max="8200" width="12.85546875" style="97" bestFit="1" customWidth="1"/>
    <col min="8201" max="8201" width="11" style="97" bestFit="1" customWidth="1"/>
    <col min="8202" max="8202" width="9" style="97" bestFit="1" customWidth="1"/>
    <col min="8203" max="8203" width="13.5703125" style="97" bestFit="1" customWidth="1"/>
    <col min="8204" max="8204" width="9.5703125" style="97" bestFit="1" customWidth="1"/>
    <col min="8205" max="8205" width="11.5703125" style="97" customWidth="1"/>
    <col min="8206" max="8206" width="9.140625" style="97"/>
    <col min="8207" max="8207" width="11.85546875" style="97" customWidth="1"/>
    <col min="8208" max="8435" width="9.140625" style="97"/>
    <col min="8436" max="8436" width="4.7109375" style="97" customWidth="1"/>
    <col min="8437" max="8437" width="12.140625" style="97" customWidth="1"/>
    <col min="8438" max="8438" width="47.5703125" style="97" customWidth="1"/>
    <col min="8439" max="8439" width="5.5703125" style="97" customWidth="1"/>
    <col min="8440" max="8440" width="9.7109375" style="97" customWidth="1"/>
    <col min="8441" max="8441" width="0" style="97" hidden="1" customWidth="1"/>
    <col min="8442" max="8443" width="9.7109375" style="97" customWidth="1"/>
    <col min="8444" max="8444" width="11.42578125" style="97" customWidth="1"/>
    <col min="8445" max="8445" width="9.7109375" style="97" customWidth="1"/>
    <col min="8446" max="8446" width="9.28515625" style="97" customWidth="1"/>
    <col min="8447" max="8448" width="10.85546875" style="97" customWidth="1"/>
    <col min="8449" max="8449" width="10.28515625" style="97" customWidth="1"/>
    <col min="8450" max="8450" width="11.42578125" style="97" customWidth="1"/>
    <col min="8451" max="8451" width="10.28515625" style="97" customWidth="1"/>
    <col min="8452" max="8452" width="9.5703125" style="97" bestFit="1" customWidth="1"/>
    <col min="8453" max="8454" width="0" style="97" hidden="1" customWidth="1"/>
    <col min="8455" max="8455" width="8.5703125" style="97" bestFit="1" customWidth="1"/>
    <col min="8456" max="8456" width="12.85546875" style="97" bestFit="1" customWidth="1"/>
    <col min="8457" max="8457" width="11" style="97" bestFit="1" customWidth="1"/>
    <col min="8458" max="8458" width="9" style="97" bestFit="1" customWidth="1"/>
    <col min="8459" max="8459" width="13.5703125" style="97" bestFit="1" customWidth="1"/>
    <col min="8460" max="8460" width="9.5703125" style="97" bestFit="1" customWidth="1"/>
    <col min="8461" max="8461" width="11.5703125" style="97" customWidth="1"/>
    <col min="8462" max="8462" width="9.140625" style="97"/>
    <col min="8463" max="8463" width="11.85546875" style="97" customWidth="1"/>
    <col min="8464" max="8691" width="9.140625" style="97"/>
    <col min="8692" max="8692" width="4.7109375" style="97" customWidth="1"/>
    <col min="8693" max="8693" width="12.140625" style="97" customWidth="1"/>
    <col min="8694" max="8694" width="47.5703125" style="97" customWidth="1"/>
    <col min="8695" max="8695" width="5.5703125" style="97" customWidth="1"/>
    <col min="8696" max="8696" width="9.7109375" style="97" customWidth="1"/>
    <col min="8697" max="8697" width="0" style="97" hidden="1" customWidth="1"/>
    <col min="8698" max="8699" width="9.7109375" style="97" customWidth="1"/>
    <col min="8700" max="8700" width="11.42578125" style="97" customWidth="1"/>
    <col min="8701" max="8701" width="9.7109375" style="97" customWidth="1"/>
    <col min="8702" max="8702" width="9.28515625" style="97" customWidth="1"/>
    <col min="8703" max="8704" width="10.85546875" style="97" customWidth="1"/>
    <col min="8705" max="8705" width="10.28515625" style="97" customWidth="1"/>
    <col min="8706" max="8706" width="11.42578125" style="97" customWidth="1"/>
    <col min="8707" max="8707" width="10.28515625" style="97" customWidth="1"/>
    <col min="8708" max="8708" width="9.5703125" style="97" bestFit="1" customWidth="1"/>
    <col min="8709" max="8710" width="0" style="97" hidden="1" customWidth="1"/>
    <col min="8711" max="8711" width="8.5703125" style="97" bestFit="1" customWidth="1"/>
    <col min="8712" max="8712" width="12.85546875" style="97" bestFit="1" customWidth="1"/>
    <col min="8713" max="8713" width="11" style="97" bestFit="1" customWidth="1"/>
    <col min="8714" max="8714" width="9" style="97" bestFit="1" customWidth="1"/>
    <col min="8715" max="8715" width="13.5703125" style="97" bestFit="1" customWidth="1"/>
    <col min="8716" max="8716" width="9.5703125" style="97" bestFit="1" customWidth="1"/>
    <col min="8717" max="8717" width="11.5703125" style="97" customWidth="1"/>
    <col min="8718" max="8718" width="9.140625" style="97"/>
    <col min="8719" max="8719" width="11.85546875" style="97" customWidth="1"/>
    <col min="8720" max="8947" width="9.140625" style="97"/>
    <col min="8948" max="8948" width="4.7109375" style="97" customWidth="1"/>
    <col min="8949" max="8949" width="12.140625" style="97" customWidth="1"/>
    <col min="8950" max="8950" width="47.5703125" style="97" customWidth="1"/>
    <col min="8951" max="8951" width="5.5703125" style="97" customWidth="1"/>
    <col min="8952" max="8952" width="9.7109375" style="97" customWidth="1"/>
    <col min="8953" max="8953" width="0" style="97" hidden="1" customWidth="1"/>
    <col min="8954" max="8955" width="9.7109375" style="97" customWidth="1"/>
    <col min="8956" max="8956" width="11.42578125" style="97" customWidth="1"/>
    <col min="8957" max="8957" width="9.7109375" style="97" customWidth="1"/>
    <col min="8958" max="8958" width="9.28515625" style="97" customWidth="1"/>
    <col min="8959" max="8960" width="10.85546875" style="97" customWidth="1"/>
    <col min="8961" max="8961" width="10.28515625" style="97" customWidth="1"/>
    <col min="8962" max="8962" width="11.42578125" style="97" customWidth="1"/>
    <col min="8963" max="8963" width="10.28515625" style="97" customWidth="1"/>
    <col min="8964" max="8964" width="9.5703125" style="97" bestFit="1" customWidth="1"/>
    <col min="8965" max="8966" width="0" style="97" hidden="1" customWidth="1"/>
    <col min="8967" max="8967" width="8.5703125" style="97" bestFit="1" customWidth="1"/>
    <col min="8968" max="8968" width="12.85546875" style="97" bestFit="1" customWidth="1"/>
    <col min="8969" max="8969" width="11" style="97" bestFit="1" customWidth="1"/>
    <col min="8970" max="8970" width="9" style="97" bestFit="1" customWidth="1"/>
    <col min="8971" max="8971" width="13.5703125" style="97" bestFit="1" customWidth="1"/>
    <col min="8972" max="8972" width="9.5703125" style="97" bestFit="1" customWidth="1"/>
    <col min="8973" max="8973" width="11.5703125" style="97" customWidth="1"/>
    <col min="8974" max="8974" width="9.140625" style="97"/>
    <col min="8975" max="8975" width="11.85546875" style="97" customWidth="1"/>
    <col min="8976" max="9203" width="9.140625" style="97"/>
    <col min="9204" max="9204" width="4.7109375" style="97" customWidth="1"/>
    <col min="9205" max="9205" width="12.140625" style="97" customWidth="1"/>
    <col min="9206" max="9206" width="47.5703125" style="97" customWidth="1"/>
    <col min="9207" max="9207" width="5.5703125" style="97" customWidth="1"/>
    <col min="9208" max="9208" width="9.7109375" style="97" customWidth="1"/>
    <col min="9209" max="9209" width="0" style="97" hidden="1" customWidth="1"/>
    <col min="9210" max="9211" width="9.7109375" style="97" customWidth="1"/>
    <col min="9212" max="9212" width="11.42578125" style="97" customWidth="1"/>
    <col min="9213" max="9213" width="9.7109375" style="97" customWidth="1"/>
    <col min="9214" max="9214" width="9.28515625" style="97" customWidth="1"/>
    <col min="9215" max="9216" width="10.85546875" style="97" customWidth="1"/>
    <col min="9217" max="9217" width="10.28515625" style="97" customWidth="1"/>
    <col min="9218" max="9218" width="11.42578125" style="97" customWidth="1"/>
    <col min="9219" max="9219" width="10.28515625" style="97" customWidth="1"/>
    <col min="9220" max="9220" width="9.5703125" style="97" bestFit="1" customWidth="1"/>
    <col min="9221" max="9222" width="0" style="97" hidden="1" customWidth="1"/>
    <col min="9223" max="9223" width="8.5703125" style="97" bestFit="1" customWidth="1"/>
    <col min="9224" max="9224" width="12.85546875" style="97" bestFit="1" customWidth="1"/>
    <col min="9225" max="9225" width="11" style="97" bestFit="1" customWidth="1"/>
    <col min="9226" max="9226" width="9" style="97" bestFit="1" customWidth="1"/>
    <col min="9227" max="9227" width="13.5703125" style="97" bestFit="1" customWidth="1"/>
    <col min="9228" max="9228" width="9.5703125" style="97" bestFit="1" customWidth="1"/>
    <col min="9229" max="9229" width="11.5703125" style="97" customWidth="1"/>
    <col min="9230" max="9230" width="9.140625" style="97"/>
    <col min="9231" max="9231" width="11.85546875" style="97" customWidth="1"/>
    <col min="9232" max="9459" width="9.140625" style="97"/>
    <col min="9460" max="9460" width="4.7109375" style="97" customWidth="1"/>
    <col min="9461" max="9461" width="12.140625" style="97" customWidth="1"/>
    <col min="9462" max="9462" width="47.5703125" style="97" customWidth="1"/>
    <col min="9463" max="9463" width="5.5703125" style="97" customWidth="1"/>
    <col min="9464" max="9464" width="9.7109375" style="97" customWidth="1"/>
    <col min="9465" max="9465" width="0" style="97" hidden="1" customWidth="1"/>
    <col min="9466" max="9467" width="9.7109375" style="97" customWidth="1"/>
    <col min="9468" max="9468" width="11.42578125" style="97" customWidth="1"/>
    <col min="9469" max="9469" width="9.7109375" style="97" customWidth="1"/>
    <col min="9470" max="9470" width="9.28515625" style="97" customWidth="1"/>
    <col min="9471" max="9472" width="10.85546875" style="97" customWidth="1"/>
    <col min="9473" max="9473" width="10.28515625" style="97" customWidth="1"/>
    <col min="9474" max="9474" width="11.42578125" style="97" customWidth="1"/>
    <col min="9475" max="9475" width="10.28515625" style="97" customWidth="1"/>
    <col min="9476" max="9476" width="9.5703125" style="97" bestFit="1" customWidth="1"/>
    <col min="9477" max="9478" width="0" style="97" hidden="1" customWidth="1"/>
    <col min="9479" max="9479" width="8.5703125" style="97" bestFit="1" customWidth="1"/>
    <col min="9480" max="9480" width="12.85546875" style="97" bestFit="1" customWidth="1"/>
    <col min="9481" max="9481" width="11" style="97" bestFit="1" customWidth="1"/>
    <col min="9482" max="9482" width="9" style="97" bestFit="1" customWidth="1"/>
    <col min="9483" max="9483" width="13.5703125" style="97" bestFit="1" customWidth="1"/>
    <col min="9484" max="9484" width="9.5703125" style="97" bestFit="1" customWidth="1"/>
    <col min="9485" max="9485" width="11.5703125" style="97" customWidth="1"/>
    <col min="9486" max="9486" width="9.140625" style="97"/>
    <col min="9487" max="9487" width="11.85546875" style="97" customWidth="1"/>
    <col min="9488" max="9715" width="9.140625" style="97"/>
    <col min="9716" max="9716" width="4.7109375" style="97" customWidth="1"/>
    <col min="9717" max="9717" width="12.140625" style="97" customWidth="1"/>
    <col min="9718" max="9718" width="47.5703125" style="97" customWidth="1"/>
    <col min="9719" max="9719" width="5.5703125" style="97" customWidth="1"/>
    <col min="9720" max="9720" width="9.7109375" style="97" customWidth="1"/>
    <col min="9721" max="9721" width="0" style="97" hidden="1" customWidth="1"/>
    <col min="9722" max="9723" width="9.7109375" style="97" customWidth="1"/>
    <col min="9724" max="9724" width="11.42578125" style="97" customWidth="1"/>
    <col min="9725" max="9725" width="9.7109375" style="97" customWidth="1"/>
    <col min="9726" max="9726" width="9.28515625" style="97" customWidth="1"/>
    <col min="9727" max="9728" width="10.85546875" style="97" customWidth="1"/>
    <col min="9729" max="9729" width="10.28515625" style="97" customWidth="1"/>
    <col min="9730" max="9730" width="11.42578125" style="97" customWidth="1"/>
    <col min="9731" max="9731" width="10.28515625" style="97" customWidth="1"/>
    <col min="9732" max="9732" width="9.5703125" style="97" bestFit="1" customWidth="1"/>
    <col min="9733" max="9734" width="0" style="97" hidden="1" customWidth="1"/>
    <col min="9735" max="9735" width="8.5703125" style="97" bestFit="1" customWidth="1"/>
    <col min="9736" max="9736" width="12.85546875" style="97" bestFit="1" customWidth="1"/>
    <col min="9737" max="9737" width="11" style="97" bestFit="1" customWidth="1"/>
    <col min="9738" max="9738" width="9" style="97" bestFit="1" customWidth="1"/>
    <col min="9739" max="9739" width="13.5703125" style="97" bestFit="1" customWidth="1"/>
    <col min="9740" max="9740" width="9.5703125" style="97" bestFit="1" customWidth="1"/>
    <col min="9741" max="9741" width="11.5703125" style="97" customWidth="1"/>
    <col min="9742" max="9742" width="9.140625" style="97"/>
    <col min="9743" max="9743" width="11.85546875" style="97" customWidth="1"/>
    <col min="9744" max="9971" width="9.140625" style="97"/>
    <col min="9972" max="9972" width="4.7109375" style="97" customWidth="1"/>
    <col min="9973" max="9973" width="12.140625" style="97" customWidth="1"/>
    <col min="9974" max="9974" width="47.5703125" style="97" customWidth="1"/>
    <col min="9975" max="9975" width="5.5703125" style="97" customWidth="1"/>
    <col min="9976" max="9976" width="9.7109375" style="97" customWidth="1"/>
    <col min="9977" max="9977" width="0" style="97" hidden="1" customWidth="1"/>
    <col min="9978" max="9979" width="9.7109375" style="97" customWidth="1"/>
    <col min="9980" max="9980" width="11.42578125" style="97" customWidth="1"/>
    <col min="9981" max="9981" width="9.7109375" style="97" customWidth="1"/>
    <col min="9982" max="9982" width="9.28515625" style="97" customWidth="1"/>
    <col min="9983" max="9984" width="10.85546875" style="97" customWidth="1"/>
    <col min="9985" max="9985" width="10.28515625" style="97" customWidth="1"/>
    <col min="9986" max="9986" width="11.42578125" style="97" customWidth="1"/>
    <col min="9987" max="9987" width="10.28515625" style="97" customWidth="1"/>
    <col min="9988" max="9988" width="9.5703125" style="97" bestFit="1" customWidth="1"/>
    <col min="9989" max="9990" width="0" style="97" hidden="1" customWidth="1"/>
    <col min="9991" max="9991" width="8.5703125" style="97" bestFit="1" customWidth="1"/>
    <col min="9992" max="9992" width="12.85546875" style="97" bestFit="1" customWidth="1"/>
    <col min="9993" max="9993" width="11" style="97" bestFit="1" customWidth="1"/>
    <col min="9994" max="9994" width="9" style="97" bestFit="1" customWidth="1"/>
    <col min="9995" max="9995" width="13.5703125" style="97" bestFit="1" customWidth="1"/>
    <col min="9996" max="9996" width="9.5703125" style="97" bestFit="1" customWidth="1"/>
    <col min="9997" max="9997" width="11.5703125" style="97" customWidth="1"/>
    <col min="9998" max="9998" width="9.140625" style="97"/>
    <col min="9999" max="9999" width="11.85546875" style="97" customWidth="1"/>
    <col min="10000" max="10227" width="9.140625" style="97"/>
    <col min="10228" max="10228" width="4.7109375" style="97" customWidth="1"/>
    <col min="10229" max="10229" width="12.140625" style="97" customWidth="1"/>
    <col min="10230" max="10230" width="47.5703125" style="97" customWidth="1"/>
    <col min="10231" max="10231" width="5.5703125" style="97" customWidth="1"/>
    <col min="10232" max="10232" width="9.7109375" style="97" customWidth="1"/>
    <col min="10233" max="10233" width="0" style="97" hidden="1" customWidth="1"/>
    <col min="10234" max="10235" width="9.7109375" style="97" customWidth="1"/>
    <col min="10236" max="10236" width="11.42578125" style="97" customWidth="1"/>
    <col min="10237" max="10237" width="9.7109375" style="97" customWidth="1"/>
    <col min="10238" max="10238" width="9.28515625" style="97" customWidth="1"/>
    <col min="10239" max="10240" width="10.85546875" style="97" customWidth="1"/>
    <col min="10241" max="10241" width="10.28515625" style="97" customWidth="1"/>
    <col min="10242" max="10242" width="11.42578125" style="97" customWidth="1"/>
    <col min="10243" max="10243" width="10.28515625" style="97" customWidth="1"/>
    <col min="10244" max="10244" width="9.5703125" style="97" bestFit="1" customWidth="1"/>
    <col min="10245" max="10246" width="0" style="97" hidden="1" customWidth="1"/>
    <col min="10247" max="10247" width="8.5703125" style="97" bestFit="1" customWidth="1"/>
    <col min="10248" max="10248" width="12.85546875" style="97" bestFit="1" customWidth="1"/>
    <col min="10249" max="10249" width="11" style="97" bestFit="1" customWidth="1"/>
    <col min="10250" max="10250" width="9" style="97" bestFit="1" customWidth="1"/>
    <col min="10251" max="10251" width="13.5703125" style="97" bestFit="1" customWidth="1"/>
    <col min="10252" max="10252" width="9.5703125" style="97" bestFit="1" customWidth="1"/>
    <col min="10253" max="10253" width="11.5703125" style="97" customWidth="1"/>
    <col min="10254" max="10254" width="9.140625" style="97"/>
    <col min="10255" max="10255" width="11.85546875" style="97" customWidth="1"/>
    <col min="10256" max="10483" width="9.140625" style="97"/>
    <col min="10484" max="10484" width="4.7109375" style="97" customWidth="1"/>
    <col min="10485" max="10485" width="12.140625" style="97" customWidth="1"/>
    <col min="10486" max="10486" width="47.5703125" style="97" customWidth="1"/>
    <col min="10487" max="10487" width="5.5703125" style="97" customWidth="1"/>
    <col min="10488" max="10488" width="9.7109375" style="97" customWidth="1"/>
    <col min="10489" max="10489" width="0" style="97" hidden="1" customWidth="1"/>
    <col min="10490" max="10491" width="9.7109375" style="97" customWidth="1"/>
    <col min="10492" max="10492" width="11.42578125" style="97" customWidth="1"/>
    <col min="10493" max="10493" width="9.7109375" style="97" customWidth="1"/>
    <col min="10494" max="10494" width="9.28515625" style="97" customWidth="1"/>
    <col min="10495" max="10496" width="10.85546875" style="97" customWidth="1"/>
    <col min="10497" max="10497" width="10.28515625" style="97" customWidth="1"/>
    <col min="10498" max="10498" width="11.42578125" style="97" customWidth="1"/>
    <col min="10499" max="10499" width="10.28515625" style="97" customWidth="1"/>
    <col min="10500" max="10500" width="9.5703125" style="97" bestFit="1" customWidth="1"/>
    <col min="10501" max="10502" width="0" style="97" hidden="1" customWidth="1"/>
    <col min="10503" max="10503" width="8.5703125" style="97" bestFit="1" customWidth="1"/>
    <col min="10504" max="10504" width="12.85546875" style="97" bestFit="1" customWidth="1"/>
    <col min="10505" max="10505" width="11" style="97" bestFit="1" customWidth="1"/>
    <col min="10506" max="10506" width="9" style="97" bestFit="1" customWidth="1"/>
    <col min="10507" max="10507" width="13.5703125" style="97" bestFit="1" customWidth="1"/>
    <col min="10508" max="10508" width="9.5703125" style="97" bestFit="1" customWidth="1"/>
    <col min="10509" max="10509" width="11.5703125" style="97" customWidth="1"/>
    <col min="10510" max="10510" width="9.140625" style="97"/>
    <col min="10511" max="10511" width="11.85546875" style="97" customWidth="1"/>
    <col min="10512" max="10739" width="9.140625" style="97"/>
    <col min="10740" max="10740" width="4.7109375" style="97" customWidth="1"/>
    <col min="10741" max="10741" width="12.140625" style="97" customWidth="1"/>
    <col min="10742" max="10742" width="47.5703125" style="97" customWidth="1"/>
    <col min="10743" max="10743" width="5.5703125" style="97" customWidth="1"/>
    <col min="10744" max="10744" width="9.7109375" style="97" customWidth="1"/>
    <col min="10745" max="10745" width="0" style="97" hidden="1" customWidth="1"/>
    <col min="10746" max="10747" width="9.7109375" style="97" customWidth="1"/>
    <col min="10748" max="10748" width="11.42578125" style="97" customWidth="1"/>
    <col min="10749" max="10749" width="9.7109375" style="97" customWidth="1"/>
    <col min="10750" max="10750" width="9.28515625" style="97" customWidth="1"/>
    <col min="10751" max="10752" width="10.85546875" style="97" customWidth="1"/>
    <col min="10753" max="10753" width="10.28515625" style="97" customWidth="1"/>
    <col min="10754" max="10754" width="11.42578125" style="97" customWidth="1"/>
    <col min="10755" max="10755" width="10.28515625" style="97" customWidth="1"/>
    <col min="10756" max="10756" width="9.5703125" style="97" bestFit="1" customWidth="1"/>
    <col min="10757" max="10758" width="0" style="97" hidden="1" customWidth="1"/>
    <col min="10759" max="10759" width="8.5703125" style="97" bestFit="1" customWidth="1"/>
    <col min="10760" max="10760" width="12.85546875" style="97" bestFit="1" customWidth="1"/>
    <col min="10761" max="10761" width="11" style="97" bestFit="1" customWidth="1"/>
    <col min="10762" max="10762" width="9" style="97" bestFit="1" customWidth="1"/>
    <col min="10763" max="10763" width="13.5703125" style="97" bestFit="1" customWidth="1"/>
    <col min="10764" max="10764" width="9.5703125" style="97" bestFit="1" customWidth="1"/>
    <col min="10765" max="10765" width="11.5703125" style="97" customWidth="1"/>
    <col min="10766" max="10766" width="9.140625" style="97"/>
    <col min="10767" max="10767" width="11.85546875" style="97" customWidth="1"/>
    <col min="10768" max="10995" width="9.140625" style="97"/>
    <col min="10996" max="10996" width="4.7109375" style="97" customWidth="1"/>
    <col min="10997" max="10997" width="12.140625" style="97" customWidth="1"/>
    <col min="10998" max="10998" width="47.5703125" style="97" customWidth="1"/>
    <col min="10999" max="10999" width="5.5703125" style="97" customWidth="1"/>
    <col min="11000" max="11000" width="9.7109375" style="97" customWidth="1"/>
    <col min="11001" max="11001" width="0" style="97" hidden="1" customWidth="1"/>
    <col min="11002" max="11003" width="9.7109375" style="97" customWidth="1"/>
    <col min="11004" max="11004" width="11.42578125" style="97" customWidth="1"/>
    <col min="11005" max="11005" width="9.7109375" style="97" customWidth="1"/>
    <col min="11006" max="11006" width="9.28515625" style="97" customWidth="1"/>
    <col min="11007" max="11008" width="10.85546875" style="97" customWidth="1"/>
    <col min="11009" max="11009" width="10.28515625" style="97" customWidth="1"/>
    <col min="11010" max="11010" width="11.42578125" style="97" customWidth="1"/>
    <col min="11011" max="11011" width="10.28515625" style="97" customWidth="1"/>
    <col min="11012" max="11012" width="9.5703125" style="97" bestFit="1" customWidth="1"/>
    <col min="11013" max="11014" width="0" style="97" hidden="1" customWidth="1"/>
    <col min="11015" max="11015" width="8.5703125" style="97" bestFit="1" customWidth="1"/>
    <col min="11016" max="11016" width="12.85546875" style="97" bestFit="1" customWidth="1"/>
    <col min="11017" max="11017" width="11" style="97" bestFit="1" customWidth="1"/>
    <col min="11018" max="11018" width="9" style="97" bestFit="1" customWidth="1"/>
    <col min="11019" max="11019" width="13.5703125" style="97" bestFit="1" customWidth="1"/>
    <col min="11020" max="11020" width="9.5703125" style="97" bestFit="1" customWidth="1"/>
    <col min="11021" max="11021" width="11.5703125" style="97" customWidth="1"/>
    <col min="11022" max="11022" width="9.140625" style="97"/>
    <col min="11023" max="11023" width="11.85546875" style="97" customWidth="1"/>
    <col min="11024" max="11251" width="9.140625" style="97"/>
    <col min="11252" max="11252" width="4.7109375" style="97" customWidth="1"/>
    <col min="11253" max="11253" width="12.140625" style="97" customWidth="1"/>
    <col min="11254" max="11254" width="47.5703125" style="97" customWidth="1"/>
    <col min="11255" max="11255" width="5.5703125" style="97" customWidth="1"/>
    <col min="11256" max="11256" width="9.7109375" style="97" customWidth="1"/>
    <col min="11257" max="11257" width="0" style="97" hidden="1" customWidth="1"/>
    <col min="11258" max="11259" width="9.7109375" style="97" customWidth="1"/>
    <col min="11260" max="11260" width="11.42578125" style="97" customWidth="1"/>
    <col min="11261" max="11261" width="9.7109375" style="97" customWidth="1"/>
    <col min="11262" max="11262" width="9.28515625" style="97" customWidth="1"/>
    <col min="11263" max="11264" width="10.85546875" style="97" customWidth="1"/>
    <col min="11265" max="11265" width="10.28515625" style="97" customWidth="1"/>
    <col min="11266" max="11266" width="11.42578125" style="97" customWidth="1"/>
    <col min="11267" max="11267" width="10.28515625" style="97" customWidth="1"/>
    <col min="11268" max="11268" width="9.5703125" style="97" bestFit="1" customWidth="1"/>
    <col min="11269" max="11270" width="0" style="97" hidden="1" customWidth="1"/>
    <col min="11271" max="11271" width="8.5703125" style="97" bestFit="1" customWidth="1"/>
    <col min="11272" max="11272" width="12.85546875" style="97" bestFit="1" customWidth="1"/>
    <col min="11273" max="11273" width="11" style="97" bestFit="1" customWidth="1"/>
    <col min="11274" max="11274" width="9" style="97" bestFit="1" customWidth="1"/>
    <col min="11275" max="11275" width="13.5703125" style="97" bestFit="1" customWidth="1"/>
    <col min="11276" max="11276" width="9.5703125" style="97" bestFit="1" customWidth="1"/>
    <col min="11277" max="11277" width="11.5703125" style="97" customWidth="1"/>
    <col min="11278" max="11278" width="9.140625" style="97"/>
    <col min="11279" max="11279" width="11.85546875" style="97" customWidth="1"/>
    <col min="11280" max="11507" width="9.140625" style="97"/>
    <col min="11508" max="11508" width="4.7109375" style="97" customWidth="1"/>
    <col min="11509" max="11509" width="12.140625" style="97" customWidth="1"/>
    <col min="11510" max="11510" width="47.5703125" style="97" customWidth="1"/>
    <col min="11511" max="11511" width="5.5703125" style="97" customWidth="1"/>
    <col min="11512" max="11512" width="9.7109375" style="97" customWidth="1"/>
    <col min="11513" max="11513" width="0" style="97" hidden="1" customWidth="1"/>
    <col min="11514" max="11515" width="9.7109375" style="97" customWidth="1"/>
    <col min="11516" max="11516" width="11.42578125" style="97" customWidth="1"/>
    <col min="11517" max="11517" width="9.7109375" style="97" customWidth="1"/>
    <col min="11518" max="11518" width="9.28515625" style="97" customWidth="1"/>
    <col min="11519" max="11520" width="10.85546875" style="97" customWidth="1"/>
    <col min="11521" max="11521" width="10.28515625" style="97" customWidth="1"/>
    <col min="11522" max="11522" width="11.42578125" style="97" customWidth="1"/>
    <col min="11523" max="11523" width="10.28515625" style="97" customWidth="1"/>
    <col min="11524" max="11524" width="9.5703125" style="97" bestFit="1" customWidth="1"/>
    <col min="11525" max="11526" width="0" style="97" hidden="1" customWidth="1"/>
    <col min="11527" max="11527" width="8.5703125" style="97" bestFit="1" customWidth="1"/>
    <col min="11528" max="11528" width="12.85546875" style="97" bestFit="1" customWidth="1"/>
    <col min="11529" max="11529" width="11" style="97" bestFit="1" customWidth="1"/>
    <col min="11530" max="11530" width="9" style="97" bestFit="1" customWidth="1"/>
    <col min="11531" max="11531" width="13.5703125" style="97" bestFit="1" customWidth="1"/>
    <col min="11532" max="11532" width="9.5703125" style="97" bestFit="1" customWidth="1"/>
    <col min="11533" max="11533" width="11.5703125" style="97" customWidth="1"/>
    <col min="11534" max="11534" width="9.140625" style="97"/>
    <col min="11535" max="11535" width="11.85546875" style="97" customWidth="1"/>
    <col min="11536" max="11763" width="9.140625" style="97"/>
    <col min="11764" max="11764" width="4.7109375" style="97" customWidth="1"/>
    <col min="11765" max="11765" width="12.140625" style="97" customWidth="1"/>
    <col min="11766" max="11766" width="47.5703125" style="97" customWidth="1"/>
    <col min="11767" max="11767" width="5.5703125" style="97" customWidth="1"/>
    <col min="11768" max="11768" width="9.7109375" style="97" customWidth="1"/>
    <col min="11769" max="11769" width="0" style="97" hidden="1" customWidth="1"/>
    <col min="11770" max="11771" width="9.7109375" style="97" customWidth="1"/>
    <col min="11772" max="11772" width="11.42578125" style="97" customWidth="1"/>
    <col min="11773" max="11773" width="9.7109375" style="97" customWidth="1"/>
    <col min="11774" max="11774" width="9.28515625" style="97" customWidth="1"/>
    <col min="11775" max="11776" width="10.85546875" style="97" customWidth="1"/>
    <col min="11777" max="11777" width="10.28515625" style="97" customWidth="1"/>
    <col min="11778" max="11778" width="11.42578125" style="97" customWidth="1"/>
    <col min="11779" max="11779" width="10.28515625" style="97" customWidth="1"/>
    <col min="11780" max="11780" width="9.5703125" style="97" bestFit="1" customWidth="1"/>
    <col min="11781" max="11782" width="0" style="97" hidden="1" customWidth="1"/>
    <col min="11783" max="11783" width="8.5703125" style="97" bestFit="1" customWidth="1"/>
    <col min="11784" max="11784" width="12.85546875" style="97" bestFit="1" customWidth="1"/>
    <col min="11785" max="11785" width="11" style="97" bestFit="1" customWidth="1"/>
    <col min="11786" max="11786" width="9" style="97" bestFit="1" customWidth="1"/>
    <col min="11787" max="11787" width="13.5703125" style="97" bestFit="1" customWidth="1"/>
    <col min="11788" max="11788" width="9.5703125" style="97" bestFit="1" customWidth="1"/>
    <col min="11789" max="11789" width="11.5703125" style="97" customWidth="1"/>
    <col min="11790" max="11790" width="9.140625" style="97"/>
    <col min="11791" max="11791" width="11.85546875" style="97" customWidth="1"/>
    <col min="11792" max="12019" width="9.140625" style="97"/>
    <col min="12020" max="12020" width="4.7109375" style="97" customWidth="1"/>
    <col min="12021" max="12021" width="12.140625" style="97" customWidth="1"/>
    <col min="12022" max="12022" width="47.5703125" style="97" customWidth="1"/>
    <col min="12023" max="12023" width="5.5703125" style="97" customWidth="1"/>
    <col min="12024" max="12024" width="9.7109375" style="97" customWidth="1"/>
    <col min="12025" max="12025" width="0" style="97" hidden="1" customWidth="1"/>
    <col min="12026" max="12027" width="9.7109375" style="97" customWidth="1"/>
    <col min="12028" max="12028" width="11.42578125" style="97" customWidth="1"/>
    <col min="12029" max="12029" width="9.7109375" style="97" customWidth="1"/>
    <col min="12030" max="12030" width="9.28515625" style="97" customWidth="1"/>
    <col min="12031" max="12032" width="10.85546875" style="97" customWidth="1"/>
    <col min="12033" max="12033" width="10.28515625" style="97" customWidth="1"/>
    <col min="12034" max="12034" width="11.42578125" style="97" customWidth="1"/>
    <col min="12035" max="12035" width="10.28515625" style="97" customWidth="1"/>
    <col min="12036" max="12036" width="9.5703125" style="97" bestFit="1" customWidth="1"/>
    <col min="12037" max="12038" width="0" style="97" hidden="1" customWidth="1"/>
    <col min="12039" max="12039" width="8.5703125" style="97" bestFit="1" customWidth="1"/>
    <col min="12040" max="12040" width="12.85546875" style="97" bestFit="1" customWidth="1"/>
    <col min="12041" max="12041" width="11" style="97" bestFit="1" customWidth="1"/>
    <col min="12042" max="12042" width="9" style="97" bestFit="1" customWidth="1"/>
    <col min="12043" max="12043" width="13.5703125" style="97" bestFit="1" customWidth="1"/>
    <col min="12044" max="12044" width="9.5703125" style="97" bestFit="1" customWidth="1"/>
    <col min="12045" max="12045" width="11.5703125" style="97" customWidth="1"/>
    <col min="12046" max="12046" width="9.140625" style="97"/>
    <col min="12047" max="12047" width="11.85546875" style="97" customWidth="1"/>
    <col min="12048" max="12275" width="9.140625" style="97"/>
    <col min="12276" max="12276" width="4.7109375" style="97" customWidth="1"/>
    <col min="12277" max="12277" width="12.140625" style="97" customWidth="1"/>
    <col min="12278" max="12278" width="47.5703125" style="97" customWidth="1"/>
    <col min="12279" max="12279" width="5.5703125" style="97" customWidth="1"/>
    <col min="12280" max="12280" width="9.7109375" style="97" customWidth="1"/>
    <col min="12281" max="12281" width="0" style="97" hidden="1" customWidth="1"/>
    <col min="12282" max="12283" width="9.7109375" style="97" customWidth="1"/>
    <col min="12284" max="12284" width="11.42578125" style="97" customWidth="1"/>
    <col min="12285" max="12285" width="9.7109375" style="97" customWidth="1"/>
    <col min="12286" max="12286" width="9.28515625" style="97" customWidth="1"/>
    <col min="12287" max="12288" width="10.85546875" style="97" customWidth="1"/>
    <col min="12289" max="12289" width="10.28515625" style="97" customWidth="1"/>
    <col min="12290" max="12290" width="11.42578125" style="97" customWidth="1"/>
    <col min="12291" max="12291" width="10.28515625" style="97" customWidth="1"/>
    <col min="12292" max="12292" width="9.5703125" style="97" bestFit="1" customWidth="1"/>
    <col min="12293" max="12294" width="0" style="97" hidden="1" customWidth="1"/>
    <col min="12295" max="12295" width="8.5703125" style="97" bestFit="1" customWidth="1"/>
    <col min="12296" max="12296" width="12.85546875" style="97" bestFit="1" customWidth="1"/>
    <col min="12297" max="12297" width="11" style="97" bestFit="1" customWidth="1"/>
    <col min="12298" max="12298" width="9" style="97" bestFit="1" customWidth="1"/>
    <col min="12299" max="12299" width="13.5703125" style="97" bestFit="1" customWidth="1"/>
    <col min="12300" max="12300" width="9.5703125" style="97" bestFit="1" customWidth="1"/>
    <col min="12301" max="12301" width="11.5703125" style="97" customWidth="1"/>
    <col min="12302" max="12302" width="9.140625" style="97"/>
    <col min="12303" max="12303" width="11.85546875" style="97" customWidth="1"/>
    <col min="12304" max="12531" width="9.140625" style="97"/>
    <col min="12532" max="12532" width="4.7109375" style="97" customWidth="1"/>
    <col min="12533" max="12533" width="12.140625" style="97" customWidth="1"/>
    <col min="12534" max="12534" width="47.5703125" style="97" customWidth="1"/>
    <col min="12535" max="12535" width="5.5703125" style="97" customWidth="1"/>
    <col min="12536" max="12536" width="9.7109375" style="97" customWidth="1"/>
    <col min="12537" max="12537" width="0" style="97" hidden="1" customWidth="1"/>
    <col min="12538" max="12539" width="9.7109375" style="97" customWidth="1"/>
    <col min="12540" max="12540" width="11.42578125" style="97" customWidth="1"/>
    <col min="12541" max="12541" width="9.7109375" style="97" customWidth="1"/>
    <col min="12542" max="12542" width="9.28515625" style="97" customWidth="1"/>
    <col min="12543" max="12544" width="10.85546875" style="97" customWidth="1"/>
    <col min="12545" max="12545" width="10.28515625" style="97" customWidth="1"/>
    <col min="12546" max="12546" width="11.42578125" style="97" customWidth="1"/>
    <col min="12547" max="12547" width="10.28515625" style="97" customWidth="1"/>
    <col min="12548" max="12548" width="9.5703125" style="97" bestFit="1" customWidth="1"/>
    <col min="12549" max="12550" width="0" style="97" hidden="1" customWidth="1"/>
    <col min="12551" max="12551" width="8.5703125" style="97" bestFit="1" customWidth="1"/>
    <col min="12552" max="12552" width="12.85546875" style="97" bestFit="1" customWidth="1"/>
    <col min="12553" max="12553" width="11" style="97" bestFit="1" customWidth="1"/>
    <col min="12554" max="12554" width="9" style="97" bestFit="1" customWidth="1"/>
    <col min="12555" max="12555" width="13.5703125" style="97" bestFit="1" customWidth="1"/>
    <col min="12556" max="12556" width="9.5703125" style="97" bestFit="1" customWidth="1"/>
    <col min="12557" max="12557" width="11.5703125" style="97" customWidth="1"/>
    <col min="12558" max="12558" width="9.140625" style="97"/>
    <col min="12559" max="12559" width="11.85546875" style="97" customWidth="1"/>
    <col min="12560" max="12787" width="9.140625" style="97"/>
    <col min="12788" max="12788" width="4.7109375" style="97" customWidth="1"/>
    <col min="12789" max="12789" width="12.140625" style="97" customWidth="1"/>
    <col min="12790" max="12790" width="47.5703125" style="97" customWidth="1"/>
    <col min="12791" max="12791" width="5.5703125" style="97" customWidth="1"/>
    <col min="12792" max="12792" width="9.7109375" style="97" customWidth="1"/>
    <col min="12793" max="12793" width="0" style="97" hidden="1" customWidth="1"/>
    <col min="12794" max="12795" width="9.7109375" style="97" customWidth="1"/>
    <col min="12796" max="12796" width="11.42578125" style="97" customWidth="1"/>
    <col min="12797" max="12797" width="9.7109375" style="97" customWidth="1"/>
    <col min="12798" max="12798" width="9.28515625" style="97" customWidth="1"/>
    <col min="12799" max="12800" width="10.85546875" style="97" customWidth="1"/>
    <col min="12801" max="12801" width="10.28515625" style="97" customWidth="1"/>
    <col min="12802" max="12802" width="11.42578125" style="97" customWidth="1"/>
    <col min="12803" max="12803" width="10.28515625" style="97" customWidth="1"/>
    <col min="12804" max="12804" width="9.5703125" style="97" bestFit="1" customWidth="1"/>
    <col min="12805" max="12806" width="0" style="97" hidden="1" customWidth="1"/>
    <col min="12807" max="12807" width="8.5703125" style="97" bestFit="1" customWidth="1"/>
    <col min="12808" max="12808" width="12.85546875" style="97" bestFit="1" customWidth="1"/>
    <col min="12809" max="12809" width="11" style="97" bestFit="1" customWidth="1"/>
    <col min="12810" max="12810" width="9" style="97" bestFit="1" customWidth="1"/>
    <col min="12811" max="12811" width="13.5703125" style="97" bestFit="1" customWidth="1"/>
    <col min="12812" max="12812" width="9.5703125" style="97" bestFit="1" customWidth="1"/>
    <col min="12813" max="12813" width="11.5703125" style="97" customWidth="1"/>
    <col min="12814" max="12814" width="9.140625" style="97"/>
    <col min="12815" max="12815" width="11.85546875" style="97" customWidth="1"/>
    <col min="12816" max="13043" width="9.140625" style="97"/>
    <col min="13044" max="13044" width="4.7109375" style="97" customWidth="1"/>
    <col min="13045" max="13045" width="12.140625" style="97" customWidth="1"/>
    <col min="13046" max="13046" width="47.5703125" style="97" customWidth="1"/>
    <col min="13047" max="13047" width="5.5703125" style="97" customWidth="1"/>
    <col min="13048" max="13048" width="9.7109375" style="97" customWidth="1"/>
    <col min="13049" max="13049" width="0" style="97" hidden="1" customWidth="1"/>
    <col min="13050" max="13051" width="9.7109375" style="97" customWidth="1"/>
    <col min="13052" max="13052" width="11.42578125" style="97" customWidth="1"/>
    <col min="13053" max="13053" width="9.7109375" style="97" customWidth="1"/>
    <col min="13054" max="13054" width="9.28515625" style="97" customWidth="1"/>
    <col min="13055" max="13056" width="10.85546875" style="97" customWidth="1"/>
    <col min="13057" max="13057" width="10.28515625" style="97" customWidth="1"/>
    <col min="13058" max="13058" width="11.42578125" style="97" customWidth="1"/>
    <col min="13059" max="13059" width="10.28515625" style="97" customWidth="1"/>
    <col min="13060" max="13060" width="9.5703125" style="97" bestFit="1" customWidth="1"/>
    <col min="13061" max="13062" width="0" style="97" hidden="1" customWidth="1"/>
    <col min="13063" max="13063" width="8.5703125" style="97" bestFit="1" customWidth="1"/>
    <col min="13064" max="13064" width="12.85546875" style="97" bestFit="1" customWidth="1"/>
    <col min="13065" max="13065" width="11" style="97" bestFit="1" customWidth="1"/>
    <col min="13066" max="13066" width="9" style="97" bestFit="1" customWidth="1"/>
    <col min="13067" max="13067" width="13.5703125" style="97" bestFit="1" customWidth="1"/>
    <col min="13068" max="13068" width="9.5703125" style="97" bestFit="1" customWidth="1"/>
    <col min="13069" max="13069" width="11.5703125" style="97" customWidth="1"/>
    <col min="13070" max="13070" width="9.140625" style="97"/>
    <col min="13071" max="13071" width="11.85546875" style="97" customWidth="1"/>
    <col min="13072" max="13299" width="9.140625" style="97"/>
    <col min="13300" max="13300" width="4.7109375" style="97" customWidth="1"/>
    <col min="13301" max="13301" width="12.140625" style="97" customWidth="1"/>
    <col min="13302" max="13302" width="47.5703125" style="97" customWidth="1"/>
    <col min="13303" max="13303" width="5.5703125" style="97" customWidth="1"/>
    <col min="13304" max="13304" width="9.7109375" style="97" customWidth="1"/>
    <col min="13305" max="13305" width="0" style="97" hidden="1" customWidth="1"/>
    <col min="13306" max="13307" width="9.7109375" style="97" customWidth="1"/>
    <col min="13308" max="13308" width="11.42578125" style="97" customWidth="1"/>
    <col min="13309" max="13309" width="9.7109375" style="97" customWidth="1"/>
    <col min="13310" max="13310" width="9.28515625" style="97" customWidth="1"/>
    <col min="13311" max="13312" width="10.85546875" style="97" customWidth="1"/>
    <col min="13313" max="13313" width="10.28515625" style="97" customWidth="1"/>
    <col min="13314" max="13314" width="11.42578125" style="97" customWidth="1"/>
    <col min="13315" max="13315" width="10.28515625" style="97" customWidth="1"/>
    <col min="13316" max="13316" width="9.5703125" style="97" bestFit="1" customWidth="1"/>
    <col min="13317" max="13318" width="0" style="97" hidden="1" customWidth="1"/>
    <col min="13319" max="13319" width="8.5703125" style="97" bestFit="1" customWidth="1"/>
    <col min="13320" max="13320" width="12.85546875" style="97" bestFit="1" customWidth="1"/>
    <col min="13321" max="13321" width="11" style="97" bestFit="1" customWidth="1"/>
    <col min="13322" max="13322" width="9" style="97" bestFit="1" customWidth="1"/>
    <col min="13323" max="13323" width="13.5703125" style="97" bestFit="1" customWidth="1"/>
    <col min="13324" max="13324" width="9.5703125" style="97" bestFit="1" customWidth="1"/>
    <col min="13325" max="13325" width="11.5703125" style="97" customWidth="1"/>
    <col min="13326" max="13326" width="9.140625" style="97"/>
    <col min="13327" max="13327" width="11.85546875" style="97" customWidth="1"/>
    <col min="13328" max="13555" width="9.140625" style="97"/>
    <col min="13556" max="13556" width="4.7109375" style="97" customWidth="1"/>
    <col min="13557" max="13557" width="12.140625" style="97" customWidth="1"/>
    <col min="13558" max="13558" width="47.5703125" style="97" customWidth="1"/>
    <col min="13559" max="13559" width="5.5703125" style="97" customWidth="1"/>
    <col min="13560" max="13560" width="9.7109375" style="97" customWidth="1"/>
    <col min="13561" max="13561" width="0" style="97" hidden="1" customWidth="1"/>
    <col min="13562" max="13563" width="9.7109375" style="97" customWidth="1"/>
    <col min="13564" max="13564" width="11.42578125" style="97" customWidth="1"/>
    <col min="13565" max="13565" width="9.7109375" style="97" customWidth="1"/>
    <col min="13566" max="13566" width="9.28515625" style="97" customWidth="1"/>
    <col min="13567" max="13568" width="10.85546875" style="97" customWidth="1"/>
    <col min="13569" max="13569" width="10.28515625" style="97" customWidth="1"/>
    <col min="13570" max="13570" width="11.42578125" style="97" customWidth="1"/>
    <col min="13571" max="13571" width="10.28515625" style="97" customWidth="1"/>
    <col min="13572" max="13572" width="9.5703125" style="97" bestFit="1" customWidth="1"/>
    <col min="13573" max="13574" width="0" style="97" hidden="1" customWidth="1"/>
    <col min="13575" max="13575" width="8.5703125" style="97" bestFit="1" customWidth="1"/>
    <col min="13576" max="13576" width="12.85546875" style="97" bestFit="1" customWidth="1"/>
    <col min="13577" max="13577" width="11" style="97" bestFit="1" customWidth="1"/>
    <col min="13578" max="13578" width="9" style="97" bestFit="1" customWidth="1"/>
    <col min="13579" max="13579" width="13.5703125" style="97" bestFit="1" customWidth="1"/>
    <col min="13580" max="13580" width="9.5703125" style="97" bestFit="1" customWidth="1"/>
    <col min="13581" max="13581" width="11.5703125" style="97" customWidth="1"/>
    <col min="13582" max="13582" width="9.140625" style="97"/>
    <col min="13583" max="13583" width="11.85546875" style="97" customWidth="1"/>
    <col min="13584" max="13811" width="9.140625" style="97"/>
    <col min="13812" max="13812" width="4.7109375" style="97" customWidth="1"/>
    <col min="13813" max="13813" width="12.140625" style="97" customWidth="1"/>
    <col min="13814" max="13814" width="47.5703125" style="97" customWidth="1"/>
    <col min="13815" max="13815" width="5.5703125" style="97" customWidth="1"/>
    <col min="13816" max="13816" width="9.7109375" style="97" customWidth="1"/>
    <col min="13817" max="13817" width="0" style="97" hidden="1" customWidth="1"/>
    <col min="13818" max="13819" width="9.7109375" style="97" customWidth="1"/>
    <col min="13820" max="13820" width="11.42578125" style="97" customWidth="1"/>
    <col min="13821" max="13821" width="9.7109375" style="97" customWidth="1"/>
    <col min="13822" max="13822" width="9.28515625" style="97" customWidth="1"/>
    <col min="13823" max="13824" width="10.85546875" style="97" customWidth="1"/>
    <col min="13825" max="13825" width="10.28515625" style="97" customWidth="1"/>
    <col min="13826" max="13826" width="11.42578125" style="97" customWidth="1"/>
    <col min="13827" max="13827" width="10.28515625" style="97" customWidth="1"/>
    <col min="13828" max="13828" width="9.5703125" style="97" bestFit="1" customWidth="1"/>
    <col min="13829" max="13830" width="0" style="97" hidden="1" customWidth="1"/>
    <col min="13831" max="13831" width="8.5703125" style="97" bestFit="1" customWidth="1"/>
    <col min="13832" max="13832" width="12.85546875" style="97" bestFit="1" customWidth="1"/>
    <col min="13833" max="13833" width="11" style="97" bestFit="1" customWidth="1"/>
    <col min="13834" max="13834" width="9" style="97" bestFit="1" customWidth="1"/>
    <col min="13835" max="13835" width="13.5703125" style="97" bestFit="1" customWidth="1"/>
    <col min="13836" max="13836" width="9.5703125" style="97" bestFit="1" customWidth="1"/>
    <col min="13837" max="13837" width="11.5703125" style="97" customWidth="1"/>
    <col min="13838" max="13838" width="9.140625" style="97"/>
    <col min="13839" max="13839" width="11.85546875" style="97" customWidth="1"/>
    <col min="13840" max="14067" width="9.140625" style="97"/>
    <col min="14068" max="14068" width="4.7109375" style="97" customWidth="1"/>
    <col min="14069" max="14069" width="12.140625" style="97" customWidth="1"/>
    <col min="14070" max="14070" width="47.5703125" style="97" customWidth="1"/>
    <col min="14071" max="14071" width="5.5703125" style="97" customWidth="1"/>
    <col min="14072" max="14072" width="9.7109375" style="97" customWidth="1"/>
    <col min="14073" max="14073" width="0" style="97" hidden="1" customWidth="1"/>
    <col min="14074" max="14075" width="9.7109375" style="97" customWidth="1"/>
    <col min="14076" max="14076" width="11.42578125" style="97" customWidth="1"/>
    <col min="14077" max="14077" width="9.7109375" style="97" customWidth="1"/>
    <col min="14078" max="14078" width="9.28515625" style="97" customWidth="1"/>
    <col min="14079" max="14080" width="10.85546875" style="97" customWidth="1"/>
    <col min="14081" max="14081" width="10.28515625" style="97" customWidth="1"/>
    <col min="14082" max="14082" width="11.42578125" style="97" customWidth="1"/>
    <col min="14083" max="14083" width="10.28515625" style="97" customWidth="1"/>
    <col min="14084" max="14084" width="9.5703125" style="97" bestFit="1" customWidth="1"/>
    <col min="14085" max="14086" width="0" style="97" hidden="1" customWidth="1"/>
    <col min="14087" max="14087" width="8.5703125" style="97" bestFit="1" customWidth="1"/>
    <col min="14088" max="14088" width="12.85546875" style="97" bestFit="1" customWidth="1"/>
    <col min="14089" max="14089" width="11" style="97" bestFit="1" customWidth="1"/>
    <col min="14090" max="14090" width="9" style="97" bestFit="1" customWidth="1"/>
    <col min="14091" max="14091" width="13.5703125" style="97" bestFit="1" customWidth="1"/>
    <col min="14092" max="14092" width="9.5703125" style="97" bestFit="1" customWidth="1"/>
    <col min="14093" max="14093" width="11.5703125" style="97" customWidth="1"/>
    <col min="14094" max="14094" width="9.140625" style="97"/>
    <col min="14095" max="14095" width="11.85546875" style="97" customWidth="1"/>
    <col min="14096" max="14323" width="9.140625" style="97"/>
    <col min="14324" max="14324" width="4.7109375" style="97" customWidth="1"/>
    <col min="14325" max="14325" width="12.140625" style="97" customWidth="1"/>
    <col min="14326" max="14326" width="47.5703125" style="97" customWidth="1"/>
    <col min="14327" max="14327" width="5.5703125" style="97" customWidth="1"/>
    <col min="14328" max="14328" width="9.7109375" style="97" customWidth="1"/>
    <col min="14329" max="14329" width="0" style="97" hidden="1" customWidth="1"/>
    <col min="14330" max="14331" width="9.7109375" style="97" customWidth="1"/>
    <col min="14332" max="14332" width="11.42578125" style="97" customWidth="1"/>
    <col min="14333" max="14333" width="9.7109375" style="97" customWidth="1"/>
    <col min="14334" max="14334" width="9.28515625" style="97" customWidth="1"/>
    <col min="14335" max="14336" width="10.85546875" style="97" customWidth="1"/>
    <col min="14337" max="14337" width="10.28515625" style="97" customWidth="1"/>
    <col min="14338" max="14338" width="11.42578125" style="97" customWidth="1"/>
    <col min="14339" max="14339" width="10.28515625" style="97" customWidth="1"/>
    <col min="14340" max="14340" width="9.5703125" style="97" bestFit="1" customWidth="1"/>
    <col min="14341" max="14342" width="0" style="97" hidden="1" customWidth="1"/>
    <col min="14343" max="14343" width="8.5703125" style="97" bestFit="1" customWidth="1"/>
    <col min="14344" max="14344" width="12.85546875" style="97" bestFit="1" customWidth="1"/>
    <col min="14345" max="14345" width="11" style="97" bestFit="1" customWidth="1"/>
    <col min="14346" max="14346" width="9" style="97" bestFit="1" customWidth="1"/>
    <col min="14347" max="14347" width="13.5703125" style="97" bestFit="1" customWidth="1"/>
    <col min="14348" max="14348" width="9.5703125" style="97" bestFit="1" customWidth="1"/>
    <col min="14349" max="14349" width="11.5703125" style="97" customWidth="1"/>
    <col min="14350" max="14350" width="9.140625" style="97"/>
    <col min="14351" max="14351" width="11.85546875" style="97" customWidth="1"/>
    <col min="14352" max="14579" width="9.140625" style="97"/>
    <col min="14580" max="14580" width="4.7109375" style="97" customWidth="1"/>
    <col min="14581" max="14581" width="12.140625" style="97" customWidth="1"/>
    <col min="14582" max="14582" width="47.5703125" style="97" customWidth="1"/>
    <col min="14583" max="14583" width="5.5703125" style="97" customWidth="1"/>
    <col min="14584" max="14584" width="9.7109375" style="97" customWidth="1"/>
    <col min="14585" max="14585" width="0" style="97" hidden="1" customWidth="1"/>
    <col min="14586" max="14587" width="9.7109375" style="97" customWidth="1"/>
    <col min="14588" max="14588" width="11.42578125" style="97" customWidth="1"/>
    <col min="14589" max="14589" width="9.7109375" style="97" customWidth="1"/>
    <col min="14590" max="14590" width="9.28515625" style="97" customWidth="1"/>
    <col min="14591" max="14592" width="10.85546875" style="97" customWidth="1"/>
    <col min="14593" max="14593" width="10.28515625" style="97" customWidth="1"/>
    <col min="14594" max="14594" width="11.42578125" style="97" customWidth="1"/>
    <col min="14595" max="14595" width="10.28515625" style="97" customWidth="1"/>
    <col min="14596" max="14596" width="9.5703125" style="97" bestFit="1" customWidth="1"/>
    <col min="14597" max="14598" width="0" style="97" hidden="1" customWidth="1"/>
    <col min="14599" max="14599" width="8.5703125" style="97" bestFit="1" customWidth="1"/>
    <col min="14600" max="14600" width="12.85546875" style="97" bestFit="1" customWidth="1"/>
    <col min="14601" max="14601" width="11" style="97" bestFit="1" customWidth="1"/>
    <col min="14602" max="14602" width="9" style="97" bestFit="1" customWidth="1"/>
    <col min="14603" max="14603" width="13.5703125" style="97" bestFit="1" customWidth="1"/>
    <col min="14604" max="14604" width="9.5703125" style="97" bestFit="1" customWidth="1"/>
    <col min="14605" max="14605" width="11.5703125" style="97" customWidth="1"/>
    <col min="14606" max="14606" width="9.140625" style="97"/>
    <col min="14607" max="14607" width="11.85546875" style="97" customWidth="1"/>
    <col min="14608" max="14835" width="9.140625" style="97"/>
    <col min="14836" max="14836" width="4.7109375" style="97" customWidth="1"/>
    <col min="14837" max="14837" width="12.140625" style="97" customWidth="1"/>
    <col min="14838" max="14838" width="47.5703125" style="97" customWidth="1"/>
    <col min="14839" max="14839" width="5.5703125" style="97" customWidth="1"/>
    <col min="14840" max="14840" width="9.7109375" style="97" customWidth="1"/>
    <col min="14841" max="14841" width="0" style="97" hidden="1" customWidth="1"/>
    <col min="14842" max="14843" width="9.7109375" style="97" customWidth="1"/>
    <col min="14844" max="14844" width="11.42578125" style="97" customWidth="1"/>
    <col min="14845" max="14845" width="9.7109375" style="97" customWidth="1"/>
    <col min="14846" max="14846" width="9.28515625" style="97" customWidth="1"/>
    <col min="14847" max="14848" width="10.85546875" style="97" customWidth="1"/>
    <col min="14849" max="14849" width="10.28515625" style="97" customWidth="1"/>
    <col min="14850" max="14850" width="11.42578125" style="97" customWidth="1"/>
    <col min="14851" max="14851" width="10.28515625" style="97" customWidth="1"/>
    <col min="14852" max="14852" width="9.5703125" style="97" bestFit="1" customWidth="1"/>
    <col min="14853" max="14854" width="0" style="97" hidden="1" customWidth="1"/>
    <col min="14855" max="14855" width="8.5703125" style="97" bestFit="1" customWidth="1"/>
    <col min="14856" max="14856" width="12.85546875" style="97" bestFit="1" customWidth="1"/>
    <col min="14857" max="14857" width="11" style="97" bestFit="1" customWidth="1"/>
    <col min="14858" max="14858" width="9" style="97" bestFit="1" customWidth="1"/>
    <col min="14859" max="14859" width="13.5703125" style="97" bestFit="1" customWidth="1"/>
    <col min="14860" max="14860" width="9.5703125" style="97" bestFit="1" customWidth="1"/>
    <col min="14861" max="14861" width="11.5703125" style="97" customWidth="1"/>
    <col min="14862" max="14862" width="9.140625" style="97"/>
    <col min="14863" max="14863" width="11.85546875" style="97" customWidth="1"/>
    <col min="14864" max="15091" width="9.140625" style="97"/>
    <col min="15092" max="15092" width="4.7109375" style="97" customWidth="1"/>
    <col min="15093" max="15093" width="12.140625" style="97" customWidth="1"/>
    <col min="15094" max="15094" width="47.5703125" style="97" customWidth="1"/>
    <col min="15095" max="15095" width="5.5703125" style="97" customWidth="1"/>
    <col min="15096" max="15096" width="9.7109375" style="97" customWidth="1"/>
    <col min="15097" max="15097" width="0" style="97" hidden="1" customWidth="1"/>
    <col min="15098" max="15099" width="9.7109375" style="97" customWidth="1"/>
    <col min="15100" max="15100" width="11.42578125" style="97" customWidth="1"/>
    <col min="15101" max="15101" width="9.7109375" style="97" customWidth="1"/>
    <col min="15102" max="15102" width="9.28515625" style="97" customWidth="1"/>
    <col min="15103" max="15104" width="10.85546875" style="97" customWidth="1"/>
    <col min="15105" max="15105" width="10.28515625" style="97" customWidth="1"/>
    <col min="15106" max="15106" width="11.42578125" style="97" customWidth="1"/>
    <col min="15107" max="15107" width="10.28515625" style="97" customWidth="1"/>
    <col min="15108" max="15108" width="9.5703125" style="97" bestFit="1" customWidth="1"/>
    <col min="15109" max="15110" width="0" style="97" hidden="1" customWidth="1"/>
    <col min="15111" max="15111" width="8.5703125" style="97" bestFit="1" customWidth="1"/>
    <col min="15112" max="15112" width="12.85546875" style="97" bestFit="1" customWidth="1"/>
    <col min="15113" max="15113" width="11" style="97" bestFit="1" customWidth="1"/>
    <col min="15114" max="15114" width="9" style="97" bestFit="1" customWidth="1"/>
    <col min="15115" max="15115" width="13.5703125" style="97" bestFit="1" customWidth="1"/>
    <col min="15116" max="15116" width="9.5703125" style="97" bestFit="1" customWidth="1"/>
    <col min="15117" max="15117" width="11.5703125" style="97" customWidth="1"/>
    <col min="15118" max="15118" width="9.140625" style="97"/>
    <col min="15119" max="15119" width="11.85546875" style="97" customWidth="1"/>
    <col min="15120" max="15347" width="9.140625" style="97"/>
    <col min="15348" max="15348" width="4.7109375" style="97" customWidth="1"/>
    <col min="15349" max="15349" width="12.140625" style="97" customWidth="1"/>
    <col min="15350" max="15350" width="47.5703125" style="97" customWidth="1"/>
    <col min="15351" max="15351" width="5.5703125" style="97" customWidth="1"/>
    <col min="15352" max="15352" width="9.7109375" style="97" customWidth="1"/>
    <col min="15353" max="15353" width="0" style="97" hidden="1" customWidth="1"/>
    <col min="15354" max="15355" width="9.7109375" style="97" customWidth="1"/>
    <col min="15356" max="15356" width="11.42578125" style="97" customWidth="1"/>
    <col min="15357" max="15357" width="9.7109375" style="97" customWidth="1"/>
    <col min="15358" max="15358" width="9.28515625" style="97" customWidth="1"/>
    <col min="15359" max="15360" width="10.85546875" style="97" customWidth="1"/>
    <col min="15361" max="15361" width="10.28515625" style="97" customWidth="1"/>
    <col min="15362" max="15362" width="11.42578125" style="97" customWidth="1"/>
    <col min="15363" max="15363" width="10.28515625" style="97" customWidth="1"/>
    <col min="15364" max="15364" width="9.5703125" style="97" bestFit="1" customWidth="1"/>
    <col min="15365" max="15366" width="0" style="97" hidden="1" customWidth="1"/>
    <col min="15367" max="15367" width="8.5703125" style="97" bestFit="1" customWidth="1"/>
    <col min="15368" max="15368" width="12.85546875" style="97" bestFit="1" customWidth="1"/>
    <col min="15369" max="15369" width="11" style="97" bestFit="1" customWidth="1"/>
    <col min="15370" max="15370" width="9" style="97" bestFit="1" customWidth="1"/>
    <col min="15371" max="15371" width="13.5703125" style="97" bestFit="1" customWidth="1"/>
    <col min="15372" max="15372" width="9.5703125" style="97" bestFit="1" customWidth="1"/>
    <col min="15373" max="15373" width="11.5703125" style="97" customWidth="1"/>
    <col min="15374" max="15374" width="9.140625" style="97"/>
    <col min="15375" max="15375" width="11.85546875" style="97" customWidth="1"/>
    <col min="15376" max="15603" width="9.140625" style="97"/>
    <col min="15604" max="15604" width="4.7109375" style="97" customWidth="1"/>
    <col min="15605" max="15605" width="12.140625" style="97" customWidth="1"/>
    <col min="15606" max="15606" width="47.5703125" style="97" customWidth="1"/>
    <col min="15607" max="15607" width="5.5703125" style="97" customWidth="1"/>
    <col min="15608" max="15608" width="9.7109375" style="97" customWidth="1"/>
    <col min="15609" max="15609" width="0" style="97" hidden="1" customWidth="1"/>
    <col min="15610" max="15611" width="9.7109375" style="97" customWidth="1"/>
    <col min="15612" max="15612" width="11.42578125" style="97" customWidth="1"/>
    <col min="15613" max="15613" width="9.7109375" style="97" customWidth="1"/>
    <col min="15614" max="15614" width="9.28515625" style="97" customWidth="1"/>
    <col min="15615" max="15616" width="10.85546875" style="97" customWidth="1"/>
    <col min="15617" max="15617" width="10.28515625" style="97" customWidth="1"/>
    <col min="15618" max="15618" width="11.42578125" style="97" customWidth="1"/>
    <col min="15619" max="15619" width="10.28515625" style="97" customWidth="1"/>
    <col min="15620" max="15620" width="9.5703125" style="97" bestFit="1" customWidth="1"/>
    <col min="15621" max="15622" width="0" style="97" hidden="1" customWidth="1"/>
    <col min="15623" max="15623" width="8.5703125" style="97" bestFit="1" customWidth="1"/>
    <col min="15624" max="15624" width="12.85546875" style="97" bestFit="1" customWidth="1"/>
    <col min="15625" max="15625" width="11" style="97" bestFit="1" customWidth="1"/>
    <col min="15626" max="15626" width="9" style="97" bestFit="1" customWidth="1"/>
    <col min="15627" max="15627" width="13.5703125" style="97" bestFit="1" customWidth="1"/>
    <col min="15628" max="15628" width="9.5703125" style="97" bestFit="1" customWidth="1"/>
    <col min="15629" max="15629" width="11.5703125" style="97" customWidth="1"/>
    <col min="15630" max="15630" width="9.140625" style="97"/>
    <col min="15631" max="15631" width="11.85546875" style="97" customWidth="1"/>
    <col min="15632" max="15859" width="9.140625" style="97"/>
    <col min="15860" max="15860" width="4.7109375" style="97" customWidth="1"/>
    <col min="15861" max="15861" width="12.140625" style="97" customWidth="1"/>
    <col min="15862" max="15862" width="47.5703125" style="97" customWidth="1"/>
    <col min="15863" max="15863" width="5.5703125" style="97" customWidth="1"/>
    <col min="15864" max="15864" width="9.7109375" style="97" customWidth="1"/>
    <col min="15865" max="15865" width="0" style="97" hidden="1" customWidth="1"/>
    <col min="15866" max="15867" width="9.7109375" style="97" customWidth="1"/>
    <col min="15868" max="15868" width="11.42578125" style="97" customWidth="1"/>
    <col min="15869" max="15869" width="9.7109375" style="97" customWidth="1"/>
    <col min="15870" max="15870" width="9.28515625" style="97" customWidth="1"/>
    <col min="15871" max="15872" width="10.85546875" style="97" customWidth="1"/>
    <col min="15873" max="15873" width="10.28515625" style="97" customWidth="1"/>
    <col min="15874" max="15874" width="11.42578125" style="97" customWidth="1"/>
    <col min="15875" max="15875" width="10.28515625" style="97" customWidth="1"/>
    <col min="15876" max="15876" width="9.5703125" style="97" bestFit="1" customWidth="1"/>
    <col min="15877" max="15878" width="0" style="97" hidden="1" customWidth="1"/>
    <col min="15879" max="15879" width="8.5703125" style="97" bestFit="1" customWidth="1"/>
    <col min="15880" max="15880" width="12.85546875" style="97" bestFit="1" customWidth="1"/>
    <col min="15881" max="15881" width="11" style="97" bestFit="1" customWidth="1"/>
    <col min="15882" max="15882" width="9" style="97" bestFit="1" customWidth="1"/>
    <col min="15883" max="15883" width="13.5703125" style="97" bestFit="1" customWidth="1"/>
    <col min="15884" max="15884" width="9.5703125" style="97" bestFit="1" customWidth="1"/>
    <col min="15885" max="15885" width="11.5703125" style="97" customWidth="1"/>
    <col min="15886" max="15886" width="9.140625" style="97"/>
    <col min="15887" max="15887" width="11.85546875" style="97" customWidth="1"/>
    <col min="15888" max="16115" width="9.140625" style="97"/>
    <col min="16116" max="16116" width="4.7109375" style="97" customWidth="1"/>
    <col min="16117" max="16117" width="12.140625" style="97" customWidth="1"/>
    <col min="16118" max="16118" width="47.5703125" style="97" customWidth="1"/>
    <col min="16119" max="16119" width="5.5703125" style="97" customWidth="1"/>
    <col min="16120" max="16120" width="9.7109375" style="97" customWidth="1"/>
    <col min="16121" max="16121" width="0" style="97" hidden="1" customWidth="1"/>
    <col min="16122" max="16123" width="9.7109375" style="97" customWidth="1"/>
    <col min="16124" max="16124" width="11.42578125" style="97" customWidth="1"/>
    <col min="16125" max="16125" width="9.7109375" style="97" customWidth="1"/>
    <col min="16126" max="16126" width="9.28515625" style="97" customWidth="1"/>
    <col min="16127" max="16128" width="10.85546875" style="97" customWidth="1"/>
    <col min="16129" max="16129" width="10.28515625" style="97" customWidth="1"/>
    <col min="16130" max="16130" width="11.42578125" style="97" customWidth="1"/>
    <col min="16131" max="16131" width="10.28515625" style="97" customWidth="1"/>
    <col min="16132" max="16132" width="9.5703125" style="97" bestFit="1" customWidth="1"/>
    <col min="16133" max="16134" width="0" style="97" hidden="1" customWidth="1"/>
    <col min="16135" max="16135" width="8.5703125" style="97" bestFit="1" customWidth="1"/>
    <col min="16136" max="16136" width="12.85546875" style="97" bestFit="1" customWidth="1"/>
    <col min="16137" max="16137" width="11" style="97" bestFit="1" customWidth="1"/>
    <col min="16138" max="16138" width="9" style="97" bestFit="1" customWidth="1"/>
    <col min="16139" max="16139" width="13.5703125" style="97" bestFit="1" customWidth="1"/>
    <col min="16140" max="16140" width="9.5703125" style="97" bestFit="1" customWidth="1"/>
    <col min="16141" max="16141" width="11.5703125" style="97" customWidth="1"/>
    <col min="16142" max="16142" width="9.140625" style="97"/>
    <col min="16143" max="16143" width="11.85546875" style="97" customWidth="1"/>
    <col min="16144" max="16384" width="9.140625" style="97"/>
  </cols>
  <sheetData>
    <row r="1" spans="1:16" ht="15" customHeight="1" x14ac:dyDescent="0.2">
      <c r="A1" s="388" t="s">
        <v>522</v>
      </c>
      <c r="B1" s="406"/>
      <c r="C1" s="406"/>
      <c r="D1" s="406"/>
      <c r="E1" s="406"/>
      <c r="F1" s="406"/>
      <c r="G1" s="406"/>
      <c r="H1" s="406"/>
      <c r="I1" s="406"/>
      <c r="J1" s="406"/>
      <c r="K1" s="406"/>
      <c r="L1" s="406"/>
      <c r="M1" s="406"/>
      <c r="N1" s="406"/>
      <c r="O1" s="406"/>
      <c r="P1" s="407"/>
    </row>
    <row r="2" spans="1:16" ht="15" customHeight="1" x14ac:dyDescent="0.2">
      <c r="A2" s="392" t="s">
        <v>523</v>
      </c>
      <c r="B2" s="408"/>
      <c r="C2" s="408"/>
      <c r="D2" s="408"/>
      <c r="E2" s="408"/>
      <c r="F2" s="408"/>
      <c r="G2" s="408"/>
      <c r="H2" s="408"/>
      <c r="I2" s="408"/>
      <c r="J2" s="408"/>
      <c r="K2" s="408"/>
      <c r="L2" s="408"/>
      <c r="M2" s="408"/>
      <c r="N2" s="408"/>
      <c r="O2" s="408"/>
      <c r="P2" s="409"/>
    </row>
    <row r="3" spans="1:16" ht="15" customHeight="1" x14ac:dyDescent="0.2">
      <c r="A3" s="392" t="s">
        <v>521</v>
      </c>
      <c r="B3" s="408"/>
      <c r="C3" s="408"/>
      <c r="D3" s="408"/>
      <c r="E3" s="408"/>
      <c r="F3" s="408"/>
      <c r="G3" s="408"/>
      <c r="H3" s="408"/>
      <c r="I3" s="408"/>
      <c r="J3" s="408"/>
      <c r="K3" s="408"/>
      <c r="L3" s="408"/>
      <c r="M3" s="408"/>
      <c r="N3" s="408"/>
      <c r="O3" s="408"/>
      <c r="P3" s="409"/>
    </row>
    <row r="4" spans="1:16" ht="15" customHeight="1" x14ac:dyDescent="0.2">
      <c r="A4" s="392" t="s">
        <v>520</v>
      </c>
      <c r="B4" s="408"/>
      <c r="C4" s="408"/>
      <c r="D4" s="408"/>
      <c r="E4" s="408"/>
      <c r="F4" s="408"/>
      <c r="G4" s="408"/>
      <c r="H4" s="408"/>
      <c r="I4" s="408"/>
      <c r="J4" s="408"/>
      <c r="K4" s="408"/>
      <c r="L4" s="408"/>
      <c r="M4" s="408"/>
      <c r="N4" s="408"/>
      <c r="O4" s="408"/>
      <c r="P4" s="409"/>
    </row>
    <row r="5" spans="1:16" ht="15" customHeight="1" x14ac:dyDescent="0.2">
      <c r="A5" s="410"/>
      <c r="B5" s="408"/>
      <c r="C5" s="408"/>
      <c r="D5" s="408"/>
      <c r="E5" s="408"/>
      <c r="F5" s="408"/>
      <c r="G5" s="408"/>
      <c r="H5" s="408"/>
      <c r="I5" s="408"/>
      <c r="J5" s="408"/>
      <c r="K5" s="408"/>
      <c r="L5" s="408"/>
      <c r="M5" s="408"/>
      <c r="N5" s="408"/>
      <c r="O5" s="408"/>
      <c r="P5" s="409"/>
    </row>
    <row r="6" spans="1:16" ht="15" customHeight="1" x14ac:dyDescent="0.2">
      <c r="A6" s="411"/>
      <c r="B6" s="412"/>
      <c r="C6" s="412"/>
      <c r="D6" s="412"/>
      <c r="E6" s="412"/>
      <c r="F6" s="412"/>
      <c r="G6" s="412"/>
      <c r="H6" s="412"/>
      <c r="I6" s="412"/>
      <c r="J6" s="412"/>
      <c r="K6" s="412"/>
      <c r="L6" s="412"/>
      <c r="M6" s="412"/>
      <c r="N6" s="412"/>
      <c r="O6" s="412"/>
      <c r="P6" s="413"/>
    </row>
    <row r="7" spans="1:16" ht="15" customHeight="1" x14ac:dyDescent="0.2">
      <c r="A7" s="624" t="s">
        <v>477</v>
      </c>
      <c r="B7" s="624"/>
      <c r="C7" s="624"/>
      <c r="D7" s="624"/>
      <c r="E7" s="624"/>
      <c r="F7" s="624"/>
      <c r="G7" s="624"/>
      <c r="H7" s="624"/>
      <c r="I7" s="624"/>
      <c r="J7" s="624"/>
      <c r="K7" s="624"/>
      <c r="L7" s="624"/>
      <c r="M7" s="624"/>
      <c r="N7" s="624"/>
      <c r="O7" s="624"/>
      <c r="P7" s="624"/>
    </row>
    <row r="8" spans="1:16" ht="15" customHeight="1" x14ac:dyDescent="0.2">
      <c r="A8" s="642" t="s">
        <v>0</v>
      </c>
      <c r="B8" s="645" t="s">
        <v>509</v>
      </c>
      <c r="C8" s="646" t="s">
        <v>147</v>
      </c>
      <c r="D8" s="628" t="s">
        <v>148</v>
      </c>
      <c r="E8" s="635" t="s">
        <v>554</v>
      </c>
      <c r="F8" s="636"/>
      <c r="G8" s="636"/>
      <c r="H8" s="636"/>
      <c r="I8" s="636"/>
      <c r="J8" s="637"/>
      <c r="K8" s="628" t="s">
        <v>555</v>
      </c>
      <c r="L8" s="628"/>
      <c r="M8" s="628"/>
      <c r="N8" s="628"/>
      <c r="O8" s="628"/>
      <c r="P8" s="628"/>
    </row>
    <row r="9" spans="1:16" ht="15" customHeight="1" x14ac:dyDescent="0.2">
      <c r="A9" s="643"/>
      <c r="B9" s="643"/>
      <c r="C9" s="647"/>
      <c r="D9" s="628"/>
      <c r="E9" s="628"/>
      <c r="F9" s="628"/>
      <c r="G9" s="628"/>
      <c r="H9" s="355" t="s">
        <v>485</v>
      </c>
      <c r="I9" s="356">
        <v>0.21260000000000001</v>
      </c>
      <c r="J9" s="638"/>
      <c r="K9" s="628"/>
      <c r="L9" s="628"/>
      <c r="M9" s="628"/>
      <c r="N9" s="355" t="s">
        <v>485</v>
      </c>
      <c r="O9" s="356">
        <v>0.27229999999999999</v>
      </c>
      <c r="P9" s="638"/>
    </row>
    <row r="10" spans="1:16" ht="15" customHeight="1" x14ac:dyDescent="0.2">
      <c r="A10" s="643"/>
      <c r="B10" s="643"/>
      <c r="C10" s="647"/>
      <c r="D10" s="628"/>
      <c r="E10" s="628"/>
      <c r="F10" s="628"/>
      <c r="G10" s="628"/>
      <c r="H10" s="355" t="s">
        <v>486</v>
      </c>
      <c r="I10" s="356">
        <v>0.1527</v>
      </c>
      <c r="J10" s="639"/>
      <c r="K10" s="628"/>
      <c r="L10" s="628"/>
      <c r="M10" s="628"/>
      <c r="N10" s="355" t="s">
        <v>486</v>
      </c>
      <c r="O10" s="356">
        <v>0.2092</v>
      </c>
      <c r="P10" s="639"/>
    </row>
    <row r="11" spans="1:16" ht="31.5" customHeight="1" x14ac:dyDescent="0.2">
      <c r="A11" s="644"/>
      <c r="B11" s="644"/>
      <c r="C11" s="648"/>
      <c r="D11" s="628"/>
      <c r="E11" s="335" t="s">
        <v>44</v>
      </c>
      <c r="F11" s="358" t="s">
        <v>480</v>
      </c>
      <c r="G11" s="336" t="s">
        <v>17</v>
      </c>
      <c r="H11" s="349" t="s">
        <v>480</v>
      </c>
      <c r="I11" s="349" t="s">
        <v>17</v>
      </c>
      <c r="J11" s="349" t="s">
        <v>82</v>
      </c>
      <c r="K11" s="335" t="s">
        <v>44</v>
      </c>
      <c r="L11" s="358" t="s">
        <v>480</v>
      </c>
      <c r="M11" s="336" t="s">
        <v>17</v>
      </c>
      <c r="N11" s="349" t="s">
        <v>480</v>
      </c>
      <c r="O11" s="349" t="s">
        <v>17</v>
      </c>
      <c r="P11" s="349" t="s">
        <v>82</v>
      </c>
    </row>
    <row r="12" spans="1:16" ht="15" customHeight="1" x14ac:dyDescent="0.2">
      <c r="A12" s="375" t="s">
        <v>510</v>
      </c>
      <c r="B12" s="378"/>
      <c r="C12" s="629" t="s">
        <v>149</v>
      </c>
      <c r="D12" s="629"/>
      <c r="E12" s="641"/>
      <c r="F12" s="641"/>
      <c r="G12" s="629"/>
      <c r="H12" s="629"/>
      <c r="I12" s="629"/>
      <c r="J12" s="629"/>
      <c r="K12" s="629"/>
      <c r="L12" s="629"/>
      <c r="M12" s="629"/>
      <c r="N12" s="629"/>
      <c r="O12" s="629"/>
      <c r="P12" s="629"/>
    </row>
    <row r="13" spans="1:16" ht="15" customHeight="1" x14ac:dyDescent="0.2">
      <c r="A13" s="116" t="s">
        <v>83</v>
      </c>
      <c r="B13" s="116">
        <v>4915744</v>
      </c>
      <c r="C13" s="108" t="s">
        <v>196</v>
      </c>
      <c r="D13" s="109" t="s">
        <v>151</v>
      </c>
      <c r="E13" s="261">
        <f>'8 - Quantitativo - Final'!E10</f>
        <v>416</v>
      </c>
      <c r="F13" s="350">
        <v>0.72</v>
      </c>
      <c r="G13" s="111">
        <f>TRUNC(E13*F13,2)</f>
        <v>299.52</v>
      </c>
      <c r="H13" s="111">
        <f>TRUNC(F13*(1+$I$9),2)</f>
        <v>0.87</v>
      </c>
      <c r="I13" s="111">
        <f>TRUNC(E13*H13,2)</f>
        <v>361.92</v>
      </c>
      <c r="J13" s="357">
        <f>I13/$I$108</f>
        <v>3.1040300064467458E-4</v>
      </c>
      <c r="K13" s="110">
        <f>E13</f>
        <v>416</v>
      </c>
      <c r="L13" s="144">
        <v>0.66</v>
      </c>
      <c r="M13" s="111">
        <f>TRUNC(K13*L13,2)</f>
        <v>274.56</v>
      </c>
      <c r="N13" s="111">
        <f>TRUNC(L13*(1+$O$9),2)</f>
        <v>0.83</v>
      </c>
      <c r="O13" s="111">
        <f>TRUNC(K13*N13,2)</f>
        <v>345.28</v>
      </c>
      <c r="P13" s="357">
        <f>O13/$O$108</f>
        <v>2.9363543993346394E-4</v>
      </c>
    </row>
    <row r="14" spans="1:16" ht="15" customHeight="1" x14ac:dyDescent="0.2">
      <c r="A14" s="116" t="s">
        <v>84</v>
      </c>
      <c r="B14" s="116">
        <v>4915776</v>
      </c>
      <c r="C14" s="108" t="s">
        <v>150</v>
      </c>
      <c r="D14" s="109" t="s">
        <v>244</v>
      </c>
      <c r="E14" s="261">
        <f>'8 - Quantitativo - Final'!E11</f>
        <v>0.42699999999999999</v>
      </c>
      <c r="F14" s="350">
        <v>758.32</v>
      </c>
      <c r="G14" s="111">
        <f t="shared" ref="G14:G15" si="0">TRUNC(E14*F14,2)</f>
        <v>323.8</v>
      </c>
      <c r="H14" s="111">
        <f t="shared" ref="H14:H15" si="1">TRUNC(F14*(1+$I$9),2)</f>
        <v>919.53</v>
      </c>
      <c r="I14" s="111">
        <f t="shared" ref="I14:I15" si="2">TRUNC(E14*H14,2)</f>
        <v>392.63</v>
      </c>
      <c r="J14" s="357">
        <f>I14/$I$108</f>
        <v>3.3674162837952744E-4</v>
      </c>
      <c r="K14" s="110">
        <f t="shared" ref="K14:K15" si="3">E14</f>
        <v>0.42699999999999999</v>
      </c>
      <c r="L14" s="144">
        <v>709.71</v>
      </c>
      <c r="M14" s="111">
        <f t="shared" ref="M14:M15" si="4">TRUNC(K14*L14,2)</f>
        <v>303.04000000000002</v>
      </c>
      <c r="N14" s="111">
        <f t="shared" ref="N14:N15" si="5">TRUNC(L14*(1+$O$9),2)</f>
        <v>902.96</v>
      </c>
      <c r="O14" s="111">
        <f t="shared" ref="O14:O15" si="6">TRUNC(K14*N14,2)</f>
        <v>385.56</v>
      </c>
      <c r="P14" s="357">
        <f>O14/$O$108</f>
        <v>3.278906401203266E-4</v>
      </c>
    </row>
    <row r="15" spans="1:16" ht="15" customHeight="1" x14ac:dyDescent="0.2">
      <c r="A15" s="116" t="s">
        <v>85</v>
      </c>
      <c r="B15" s="116">
        <v>4915672</v>
      </c>
      <c r="C15" s="108" t="s">
        <v>152</v>
      </c>
      <c r="D15" s="109" t="s">
        <v>153</v>
      </c>
      <c r="E15" s="261">
        <f>'8 - Quantitativo - Final'!E12</f>
        <v>335.70000000000005</v>
      </c>
      <c r="F15" s="350">
        <v>4.21</v>
      </c>
      <c r="G15" s="111">
        <f t="shared" si="0"/>
        <v>1413.29</v>
      </c>
      <c r="H15" s="111">
        <f t="shared" si="1"/>
        <v>5.0999999999999996</v>
      </c>
      <c r="I15" s="111">
        <f t="shared" si="2"/>
        <v>1712.07</v>
      </c>
      <c r="J15" s="357">
        <f>I15/$I$108</f>
        <v>1.468367775513174E-3</v>
      </c>
      <c r="K15" s="110">
        <f t="shared" si="3"/>
        <v>335.70000000000005</v>
      </c>
      <c r="L15" s="144">
        <v>3.85</v>
      </c>
      <c r="M15" s="111">
        <f t="shared" si="4"/>
        <v>1292.44</v>
      </c>
      <c r="N15" s="111">
        <f t="shared" si="5"/>
        <v>4.8899999999999997</v>
      </c>
      <c r="O15" s="111">
        <f t="shared" si="6"/>
        <v>1641.57</v>
      </c>
      <c r="P15" s="357">
        <f>O15/$O$108</f>
        <v>1.3960354759371422E-3</v>
      </c>
    </row>
    <row r="16" spans="1:16" ht="15" customHeight="1" x14ac:dyDescent="0.2">
      <c r="A16" s="632" t="s">
        <v>271</v>
      </c>
      <c r="B16" s="633"/>
      <c r="C16" s="633"/>
      <c r="D16" s="634"/>
      <c r="E16" s="353"/>
      <c r="F16" s="354"/>
      <c r="G16" s="104">
        <f>SUM(G13:G15)</f>
        <v>2036.61</v>
      </c>
      <c r="H16" s="352"/>
      <c r="I16" s="104">
        <f>SUM(I13:I15)</f>
        <v>2466.62</v>
      </c>
      <c r="J16" s="337"/>
      <c r="K16" s="359"/>
      <c r="L16" s="354"/>
      <c r="M16" s="274">
        <f>SUM(M13:M15)</f>
        <v>1870.04</v>
      </c>
      <c r="N16" s="274"/>
      <c r="O16" s="274">
        <f>SUM(O13:O15)</f>
        <v>2372.41</v>
      </c>
      <c r="P16" s="274"/>
    </row>
    <row r="17" spans="1:20" ht="15" customHeight="1" x14ac:dyDescent="0.2">
      <c r="A17" s="640"/>
      <c r="B17" s="640"/>
      <c r="C17" s="640"/>
      <c r="D17" s="640"/>
      <c r="E17" s="640"/>
      <c r="F17" s="640"/>
      <c r="G17" s="640"/>
      <c r="H17" s="640"/>
      <c r="I17" s="640"/>
      <c r="J17" s="640"/>
      <c r="K17" s="640"/>
      <c r="L17" s="640"/>
      <c r="M17" s="640"/>
      <c r="N17" s="640"/>
      <c r="O17" s="640"/>
      <c r="P17" s="640"/>
    </row>
    <row r="18" spans="1:20" ht="15" customHeight="1" x14ac:dyDescent="0.2">
      <c r="A18" s="375" t="s">
        <v>511</v>
      </c>
      <c r="B18" s="378"/>
      <c r="C18" s="630" t="s">
        <v>154</v>
      </c>
      <c r="D18" s="630"/>
      <c r="E18" s="630"/>
      <c r="F18" s="630"/>
      <c r="G18" s="630"/>
      <c r="H18" s="630"/>
      <c r="I18" s="630"/>
      <c r="J18" s="630"/>
      <c r="K18" s="630"/>
      <c r="L18" s="630"/>
      <c r="M18" s="630"/>
      <c r="N18" s="630"/>
      <c r="O18" s="630"/>
      <c r="P18" s="630"/>
      <c r="T18" s="99"/>
    </row>
    <row r="19" spans="1:20" ht="15" customHeight="1" x14ac:dyDescent="0.2">
      <c r="A19" s="116" t="s">
        <v>329</v>
      </c>
      <c r="B19" s="116" t="s">
        <v>274</v>
      </c>
      <c r="C19" s="117" t="s">
        <v>155</v>
      </c>
      <c r="D19" s="109" t="s">
        <v>153</v>
      </c>
      <c r="E19" s="261">
        <f>'8 - Quantitativo - Final'!E15</f>
        <v>196.8</v>
      </c>
      <c r="F19" s="350">
        <v>52.96</v>
      </c>
      <c r="G19" s="111">
        <f t="shared" ref="G19:G21" si="7">TRUNC(E19*F19,2)</f>
        <v>10422.52</v>
      </c>
      <c r="H19" s="111">
        <f t="shared" ref="H19:H21" si="8">TRUNC(F19*(1+$I$9),2)</f>
        <v>64.209999999999994</v>
      </c>
      <c r="I19" s="111">
        <f t="shared" ref="I19:I21" si="9">TRUNC(E19*H19,2)</f>
        <v>12636.52</v>
      </c>
      <c r="J19" s="357">
        <f>I19/$I$108</f>
        <v>1.0837792124520455E-2</v>
      </c>
      <c r="K19" s="110">
        <f t="shared" ref="K19:K21" si="10">E19</f>
        <v>196.8</v>
      </c>
      <c r="L19" s="144">
        <v>50.91</v>
      </c>
      <c r="M19" s="111">
        <f t="shared" ref="M19:M21" si="11">TRUNC(K19*L19,2)</f>
        <v>10019.08</v>
      </c>
      <c r="N19" s="111">
        <f t="shared" ref="N19:N21" si="12">TRUNC(L19*(1+$O$9),2)</f>
        <v>64.77</v>
      </c>
      <c r="O19" s="111">
        <f t="shared" ref="O19:O21" si="13">TRUNC(K19*N19,2)</f>
        <v>12746.73</v>
      </c>
      <c r="P19" s="357">
        <f>O19/$O$108</f>
        <v>1.0840163552082609E-2</v>
      </c>
      <c r="T19" s="99"/>
    </row>
    <row r="20" spans="1:20" ht="15" customHeight="1" x14ac:dyDescent="0.2">
      <c r="A20" s="116" t="s">
        <v>482</v>
      </c>
      <c r="B20" s="116" t="s">
        <v>550</v>
      </c>
      <c r="C20" s="117" t="s">
        <v>549</v>
      </c>
      <c r="D20" s="109" t="s">
        <v>481</v>
      </c>
      <c r="E20" s="261">
        <v>65</v>
      </c>
      <c r="F20" s="350">
        <v>408.45</v>
      </c>
      <c r="G20" s="111">
        <f t="shared" ref="G20" si="14">TRUNC(E20*F20,2)</f>
        <v>26549.25</v>
      </c>
      <c r="H20" s="111">
        <f t="shared" ref="H20" si="15">TRUNC(F20*(1+$I$9),2)</f>
        <v>495.28</v>
      </c>
      <c r="I20" s="111">
        <f t="shared" ref="I20" si="16">TRUNC(E20*H20,2)</f>
        <v>32193.200000000001</v>
      </c>
      <c r="J20" s="357">
        <f>I20/$I$108</f>
        <v>2.7610703692402015E-2</v>
      </c>
      <c r="K20" s="110">
        <f t="shared" ref="K20" si="17">E20</f>
        <v>65</v>
      </c>
      <c r="L20" s="144">
        <v>389.58</v>
      </c>
      <c r="M20" s="111">
        <f t="shared" ref="M20" si="18">TRUNC(K20*L20,2)</f>
        <v>25322.7</v>
      </c>
      <c r="N20" s="111">
        <f t="shared" ref="N20" si="19">TRUNC(L20*(1+$O$9),2)</f>
        <v>495.66</v>
      </c>
      <c r="O20" s="111">
        <f t="shared" ref="O20" si="20">TRUNC(K20*N20,2)</f>
        <v>32217.9</v>
      </c>
      <c r="P20" s="357">
        <f>O20/$O$108</f>
        <v>2.7398972544695175E-2</v>
      </c>
      <c r="T20" s="99"/>
    </row>
    <row r="21" spans="1:20" ht="15" customHeight="1" x14ac:dyDescent="0.2">
      <c r="A21" s="116" t="s">
        <v>548</v>
      </c>
      <c r="B21" s="116" t="s">
        <v>275</v>
      </c>
      <c r="C21" s="117" t="s">
        <v>156</v>
      </c>
      <c r="D21" s="109" t="s">
        <v>481</v>
      </c>
      <c r="E21" s="261">
        <v>65</v>
      </c>
      <c r="F21" s="351">
        <v>36.979999999999997</v>
      </c>
      <c r="G21" s="111">
        <f t="shared" si="7"/>
        <v>2403.6999999999998</v>
      </c>
      <c r="H21" s="111">
        <f t="shared" si="8"/>
        <v>44.84</v>
      </c>
      <c r="I21" s="111">
        <f t="shared" si="9"/>
        <v>2914.6</v>
      </c>
      <c r="J21" s="357">
        <f>I21/$I$108</f>
        <v>2.4997253140997136E-3</v>
      </c>
      <c r="K21" s="110">
        <f t="shared" si="10"/>
        <v>65</v>
      </c>
      <c r="L21" s="144">
        <v>33.65</v>
      </c>
      <c r="M21" s="111">
        <f t="shared" si="11"/>
        <v>2187.25</v>
      </c>
      <c r="N21" s="111">
        <f t="shared" si="12"/>
        <v>42.81</v>
      </c>
      <c r="O21" s="111">
        <f t="shared" si="13"/>
        <v>2782.65</v>
      </c>
      <c r="P21" s="357">
        <f>O21/$O$108</f>
        <v>2.366440734855345E-3</v>
      </c>
      <c r="T21" s="99"/>
    </row>
    <row r="22" spans="1:20" ht="15" customHeight="1" x14ac:dyDescent="0.2">
      <c r="A22" s="632" t="s">
        <v>272</v>
      </c>
      <c r="B22" s="633"/>
      <c r="C22" s="633"/>
      <c r="D22" s="634"/>
      <c r="E22" s="353"/>
      <c r="F22" s="354"/>
      <c r="G22" s="104">
        <f>SUM(G19:G21)</f>
        <v>39375.47</v>
      </c>
      <c r="H22" s="352"/>
      <c r="I22" s="104">
        <f>SUM(I19:I21)</f>
        <v>47744.32</v>
      </c>
      <c r="J22" s="337"/>
      <c r="K22" s="359"/>
      <c r="L22" s="354"/>
      <c r="M22" s="274">
        <f>SUM(M19:M21)</f>
        <v>37529.03</v>
      </c>
      <c r="N22" s="274"/>
      <c r="O22" s="274">
        <f>SUM(O19:O21)</f>
        <v>47747.280000000006</v>
      </c>
      <c r="P22" s="274"/>
    </row>
    <row r="23" spans="1:20" ht="15" customHeight="1" x14ac:dyDescent="0.2">
      <c r="A23" s="628"/>
      <c r="B23" s="628"/>
      <c r="C23" s="628"/>
      <c r="D23" s="628"/>
      <c r="E23" s="628"/>
      <c r="F23" s="628"/>
      <c r="G23" s="628"/>
      <c r="H23" s="628"/>
      <c r="I23" s="628"/>
      <c r="J23" s="628"/>
      <c r="K23" s="628"/>
      <c r="L23" s="628"/>
      <c r="M23" s="628"/>
      <c r="N23" s="628"/>
      <c r="O23" s="628"/>
      <c r="P23" s="628"/>
    </row>
    <row r="24" spans="1:20" ht="15" customHeight="1" x14ac:dyDescent="0.2">
      <c r="A24" s="375" t="s">
        <v>512</v>
      </c>
      <c r="B24" s="378"/>
      <c r="C24" s="611" t="s">
        <v>159</v>
      </c>
      <c r="D24" s="611"/>
      <c r="E24" s="611"/>
      <c r="F24" s="611"/>
      <c r="G24" s="611"/>
      <c r="H24" s="611"/>
      <c r="I24" s="611"/>
      <c r="J24" s="611"/>
      <c r="K24" s="611"/>
      <c r="L24" s="611"/>
      <c r="M24" s="611"/>
      <c r="N24" s="611"/>
      <c r="O24" s="611"/>
      <c r="P24" s="611"/>
    </row>
    <row r="25" spans="1:20" ht="15" customHeight="1" x14ac:dyDescent="0.2">
      <c r="A25" s="116" t="s">
        <v>87</v>
      </c>
      <c r="B25" s="116" t="s">
        <v>276</v>
      </c>
      <c r="C25" s="108" t="s">
        <v>88</v>
      </c>
      <c r="D25" s="109" t="s">
        <v>153</v>
      </c>
      <c r="E25" s="261">
        <f>'8 - Quantitativo - Final'!E20</f>
        <v>393.6</v>
      </c>
      <c r="F25" s="350">
        <v>8.94</v>
      </c>
      <c r="G25" s="111">
        <f t="shared" ref="G25:G33" si="21">TRUNC(E25*F25,2)</f>
        <v>3518.78</v>
      </c>
      <c r="H25" s="111">
        <f t="shared" ref="H25:H35" si="22">TRUNC(F25*(1+$I$9),2)</f>
        <v>10.84</v>
      </c>
      <c r="I25" s="111">
        <f t="shared" ref="I25:I35" si="23">TRUNC(E25*H25,2)</f>
        <v>4266.62</v>
      </c>
      <c r="J25" s="357">
        <f t="shared" ref="J25:J35" si="24">I25/$I$108</f>
        <v>3.6592939064173887E-3</v>
      </c>
      <c r="K25" s="110">
        <f t="shared" ref="K25:K35" si="25">E25</f>
        <v>393.6</v>
      </c>
      <c r="L25" s="144">
        <v>8.14</v>
      </c>
      <c r="M25" s="111">
        <f t="shared" ref="M25:M35" si="26">TRUNC(K25*L25,2)</f>
        <v>3203.9</v>
      </c>
      <c r="N25" s="111">
        <f t="shared" ref="N25:N35" si="27">TRUNC(L25*(1+$O$9),2)</f>
        <v>10.35</v>
      </c>
      <c r="O25" s="111">
        <f t="shared" ref="O25:O35" si="28">TRUNC(K25*N25,2)</f>
        <v>4073.76</v>
      </c>
      <c r="P25" s="357">
        <f t="shared" ref="P25:P35" si="29">O25/$O$108</f>
        <v>3.464435558918409E-3</v>
      </c>
    </row>
    <row r="26" spans="1:20" ht="18" customHeight="1" x14ac:dyDescent="0.2">
      <c r="A26" s="116" t="s">
        <v>89</v>
      </c>
      <c r="B26" s="116" t="s">
        <v>277</v>
      </c>
      <c r="C26" s="108" t="s">
        <v>245</v>
      </c>
      <c r="D26" s="109" t="s">
        <v>153</v>
      </c>
      <c r="E26" s="261">
        <f>'8 - Quantitativo - Final'!E21</f>
        <v>393.6</v>
      </c>
      <c r="F26" s="350">
        <v>22.18</v>
      </c>
      <c r="G26" s="111">
        <f t="shared" si="21"/>
        <v>8730.0400000000009</v>
      </c>
      <c r="H26" s="111">
        <f t="shared" si="22"/>
        <v>26.89</v>
      </c>
      <c r="I26" s="111">
        <f t="shared" si="23"/>
        <v>10583.9</v>
      </c>
      <c r="J26" s="357">
        <f t="shared" si="24"/>
        <v>9.0773494654154806E-3</v>
      </c>
      <c r="K26" s="110">
        <f t="shared" si="25"/>
        <v>393.6</v>
      </c>
      <c r="L26" s="144">
        <v>20.49</v>
      </c>
      <c r="M26" s="111">
        <f t="shared" si="26"/>
        <v>8064.86</v>
      </c>
      <c r="N26" s="111">
        <f t="shared" si="27"/>
        <v>26.06</v>
      </c>
      <c r="O26" s="111">
        <f t="shared" si="28"/>
        <v>10257.209999999999</v>
      </c>
      <c r="P26" s="357">
        <f t="shared" si="29"/>
        <v>8.7230084882991363E-3</v>
      </c>
    </row>
    <row r="27" spans="1:20" ht="19.5" customHeight="1" x14ac:dyDescent="0.2">
      <c r="A27" s="116" t="s">
        <v>90</v>
      </c>
      <c r="B27" s="116" t="s">
        <v>278</v>
      </c>
      <c r="C27" s="108" t="s">
        <v>246</v>
      </c>
      <c r="D27" s="109" t="s">
        <v>153</v>
      </c>
      <c r="E27" s="261">
        <f>'8 - Quantitativo - Final'!E22</f>
        <v>328.8</v>
      </c>
      <c r="F27" s="350">
        <v>17.8</v>
      </c>
      <c r="G27" s="111">
        <f t="shared" si="21"/>
        <v>5852.64</v>
      </c>
      <c r="H27" s="111">
        <f t="shared" si="22"/>
        <v>21.58</v>
      </c>
      <c r="I27" s="111">
        <f t="shared" si="23"/>
        <v>7095.5</v>
      </c>
      <c r="J27" s="357">
        <f t="shared" si="24"/>
        <v>6.0855009147720166E-3</v>
      </c>
      <c r="K27" s="110">
        <f t="shared" si="25"/>
        <v>328.8</v>
      </c>
      <c r="L27" s="144">
        <v>16.21</v>
      </c>
      <c r="M27" s="111">
        <f t="shared" si="26"/>
        <v>5329.84</v>
      </c>
      <c r="N27" s="111">
        <f t="shared" si="27"/>
        <v>20.62</v>
      </c>
      <c r="O27" s="111">
        <f t="shared" si="28"/>
        <v>6779.85</v>
      </c>
      <c r="P27" s="357">
        <f t="shared" si="29"/>
        <v>5.7657676014622799E-3</v>
      </c>
    </row>
    <row r="28" spans="1:20" ht="0.75" customHeight="1" x14ac:dyDescent="0.2">
      <c r="A28" s="116" t="s">
        <v>91</v>
      </c>
      <c r="B28" s="116" t="s">
        <v>279</v>
      </c>
      <c r="C28" s="108" t="s">
        <v>247</v>
      </c>
      <c r="D28" s="109" t="s">
        <v>153</v>
      </c>
      <c r="E28" s="261">
        <v>0</v>
      </c>
      <c r="F28" s="350">
        <v>42.64</v>
      </c>
      <c r="G28" s="111">
        <f t="shared" si="21"/>
        <v>0</v>
      </c>
      <c r="H28" s="111">
        <f t="shared" si="22"/>
        <v>51.7</v>
      </c>
      <c r="I28" s="111">
        <f t="shared" si="23"/>
        <v>0</v>
      </c>
      <c r="J28" s="357">
        <f t="shared" si="24"/>
        <v>0</v>
      </c>
      <c r="K28" s="110">
        <f t="shared" si="25"/>
        <v>0</v>
      </c>
      <c r="L28" s="144">
        <f t="shared" ref="L28:L34" si="30">F28</f>
        <v>42.64</v>
      </c>
      <c r="M28" s="111">
        <f t="shared" si="26"/>
        <v>0</v>
      </c>
      <c r="N28" s="111">
        <f t="shared" si="27"/>
        <v>54.25</v>
      </c>
      <c r="O28" s="111">
        <f t="shared" si="28"/>
        <v>0</v>
      </c>
      <c r="P28" s="357">
        <f t="shared" si="29"/>
        <v>0</v>
      </c>
    </row>
    <row r="29" spans="1:20" ht="15" customHeight="1" x14ac:dyDescent="0.2">
      <c r="A29" s="116" t="s">
        <v>91</v>
      </c>
      <c r="B29" s="116" t="s">
        <v>280</v>
      </c>
      <c r="C29" s="108" t="s">
        <v>248</v>
      </c>
      <c r="D29" s="109" t="s">
        <v>153</v>
      </c>
      <c r="E29" s="261">
        <v>328.8</v>
      </c>
      <c r="F29" s="350">
        <v>42.64</v>
      </c>
      <c r="G29" s="111">
        <f t="shared" si="21"/>
        <v>14020.03</v>
      </c>
      <c r="H29" s="111">
        <f t="shared" si="22"/>
        <v>51.7</v>
      </c>
      <c r="I29" s="111">
        <f t="shared" si="23"/>
        <v>16998.96</v>
      </c>
      <c r="J29" s="357">
        <f t="shared" si="24"/>
        <v>1.4579266666221256E-2</v>
      </c>
      <c r="K29" s="110">
        <f t="shared" si="25"/>
        <v>328.8</v>
      </c>
      <c r="L29" s="144">
        <v>39.29</v>
      </c>
      <c r="M29" s="111">
        <f t="shared" si="26"/>
        <v>12918.55</v>
      </c>
      <c r="N29" s="111">
        <f t="shared" si="27"/>
        <v>49.98</v>
      </c>
      <c r="O29" s="111">
        <f t="shared" si="28"/>
        <v>16433.419999999998</v>
      </c>
      <c r="P29" s="357">
        <f t="shared" si="29"/>
        <v>1.397542432608719E-2</v>
      </c>
    </row>
    <row r="30" spans="1:20" ht="18.75" customHeight="1" x14ac:dyDescent="0.2">
      <c r="A30" s="116" t="s">
        <v>92</v>
      </c>
      <c r="B30" s="116" t="s">
        <v>281</v>
      </c>
      <c r="C30" s="108" t="s">
        <v>249</v>
      </c>
      <c r="D30" s="109" t="s">
        <v>153</v>
      </c>
      <c r="E30" s="261">
        <f>'8 - Quantitativo - Final'!E25</f>
        <v>328.8</v>
      </c>
      <c r="F30" s="350">
        <v>7.12</v>
      </c>
      <c r="G30" s="111">
        <f t="shared" si="21"/>
        <v>2341.0500000000002</v>
      </c>
      <c r="H30" s="111">
        <f t="shared" si="22"/>
        <v>8.6300000000000008</v>
      </c>
      <c r="I30" s="111">
        <f t="shared" si="23"/>
        <v>2837.54</v>
      </c>
      <c r="J30" s="357">
        <f t="shared" si="24"/>
        <v>2.4336343126914505E-3</v>
      </c>
      <c r="K30" s="110">
        <f t="shared" si="25"/>
        <v>328.8</v>
      </c>
      <c r="L30" s="144">
        <v>6.49</v>
      </c>
      <c r="M30" s="111">
        <f t="shared" si="26"/>
        <v>2133.91</v>
      </c>
      <c r="N30" s="111">
        <f t="shared" si="27"/>
        <v>8.25</v>
      </c>
      <c r="O30" s="111">
        <f t="shared" si="28"/>
        <v>2712.6</v>
      </c>
      <c r="P30" s="357">
        <f t="shared" si="29"/>
        <v>2.3068683224151828E-3</v>
      </c>
    </row>
    <row r="31" spans="1:20" ht="14.25" hidden="1" customHeight="1" x14ac:dyDescent="0.2">
      <c r="A31" s="116" t="s">
        <v>93</v>
      </c>
      <c r="B31" s="116" t="s">
        <v>282</v>
      </c>
      <c r="C31" s="108" t="s">
        <v>250</v>
      </c>
      <c r="D31" s="109" t="s">
        <v>153</v>
      </c>
      <c r="E31" s="261">
        <v>0</v>
      </c>
      <c r="F31" s="350">
        <v>12.83</v>
      </c>
      <c r="G31" s="111">
        <f t="shared" si="21"/>
        <v>0</v>
      </c>
      <c r="H31" s="111">
        <f t="shared" si="22"/>
        <v>15.55</v>
      </c>
      <c r="I31" s="111">
        <f t="shared" si="23"/>
        <v>0</v>
      </c>
      <c r="J31" s="357">
        <f t="shared" si="24"/>
        <v>0</v>
      </c>
      <c r="K31" s="110">
        <f t="shared" si="25"/>
        <v>0</v>
      </c>
      <c r="L31" s="144">
        <f t="shared" si="30"/>
        <v>12.83</v>
      </c>
      <c r="M31" s="111">
        <f t="shared" si="26"/>
        <v>0</v>
      </c>
      <c r="N31" s="111">
        <f t="shared" si="27"/>
        <v>16.32</v>
      </c>
      <c r="O31" s="111">
        <f t="shared" si="28"/>
        <v>0</v>
      </c>
      <c r="P31" s="357">
        <f t="shared" si="29"/>
        <v>0</v>
      </c>
    </row>
    <row r="32" spans="1:20" ht="15" customHeight="1" x14ac:dyDescent="0.2">
      <c r="A32" s="116" t="s">
        <v>93</v>
      </c>
      <c r="B32" s="116" t="s">
        <v>283</v>
      </c>
      <c r="C32" s="108" t="s">
        <v>251</v>
      </c>
      <c r="D32" s="109" t="s">
        <v>153</v>
      </c>
      <c r="E32" s="261">
        <v>328.8</v>
      </c>
      <c r="F32" s="350">
        <v>17.170000000000002</v>
      </c>
      <c r="G32" s="111">
        <f t="shared" si="21"/>
        <v>5645.49</v>
      </c>
      <c r="H32" s="111">
        <f t="shared" si="22"/>
        <v>20.82</v>
      </c>
      <c r="I32" s="111">
        <f t="shared" si="23"/>
        <v>6845.61</v>
      </c>
      <c r="J32" s="357">
        <f t="shared" si="24"/>
        <v>5.8711811594915741E-3</v>
      </c>
      <c r="K32" s="110">
        <f t="shared" si="25"/>
        <v>328.8</v>
      </c>
      <c r="L32" s="144">
        <v>15.78</v>
      </c>
      <c r="M32" s="111">
        <f t="shared" si="26"/>
        <v>5188.46</v>
      </c>
      <c r="N32" s="111">
        <f t="shared" si="27"/>
        <v>20.07</v>
      </c>
      <c r="O32" s="111">
        <f t="shared" si="28"/>
        <v>6599.01</v>
      </c>
      <c r="P32" s="357">
        <f t="shared" si="29"/>
        <v>5.6119763799679341E-3</v>
      </c>
    </row>
    <row r="33" spans="1:16" ht="14.25" customHeight="1" x14ac:dyDescent="0.2">
      <c r="A33" s="116" t="s">
        <v>94</v>
      </c>
      <c r="B33" s="116" t="s">
        <v>284</v>
      </c>
      <c r="C33" s="108" t="s">
        <v>252</v>
      </c>
      <c r="D33" s="109" t="s">
        <v>153</v>
      </c>
      <c r="E33" s="261">
        <v>368.8</v>
      </c>
      <c r="F33" s="351">
        <v>9.74</v>
      </c>
      <c r="G33" s="111">
        <f t="shared" si="21"/>
        <v>3592.11</v>
      </c>
      <c r="H33" s="111">
        <f t="shared" si="22"/>
        <v>11.81</v>
      </c>
      <c r="I33" s="111">
        <f t="shared" si="23"/>
        <v>4355.5200000000004</v>
      </c>
      <c r="J33" s="357">
        <f t="shared" si="24"/>
        <v>3.7355395594824629E-3</v>
      </c>
      <c r="K33" s="110">
        <f t="shared" si="25"/>
        <v>368.8</v>
      </c>
      <c r="L33" s="144">
        <v>8.8800000000000008</v>
      </c>
      <c r="M33" s="111">
        <f t="shared" si="26"/>
        <v>3274.94</v>
      </c>
      <c r="N33" s="111">
        <f t="shared" si="27"/>
        <v>11.29</v>
      </c>
      <c r="O33" s="111">
        <f t="shared" si="28"/>
        <v>4163.75</v>
      </c>
      <c r="P33" s="357">
        <f t="shared" si="29"/>
        <v>3.5409654860488896E-3</v>
      </c>
    </row>
    <row r="34" spans="1:16" ht="0.75" customHeight="1" x14ac:dyDescent="0.2">
      <c r="A34" s="116" t="s">
        <v>96</v>
      </c>
      <c r="B34" s="116" t="s">
        <v>285</v>
      </c>
      <c r="C34" s="108" t="s">
        <v>350</v>
      </c>
      <c r="D34" s="109" t="s">
        <v>153</v>
      </c>
      <c r="E34" s="261">
        <v>368.9</v>
      </c>
      <c r="F34" s="350">
        <v>0</v>
      </c>
      <c r="G34" s="111">
        <f t="shared" ref="G34:G35" si="31">TRUNC(E34*F34,2)</f>
        <v>0</v>
      </c>
      <c r="H34" s="111">
        <f t="shared" si="22"/>
        <v>0</v>
      </c>
      <c r="I34" s="111">
        <f t="shared" si="23"/>
        <v>0</v>
      </c>
      <c r="J34" s="357">
        <f t="shared" si="24"/>
        <v>0</v>
      </c>
      <c r="K34" s="110">
        <f t="shared" si="25"/>
        <v>368.9</v>
      </c>
      <c r="L34" s="144">
        <f t="shared" si="30"/>
        <v>0</v>
      </c>
      <c r="M34" s="111">
        <f t="shared" si="26"/>
        <v>0</v>
      </c>
      <c r="N34" s="111">
        <f t="shared" si="27"/>
        <v>0</v>
      </c>
      <c r="O34" s="111">
        <f t="shared" si="28"/>
        <v>0</v>
      </c>
      <c r="P34" s="357">
        <f t="shared" si="29"/>
        <v>0</v>
      </c>
    </row>
    <row r="35" spans="1:16" ht="15" customHeight="1" x14ac:dyDescent="0.2">
      <c r="A35" s="116" t="s">
        <v>95</v>
      </c>
      <c r="B35" s="116" t="s">
        <v>286</v>
      </c>
      <c r="C35" s="108" t="s">
        <v>254</v>
      </c>
      <c r="D35" s="109" t="s">
        <v>153</v>
      </c>
      <c r="E35" s="261">
        <v>368.8</v>
      </c>
      <c r="F35" s="350">
        <v>24.17</v>
      </c>
      <c r="G35" s="111">
        <f t="shared" si="31"/>
        <v>8913.89</v>
      </c>
      <c r="H35" s="111">
        <f t="shared" si="22"/>
        <v>29.3</v>
      </c>
      <c r="I35" s="111">
        <f t="shared" si="23"/>
        <v>10805.84</v>
      </c>
      <c r="J35" s="357">
        <f t="shared" si="24"/>
        <v>9.2676977245972868E-3</v>
      </c>
      <c r="K35" s="110">
        <f t="shared" si="25"/>
        <v>368.8</v>
      </c>
      <c r="L35" s="144">
        <v>22.33</v>
      </c>
      <c r="M35" s="111">
        <f t="shared" si="26"/>
        <v>8235.2999999999993</v>
      </c>
      <c r="N35" s="111">
        <f t="shared" si="27"/>
        <v>28.41</v>
      </c>
      <c r="O35" s="111">
        <f t="shared" si="28"/>
        <v>10477.6</v>
      </c>
      <c r="P35" s="357">
        <f t="shared" si="29"/>
        <v>8.9104340982589843E-3</v>
      </c>
    </row>
    <row r="36" spans="1:16" ht="15" customHeight="1" x14ac:dyDescent="0.2">
      <c r="A36" s="632" t="s">
        <v>273</v>
      </c>
      <c r="B36" s="633"/>
      <c r="C36" s="633"/>
      <c r="D36" s="634"/>
      <c r="E36" s="353"/>
      <c r="F36" s="354"/>
      <c r="G36" s="104">
        <f>G35+G33+G32+G30+G29+G27+G26+G25</f>
        <v>52614.03</v>
      </c>
      <c r="H36" s="352"/>
      <c r="I36" s="104">
        <f>SUM(I25:I35)</f>
        <v>63789.489999999991</v>
      </c>
      <c r="J36" s="337"/>
      <c r="K36" s="359"/>
      <c r="L36" s="354"/>
      <c r="M36" s="274">
        <f>SUM(M25:M35)</f>
        <v>48349.759999999995</v>
      </c>
      <c r="N36" s="274"/>
      <c r="O36" s="274">
        <f>SUM(O25:O35)</f>
        <v>61497.2</v>
      </c>
      <c r="P36" s="274"/>
    </row>
    <row r="37" spans="1:16" ht="15" customHeight="1" x14ac:dyDescent="0.2">
      <c r="A37" s="628"/>
      <c r="B37" s="628"/>
      <c r="C37" s="628"/>
      <c r="D37" s="628"/>
      <c r="E37" s="628"/>
      <c r="F37" s="628"/>
      <c r="G37" s="628"/>
      <c r="H37" s="628"/>
      <c r="I37" s="628"/>
      <c r="J37" s="628"/>
      <c r="K37" s="628"/>
      <c r="L37" s="628"/>
      <c r="M37" s="628"/>
      <c r="N37" s="628"/>
      <c r="O37" s="628"/>
      <c r="P37" s="628"/>
    </row>
    <row r="38" spans="1:16" ht="15" customHeight="1" x14ac:dyDescent="0.2">
      <c r="A38" s="375" t="s">
        <v>513</v>
      </c>
      <c r="B38" s="378"/>
      <c r="C38" s="611" t="s">
        <v>160</v>
      </c>
      <c r="D38" s="611"/>
      <c r="E38" s="611"/>
      <c r="F38" s="611"/>
      <c r="G38" s="611"/>
      <c r="H38" s="611"/>
      <c r="I38" s="611"/>
      <c r="J38" s="611"/>
      <c r="K38" s="611"/>
      <c r="L38" s="611"/>
      <c r="M38" s="611"/>
      <c r="N38" s="611"/>
      <c r="O38" s="611"/>
      <c r="P38" s="611"/>
    </row>
    <row r="39" spans="1:16" ht="15" customHeight="1" x14ac:dyDescent="0.2">
      <c r="A39" s="118" t="s">
        <v>97</v>
      </c>
      <c r="B39" s="116" t="s">
        <v>287</v>
      </c>
      <c r="C39" s="112" t="s">
        <v>98</v>
      </c>
      <c r="D39" s="109" t="s">
        <v>153</v>
      </c>
      <c r="E39" s="261">
        <f>'8 - Quantitativo - Final'!E33</f>
        <v>6176.88</v>
      </c>
      <c r="F39" s="350">
        <v>3.25</v>
      </c>
      <c r="G39" s="111">
        <f t="shared" ref="G39:G53" si="32">TRUNC(E39*F39,2)</f>
        <v>20074.86</v>
      </c>
      <c r="H39" s="111">
        <f t="shared" ref="H39:H53" si="33">TRUNC(F39*(1+$I$9),2)</f>
        <v>3.94</v>
      </c>
      <c r="I39" s="111">
        <f t="shared" ref="I39:I53" si="34">TRUNC(E39*H39,2)</f>
        <v>24336.9</v>
      </c>
      <c r="J39" s="357">
        <f t="shared" ref="J39:J53" si="35">I39/$I$108</f>
        <v>2.0872697796168713E-2</v>
      </c>
      <c r="K39" s="110">
        <f t="shared" ref="K39:K53" si="36">E39</f>
        <v>6176.88</v>
      </c>
      <c r="L39" s="144">
        <v>2.96</v>
      </c>
      <c r="M39" s="111">
        <f t="shared" ref="M39:M53" si="37">TRUNC(K39*L39,2)</f>
        <v>18283.560000000001</v>
      </c>
      <c r="N39" s="111">
        <f t="shared" ref="N39:N53" si="38">TRUNC(L39*(1+$O$9),2)</f>
        <v>3.76</v>
      </c>
      <c r="O39" s="111">
        <f t="shared" ref="O39:O53" si="39">TRUNC(K39*N39,2)</f>
        <v>23225.06</v>
      </c>
      <c r="P39" s="357">
        <f t="shared" ref="P39:P53" si="40">O39/$O$108</f>
        <v>1.9751218462062955E-2</v>
      </c>
    </row>
    <row r="40" spans="1:16" ht="1.5" hidden="1" customHeight="1" x14ac:dyDescent="0.2">
      <c r="A40" s="118" t="s">
        <v>99</v>
      </c>
      <c r="B40" s="116" t="s">
        <v>288</v>
      </c>
      <c r="C40" s="112" t="s">
        <v>100</v>
      </c>
      <c r="D40" s="109" t="s">
        <v>153</v>
      </c>
      <c r="E40" s="261">
        <v>0</v>
      </c>
      <c r="F40" s="350">
        <v>8.85</v>
      </c>
      <c r="G40" s="111">
        <f t="shared" si="32"/>
        <v>0</v>
      </c>
      <c r="H40" s="111">
        <f t="shared" si="33"/>
        <v>10.73</v>
      </c>
      <c r="I40" s="111">
        <f t="shared" si="34"/>
        <v>0</v>
      </c>
      <c r="J40" s="357">
        <f t="shared" si="35"/>
        <v>0</v>
      </c>
      <c r="K40" s="110">
        <f t="shared" si="36"/>
        <v>0</v>
      </c>
      <c r="L40" s="144">
        <f t="shared" ref="L40:L52" si="41">F40</f>
        <v>8.85</v>
      </c>
      <c r="M40" s="111">
        <f t="shared" si="37"/>
        <v>0</v>
      </c>
      <c r="N40" s="111">
        <f t="shared" si="38"/>
        <v>11.25</v>
      </c>
      <c r="O40" s="111">
        <f t="shared" si="39"/>
        <v>0</v>
      </c>
      <c r="P40" s="357">
        <f t="shared" si="40"/>
        <v>0</v>
      </c>
    </row>
    <row r="41" spans="1:16" ht="15" customHeight="1" x14ac:dyDescent="0.2">
      <c r="A41" s="118" t="s">
        <v>99</v>
      </c>
      <c r="B41" s="143" t="s">
        <v>289</v>
      </c>
      <c r="C41" s="112" t="s">
        <v>102</v>
      </c>
      <c r="D41" s="109" t="s">
        <v>153</v>
      </c>
      <c r="E41" s="261">
        <v>6176.88</v>
      </c>
      <c r="F41" s="350">
        <v>9.43</v>
      </c>
      <c r="G41" s="111">
        <f t="shared" si="32"/>
        <v>58247.97</v>
      </c>
      <c r="H41" s="111">
        <f t="shared" si="33"/>
        <v>11.43</v>
      </c>
      <c r="I41" s="111">
        <f t="shared" si="34"/>
        <v>70601.73</v>
      </c>
      <c r="J41" s="357">
        <f t="shared" si="35"/>
        <v>6.0552024874848412E-2</v>
      </c>
      <c r="K41" s="110">
        <f t="shared" si="36"/>
        <v>6176.88</v>
      </c>
      <c r="L41" s="144">
        <v>8.82</v>
      </c>
      <c r="M41" s="111">
        <f t="shared" si="37"/>
        <v>54480.08</v>
      </c>
      <c r="N41" s="111">
        <f t="shared" si="38"/>
        <v>11.22</v>
      </c>
      <c r="O41" s="111">
        <f t="shared" si="39"/>
        <v>69304.59</v>
      </c>
      <c r="P41" s="357">
        <f t="shared" si="40"/>
        <v>5.893849563849151E-2</v>
      </c>
    </row>
    <row r="42" spans="1:16" ht="13.5" customHeight="1" x14ac:dyDescent="0.2">
      <c r="A42" s="118" t="s">
        <v>101</v>
      </c>
      <c r="B42" s="116" t="s">
        <v>290</v>
      </c>
      <c r="C42" s="112" t="s">
        <v>103</v>
      </c>
      <c r="D42" s="109" t="s">
        <v>153</v>
      </c>
      <c r="E42" s="261">
        <f>'8 - Quantitativo - Final'!E36</f>
        <v>1611.36</v>
      </c>
      <c r="F42" s="350">
        <v>3.25</v>
      </c>
      <c r="G42" s="111">
        <f t="shared" si="32"/>
        <v>5236.92</v>
      </c>
      <c r="H42" s="111">
        <f t="shared" si="33"/>
        <v>3.94</v>
      </c>
      <c r="I42" s="111">
        <f t="shared" si="34"/>
        <v>6348.75</v>
      </c>
      <c r="J42" s="357">
        <f t="shared" si="35"/>
        <v>5.4450460055892949E-3</v>
      </c>
      <c r="K42" s="110">
        <f t="shared" si="36"/>
        <v>1611.36</v>
      </c>
      <c r="L42" s="144">
        <v>2.96</v>
      </c>
      <c r="M42" s="111">
        <f t="shared" si="37"/>
        <v>4769.62</v>
      </c>
      <c r="N42" s="111">
        <f t="shared" si="38"/>
        <v>3.76</v>
      </c>
      <c r="O42" s="111">
        <f t="shared" si="39"/>
        <v>6058.71</v>
      </c>
      <c r="P42" s="357">
        <f t="shared" si="40"/>
        <v>5.1524906634594463E-3</v>
      </c>
    </row>
    <row r="43" spans="1:16" ht="15" hidden="1" customHeight="1" x14ac:dyDescent="0.2">
      <c r="A43" s="118" t="s">
        <v>104</v>
      </c>
      <c r="B43" s="116" t="s">
        <v>291</v>
      </c>
      <c r="C43" s="112" t="s">
        <v>105</v>
      </c>
      <c r="D43" s="109" t="s">
        <v>153</v>
      </c>
      <c r="E43" s="261">
        <v>0</v>
      </c>
      <c r="F43" s="350">
        <v>8.58</v>
      </c>
      <c r="G43" s="111">
        <f t="shared" si="32"/>
        <v>0</v>
      </c>
      <c r="H43" s="111">
        <f t="shared" si="33"/>
        <v>10.4</v>
      </c>
      <c r="I43" s="111">
        <f t="shared" si="34"/>
        <v>0</v>
      </c>
      <c r="J43" s="357">
        <f t="shared" si="35"/>
        <v>0</v>
      </c>
      <c r="K43" s="110">
        <f t="shared" si="36"/>
        <v>0</v>
      </c>
      <c r="L43" s="144">
        <f t="shared" si="41"/>
        <v>8.58</v>
      </c>
      <c r="M43" s="111">
        <f t="shared" si="37"/>
        <v>0</v>
      </c>
      <c r="N43" s="111">
        <f t="shared" si="38"/>
        <v>10.91</v>
      </c>
      <c r="O43" s="111">
        <f t="shared" si="39"/>
        <v>0</v>
      </c>
      <c r="P43" s="357">
        <f t="shared" si="40"/>
        <v>0</v>
      </c>
    </row>
    <row r="44" spans="1:16" ht="15" customHeight="1" x14ac:dyDescent="0.2">
      <c r="A44" s="118" t="s">
        <v>104</v>
      </c>
      <c r="B44" s="143" t="s">
        <v>292</v>
      </c>
      <c r="C44" s="112" t="s">
        <v>266</v>
      </c>
      <c r="D44" s="109" t="s">
        <v>153</v>
      </c>
      <c r="E44" s="261">
        <v>1611.36</v>
      </c>
      <c r="F44" s="350">
        <v>9.31</v>
      </c>
      <c r="G44" s="111">
        <f t="shared" si="32"/>
        <v>15001.76</v>
      </c>
      <c r="H44" s="111">
        <f t="shared" si="33"/>
        <v>11.28</v>
      </c>
      <c r="I44" s="111">
        <f t="shared" si="34"/>
        <v>18176.14</v>
      </c>
      <c r="J44" s="357">
        <f t="shared" si="35"/>
        <v>1.5588882615322985E-2</v>
      </c>
      <c r="K44" s="110">
        <f t="shared" si="36"/>
        <v>1611.36</v>
      </c>
      <c r="L44" s="144">
        <v>8.69</v>
      </c>
      <c r="M44" s="111">
        <f t="shared" si="37"/>
        <v>14002.71</v>
      </c>
      <c r="N44" s="111">
        <f t="shared" si="38"/>
        <v>11.05</v>
      </c>
      <c r="O44" s="111">
        <f t="shared" si="39"/>
        <v>17805.52</v>
      </c>
      <c r="P44" s="357">
        <f t="shared" si="40"/>
        <v>1.5142295234140674E-2</v>
      </c>
    </row>
    <row r="45" spans="1:16" ht="15" customHeight="1" x14ac:dyDescent="0.2">
      <c r="A45" s="118" t="s">
        <v>106</v>
      </c>
      <c r="B45" s="143" t="s">
        <v>293</v>
      </c>
      <c r="C45" s="112" t="s">
        <v>108</v>
      </c>
      <c r="D45" s="109" t="s">
        <v>153</v>
      </c>
      <c r="E45" s="261">
        <f>'8 - Quantitativo - Final'!E39</f>
        <v>537.12</v>
      </c>
      <c r="F45" s="350">
        <v>4.87</v>
      </c>
      <c r="G45" s="111">
        <f t="shared" si="32"/>
        <v>2615.77</v>
      </c>
      <c r="H45" s="111">
        <f t="shared" si="33"/>
        <v>5.9</v>
      </c>
      <c r="I45" s="111">
        <f t="shared" si="34"/>
        <v>3169</v>
      </c>
      <c r="J45" s="357">
        <f t="shared" si="35"/>
        <v>2.7179130996987555E-3</v>
      </c>
      <c r="K45" s="110">
        <f t="shared" si="36"/>
        <v>537.12</v>
      </c>
      <c r="L45" s="144">
        <v>4.4400000000000004</v>
      </c>
      <c r="M45" s="111">
        <f t="shared" si="37"/>
        <v>2384.81</v>
      </c>
      <c r="N45" s="111">
        <f t="shared" si="38"/>
        <v>5.64</v>
      </c>
      <c r="O45" s="111">
        <f t="shared" si="39"/>
        <v>3029.35</v>
      </c>
      <c r="P45" s="357">
        <f t="shared" si="40"/>
        <v>2.5762410795946451E-3</v>
      </c>
    </row>
    <row r="46" spans="1:16" ht="15" hidden="1" customHeight="1" x14ac:dyDescent="0.2">
      <c r="A46" s="118" t="s">
        <v>109</v>
      </c>
      <c r="B46" s="116" t="s">
        <v>294</v>
      </c>
      <c r="C46" s="112" t="s">
        <v>110</v>
      </c>
      <c r="D46" s="109" t="s">
        <v>153</v>
      </c>
      <c r="E46" s="261">
        <v>0</v>
      </c>
      <c r="F46" s="350">
        <v>8.73</v>
      </c>
      <c r="G46" s="111">
        <f t="shared" si="32"/>
        <v>0</v>
      </c>
      <c r="H46" s="111">
        <f t="shared" si="33"/>
        <v>10.58</v>
      </c>
      <c r="I46" s="111">
        <f t="shared" si="34"/>
        <v>0</v>
      </c>
      <c r="J46" s="357">
        <f t="shared" si="35"/>
        <v>0</v>
      </c>
      <c r="K46" s="110">
        <f t="shared" si="36"/>
        <v>0</v>
      </c>
      <c r="L46" s="144">
        <f t="shared" si="41"/>
        <v>8.73</v>
      </c>
      <c r="M46" s="111">
        <f t="shared" si="37"/>
        <v>0</v>
      </c>
      <c r="N46" s="111">
        <f t="shared" si="38"/>
        <v>11.1</v>
      </c>
      <c r="O46" s="111">
        <f t="shared" si="39"/>
        <v>0</v>
      </c>
      <c r="P46" s="357">
        <f t="shared" si="40"/>
        <v>0</v>
      </c>
    </row>
    <row r="47" spans="1:16" ht="15" customHeight="1" x14ac:dyDescent="0.2">
      <c r="A47" s="118" t="s">
        <v>107</v>
      </c>
      <c r="B47" s="143" t="s">
        <v>295</v>
      </c>
      <c r="C47" s="112" t="s">
        <v>112</v>
      </c>
      <c r="D47" s="109" t="s">
        <v>153</v>
      </c>
      <c r="E47" s="261">
        <v>537.12</v>
      </c>
      <c r="F47" s="350">
        <v>12.09</v>
      </c>
      <c r="G47" s="111">
        <f t="shared" si="32"/>
        <v>6493.78</v>
      </c>
      <c r="H47" s="111">
        <f t="shared" si="33"/>
        <v>14.66</v>
      </c>
      <c r="I47" s="111">
        <f t="shared" si="34"/>
        <v>7874.17</v>
      </c>
      <c r="J47" s="357">
        <f t="shared" si="35"/>
        <v>6.7533322159214109E-3</v>
      </c>
      <c r="K47" s="110">
        <f t="shared" si="36"/>
        <v>537.12</v>
      </c>
      <c r="L47" s="144">
        <v>11.17</v>
      </c>
      <c r="M47" s="111">
        <f t="shared" si="37"/>
        <v>5999.63</v>
      </c>
      <c r="N47" s="111">
        <f t="shared" si="38"/>
        <v>14.21</v>
      </c>
      <c r="O47" s="111">
        <f t="shared" si="39"/>
        <v>7632.47</v>
      </c>
      <c r="P47" s="357">
        <f t="shared" si="40"/>
        <v>6.4908586834712869E-3</v>
      </c>
    </row>
    <row r="48" spans="1:16" ht="14.25" customHeight="1" x14ac:dyDescent="0.2">
      <c r="A48" s="118" t="s">
        <v>109</v>
      </c>
      <c r="B48" s="116" t="s">
        <v>296</v>
      </c>
      <c r="C48" s="112" t="s">
        <v>114</v>
      </c>
      <c r="D48" s="109" t="s">
        <v>153</v>
      </c>
      <c r="E48" s="261">
        <f>'8 - Quantitativo - Final'!E42</f>
        <v>1008</v>
      </c>
      <c r="F48" s="350">
        <v>12.18</v>
      </c>
      <c r="G48" s="111">
        <f t="shared" si="32"/>
        <v>12277.44</v>
      </c>
      <c r="H48" s="111">
        <f t="shared" si="33"/>
        <v>14.76</v>
      </c>
      <c r="I48" s="111">
        <f t="shared" si="34"/>
        <v>14878.08</v>
      </c>
      <c r="J48" s="357">
        <f t="shared" si="35"/>
        <v>1.2760280381939432E-2</v>
      </c>
      <c r="K48" s="110">
        <f t="shared" si="36"/>
        <v>1008</v>
      </c>
      <c r="L48" s="144">
        <v>11.1</v>
      </c>
      <c r="M48" s="111">
        <f t="shared" si="37"/>
        <v>11188.8</v>
      </c>
      <c r="N48" s="111">
        <f t="shared" si="38"/>
        <v>14.12</v>
      </c>
      <c r="O48" s="111">
        <f t="shared" si="39"/>
        <v>14232.96</v>
      </c>
      <c r="P48" s="357">
        <f t="shared" si="40"/>
        <v>1.2104093695422253E-2</v>
      </c>
    </row>
    <row r="49" spans="1:16" ht="15" hidden="1" customHeight="1" x14ac:dyDescent="0.2">
      <c r="A49" s="118" t="s">
        <v>113</v>
      </c>
      <c r="B49" s="116" t="s">
        <v>297</v>
      </c>
      <c r="C49" s="112" t="s">
        <v>115</v>
      </c>
      <c r="D49" s="109" t="s">
        <v>153</v>
      </c>
      <c r="E49" s="261">
        <v>0</v>
      </c>
      <c r="F49" s="350">
        <v>26.91</v>
      </c>
      <c r="G49" s="111">
        <f t="shared" si="32"/>
        <v>0</v>
      </c>
      <c r="H49" s="111">
        <f t="shared" si="33"/>
        <v>32.630000000000003</v>
      </c>
      <c r="I49" s="111">
        <f t="shared" si="34"/>
        <v>0</v>
      </c>
      <c r="J49" s="357">
        <f t="shared" si="35"/>
        <v>0</v>
      </c>
      <c r="K49" s="110">
        <f t="shared" si="36"/>
        <v>0</v>
      </c>
      <c r="L49" s="144">
        <f t="shared" si="41"/>
        <v>26.91</v>
      </c>
      <c r="M49" s="111">
        <f t="shared" si="37"/>
        <v>0</v>
      </c>
      <c r="N49" s="111">
        <f t="shared" si="38"/>
        <v>34.229999999999997</v>
      </c>
      <c r="O49" s="111">
        <f t="shared" si="39"/>
        <v>0</v>
      </c>
      <c r="P49" s="357">
        <f t="shared" si="40"/>
        <v>0</v>
      </c>
    </row>
    <row r="50" spans="1:16" ht="15" customHeight="1" x14ac:dyDescent="0.2">
      <c r="A50" s="118" t="s">
        <v>111</v>
      </c>
      <c r="B50" s="116" t="s">
        <v>298</v>
      </c>
      <c r="C50" s="113" t="s">
        <v>116</v>
      </c>
      <c r="D50" s="114" t="s">
        <v>153</v>
      </c>
      <c r="E50" s="261">
        <v>1008</v>
      </c>
      <c r="F50" s="350">
        <v>30.22</v>
      </c>
      <c r="G50" s="111">
        <f t="shared" si="32"/>
        <v>30461.759999999998</v>
      </c>
      <c r="H50" s="111">
        <f t="shared" si="33"/>
        <v>36.64</v>
      </c>
      <c r="I50" s="111">
        <f t="shared" si="34"/>
        <v>36933.120000000003</v>
      </c>
      <c r="J50" s="357">
        <f t="shared" si="35"/>
        <v>3.1675926368174852E-2</v>
      </c>
      <c r="K50" s="110">
        <f t="shared" si="36"/>
        <v>1008</v>
      </c>
      <c r="L50" s="144">
        <v>27.91</v>
      </c>
      <c r="M50" s="111">
        <f t="shared" si="37"/>
        <v>28133.279999999999</v>
      </c>
      <c r="N50" s="111">
        <f t="shared" si="38"/>
        <v>35.5</v>
      </c>
      <c r="O50" s="111">
        <f t="shared" si="39"/>
        <v>35784</v>
      </c>
      <c r="P50" s="357">
        <f t="shared" si="40"/>
        <v>3.043168032489306E-2</v>
      </c>
    </row>
    <row r="51" spans="1:16" ht="14.25" customHeight="1" x14ac:dyDescent="0.2">
      <c r="A51" s="118" t="s">
        <v>348</v>
      </c>
      <c r="B51" s="116" t="s">
        <v>299</v>
      </c>
      <c r="C51" s="113" t="s">
        <v>117</v>
      </c>
      <c r="D51" s="114" t="s">
        <v>153</v>
      </c>
      <c r="E51" s="261">
        <f>'8 - Quantitativo - Final'!E45</f>
        <v>504</v>
      </c>
      <c r="F51" s="350">
        <v>12.18</v>
      </c>
      <c r="G51" s="111">
        <f t="shared" si="32"/>
        <v>6138.72</v>
      </c>
      <c r="H51" s="111">
        <f t="shared" si="33"/>
        <v>14.76</v>
      </c>
      <c r="I51" s="111">
        <f t="shared" si="34"/>
        <v>7439.04</v>
      </c>
      <c r="J51" s="357">
        <f t="shared" si="35"/>
        <v>6.380140190969716E-3</v>
      </c>
      <c r="K51" s="110">
        <f t="shared" si="36"/>
        <v>504</v>
      </c>
      <c r="L51" s="144">
        <v>11.1</v>
      </c>
      <c r="M51" s="111">
        <f t="shared" si="37"/>
        <v>5594.4</v>
      </c>
      <c r="N51" s="111">
        <f t="shared" si="38"/>
        <v>14.12</v>
      </c>
      <c r="O51" s="111">
        <f t="shared" si="39"/>
        <v>7116.48</v>
      </c>
      <c r="P51" s="357">
        <f t="shared" si="40"/>
        <v>6.0520468477111263E-3</v>
      </c>
    </row>
    <row r="52" spans="1:16" ht="0.75" customHeight="1" x14ac:dyDescent="0.2">
      <c r="A52" s="118"/>
      <c r="B52" s="116" t="s">
        <v>300</v>
      </c>
      <c r="C52" s="113" t="s">
        <v>118</v>
      </c>
      <c r="D52" s="114" t="s">
        <v>153</v>
      </c>
      <c r="E52" s="261">
        <v>0</v>
      </c>
      <c r="F52" s="350">
        <v>26.91</v>
      </c>
      <c r="G52" s="111">
        <f t="shared" si="32"/>
        <v>0</v>
      </c>
      <c r="H52" s="111">
        <f t="shared" si="33"/>
        <v>32.630000000000003</v>
      </c>
      <c r="I52" s="111">
        <f t="shared" si="34"/>
        <v>0</v>
      </c>
      <c r="J52" s="357">
        <f t="shared" si="35"/>
        <v>0</v>
      </c>
      <c r="K52" s="110">
        <f t="shared" si="36"/>
        <v>0</v>
      </c>
      <c r="L52" s="144">
        <f t="shared" si="41"/>
        <v>26.91</v>
      </c>
      <c r="M52" s="111">
        <f t="shared" si="37"/>
        <v>0</v>
      </c>
      <c r="N52" s="111">
        <f t="shared" si="38"/>
        <v>34.229999999999997</v>
      </c>
      <c r="O52" s="111">
        <f t="shared" si="39"/>
        <v>0</v>
      </c>
      <c r="P52" s="357">
        <f t="shared" si="40"/>
        <v>0</v>
      </c>
    </row>
    <row r="53" spans="1:16" ht="15" customHeight="1" x14ac:dyDescent="0.2">
      <c r="A53" s="118" t="s">
        <v>113</v>
      </c>
      <c r="B53" s="116" t="s">
        <v>301</v>
      </c>
      <c r="C53" s="113" t="s">
        <v>119</v>
      </c>
      <c r="D53" s="114" t="s">
        <v>153</v>
      </c>
      <c r="E53" s="261">
        <v>504</v>
      </c>
      <c r="F53" s="350">
        <v>30.22</v>
      </c>
      <c r="G53" s="111">
        <f t="shared" si="32"/>
        <v>15230.88</v>
      </c>
      <c r="H53" s="111">
        <f t="shared" si="33"/>
        <v>36.64</v>
      </c>
      <c r="I53" s="111">
        <f t="shared" si="34"/>
        <v>18466.560000000001</v>
      </c>
      <c r="J53" s="357">
        <f t="shared" si="35"/>
        <v>1.5837963184087426E-2</v>
      </c>
      <c r="K53" s="110">
        <f t="shared" si="36"/>
        <v>504</v>
      </c>
      <c r="L53" s="144">
        <v>27.91</v>
      </c>
      <c r="M53" s="111">
        <f t="shared" si="37"/>
        <v>14066.64</v>
      </c>
      <c r="N53" s="111">
        <f t="shared" si="38"/>
        <v>35.5</v>
      </c>
      <c r="O53" s="111">
        <f t="shared" si="39"/>
        <v>17892</v>
      </c>
      <c r="P53" s="357">
        <f t="shared" si="40"/>
        <v>1.521584016244653E-2</v>
      </c>
    </row>
    <row r="54" spans="1:16" ht="15" customHeight="1" x14ac:dyDescent="0.2">
      <c r="A54" s="632" t="s">
        <v>302</v>
      </c>
      <c r="B54" s="633"/>
      <c r="C54" s="633"/>
      <c r="D54" s="634"/>
      <c r="E54" s="353"/>
      <c r="F54" s="354"/>
      <c r="G54" s="104">
        <f>SUM(G39:G53)</f>
        <v>171779.86000000002</v>
      </c>
      <c r="H54" s="352"/>
      <c r="I54" s="104">
        <f>SUM(I39:I53)</f>
        <v>208223.49</v>
      </c>
      <c r="J54" s="337"/>
      <c r="K54" s="359"/>
      <c r="L54" s="354"/>
      <c r="M54" s="274">
        <f>SUM(,M48:M53,M39:M47)</f>
        <v>158903.53</v>
      </c>
      <c r="N54" s="274"/>
      <c r="O54" s="274">
        <f>SUM(,O48:O53,O39:O47)</f>
        <v>202081.13999999998</v>
      </c>
      <c r="P54" s="274"/>
    </row>
    <row r="55" spans="1:16" ht="15" customHeight="1" x14ac:dyDescent="0.2">
      <c r="A55" s="632"/>
      <c r="B55" s="633"/>
      <c r="C55" s="633"/>
      <c r="D55" s="633"/>
      <c r="E55" s="633"/>
      <c r="F55" s="633"/>
      <c r="G55" s="633"/>
      <c r="H55" s="633"/>
      <c r="I55" s="633"/>
      <c r="J55" s="633"/>
      <c r="K55" s="633"/>
      <c r="L55" s="633"/>
      <c r="M55" s="633"/>
      <c r="N55" s="633"/>
      <c r="O55" s="633"/>
      <c r="P55" s="634"/>
    </row>
    <row r="56" spans="1:16" ht="15" customHeight="1" x14ac:dyDescent="0.2">
      <c r="A56" s="375" t="s">
        <v>514</v>
      </c>
      <c r="B56" s="378"/>
      <c r="C56" s="649" t="s">
        <v>161</v>
      </c>
      <c r="D56" s="650"/>
      <c r="E56" s="650"/>
      <c r="F56" s="650"/>
      <c r="G56" s="650"/>
      <c r="H56" s="650"/>
      <c r="I56" s="650"/>
      <c r="J56" s="650"/>
      <c r="K56" s="650"/>
      <c r="L56" s="650"/>
      <c r="M56" s="650"/>
      <c r="N56" s="650"/>
      <c r="O56" s="650"/>
      <c r="P56" s="651"/>
    </row>
    <row r="57" spans="1:16" ht="15" customHeight="1" x14ac:dyDescent="0.2">
      <c r="A57" s="116" t="s">
        <v>120</v>
      </c>
      <c r="B57" s="116">
        <v>4805757</v>
      </c>
      <c r="C57" s="113" t="s">
        <v>162</v>
      </c>
      <c r="D57" s="114" t="s">
        <v>158</v>
      </c>
      <c r="E57" s="261">
        <f>'8 - Quantitativo - Final'!E50</f>
        <v>352.8</v>
      </c>
      <c r="F57" s="350">
        <v>6.9</v>
      </c>
      <c r="G57" s="111">
        <f t="shared" ref="G57:G61" si="42">TRUNC(E57*F57,2)</f>
        <v>2434.3200000000002</v>
      </c>
      <c r="H57" s="111">
        <f t="shared" ref="H57:H61" si="43">TRUNC(F57*(1+$I$9),2)</f>
        <v>8.36</v>
      </c>
      <c r="I57" s="111">
        <f t="shared" ref="I57:I61" si="44">TRUNC(E57*H57,2)</f>
        <v>2949.4</v>
      </c>
      <c r="J57" s="357">
        <f t="shared" ref="J57:J61" si="45">I57/$I$108</f>
        <v>2.5295717564693941E-3</v>
      </c>
      <c r="K57" s="110">
        <f t="shared" ref="K57:K61" si="46">E57</f>
        <v>352.8</v>
      </c>
      <c r="L57" s="144">
        <v>6.71</v>
      </c>
      <c r="M57" s="111">
        <f t="shared" ref="M57:M61" si="47">TRUNC(K57*L57,2)</f>
        <v>2367.2800000000002</v>
      </c>
      <c r="N57" s="111">
        <f t="shared" ref="N57:N61" si="48">TRUNC(L57*(1+$O$9),2)</f>
        <v>8.5299999999999994</v>
      </c>
      <c r="O57" s="111">
        <f t="shared" ref="O57:O61" si="49">TRUNC(K57*N57,2)</f>
        <v>3009.38</v>
      </c>
      <c r="P57" s="357">
        <f t="shared" ref="P57:P61" si="50">O57/$O$108</f>
        <v>2.5592580520938596E-3</v>
      </c>
    </row>
    <row r="58" spans="1:16" ht="15" customHeight="1" x14ac:dyDescent="0.2">
      <c r="A58" s="116" t="s">
        <v>121</v>
      </c>
      <c r="B58" s="116">
        <v>4915671</v>
      </c>
      <c r="C58" s="113" t="s">
        <v>163</v>
      </c>
      <c r="D58" s="114" t="s">
        <v>158</v>
      </c>
      <c r="E58" s="261">
        <f>'8 - Quantitativo - Final'!E51</f>
        <v>352.8</v>
      </c>
      <c r="F58" s="350">
        <v>16.43</v>
      </c>
      <c r="G58" s="111">
        <f t="shared" si="42"/>
        <v>5796.5</v>
      </c>
      <c r="H58" s="111">
        <f t="shared" si="43"/>
        <v>19.920000000000002</v>
      </c>
      <c r="I58" s="111">
        <f t="shared" si="44"/>
        <v>7027.77</v>
      </c>
      <c r="J58" s="357">
        <f t="shared" si="45"/>
        <v>6.027411847481832E-3</v>
      </c>
      <c r="K58" s="110">
        <f t="shared" si="46"/>
        <v>352.8</v>
      </c>
      <c r="L58" s="144">
        <v>15.29</v>
      </c>
      <c r="M58" s="111">
        <f t="shared" si="47"/>
        <v>5394.31</v>
      </c>
      <c r="N58" s="111">
        <f t="shared" si="48"/>
        <v>19.45</v>
      </c>
      <c r="O58" s="111">
        <f t="shared" si="49"/>
        <v>6861.96</v>
      </c>
      <c r="P58" s="357">
        <f t="shared" si="50"/>
        <v>5.8355961637101264E-3</v>
      </c>
    </row>
    <row r="59" spans="1:16" ht="24" x14ac:dyDescent="0.2">
      <c r="A59" s="116" t="s">
        <v>122</v>
      </c>
      <c r="B59" s="116" t="s">
        <v>311</v>
      </c>
      <c r="C59" s="113" t="s">
        <v>164</v>
      </c>
      <c r="D59" s="114" t="s">
        <v>151</v>
      </c>
      <c r="E59" s="261">
        <f>'8 - Quantitativo - Final'!E52</f>
        <v>352.8</v>
      </c>
      <c r="F59" s="350">
        <v>34.93</v>
      </c>
      <c r="G59" s="111">
        <f t="shared" si="42"/>
        <v>12323.3</v>
      </c>
      <c r="H59" s="111">
        <f t="shared" si="43"/>
        <v>42.35</v>
      </c>
      <c r="I59" s="111">
        <f t="shared" si="44"/>
        <v>14941.08</v>
      </c>
      <c r="J59" s="357">
        <f t="shared" si="45"/>
        <v>1.2814312734505234E-2</v>
      </c>
      <c r="K59" s="110">
        <f t="shared" si="46"/>
        <v>352.8</v>
      </c>
      <c r="L59" s="144">
        <v>31.84</v>
      </c>
      <c r="M59" s="111">
        <f t="shared" si="47"/>
        <v>11233.15</v>
      </c>
      <c r="N59" s="111">
        <f t="shared" si="48"/>
        <v>40.51</v>
      </c>
      <c r="O59" s="111">
        <f t="shared" si="49"/>
        <v>14291.92</v>
      </c>
      <c r="P59" s="357">
        <f t="shared" si="50"/>
        <v>1.2154234872259825E-2</v>
      </c>
    </row>
    <row r="60" spans="1:16" ht="24" hidden="1" x14ac:dyDescent="0.2">
      <c r="A60" s="116" t="s">
        <v>483</v>
      </c>
      <c r="B60" s="116" t="s">
        <v>312</v>
      </c>
      <c r="C60" s="113" t="s">
        <v>463</v>
      </c>
      <c r="D60" s="114" t="s">
        <v>151</v>
      </c>
      <c r="E60" s="261">
        <v>0</v>
      </c>
      <c r="F60" s="350">
        <v>69.95</v>
      </c>
      <c r="G60" s="111">
        <f t="shared" si="42"/>
        <v>0</v>
      </c>
      <c r="H60" s="111">
        <f t="shared" si="43"/>
        <v>84.82</v>
      </c>
      <c r="I60" s="111">
        <f t="shared" si="44"/>
        <v>0</v>
      </c>
      <c r="J60" s="357">
        <f t="shared" si="45"/>
        <v>0</v>
      </c>
      <c r="K60" s="110">
        <f t="shared" si="46"/>
        <v>0</v>
      </c>
      <c r="L60" s="144">
        <f t="shared" ref="L60" si="51">F60</f>
        <v>69.95</v>
      </c>
      <c r="M60" s="111">
        <f t="shared" si="47"/>
        <v>0</v>
      </c>
      <c r="N60" s="111">
        <f t="shared" si="48"/>
        <v>88.99</v>
      </c>
      <c r="O60" s="111">
        <f t="shared" si="49"/>
        <v>0</v>
      </c>
      <c r="P60" s="357">
        <f t="shared" si="50"/>
        <v>0</v>
      </c>
    </row>
    <row r="61" spans="1:16" ht="24" x14ac:dyDescent="0.2">
      <c r="A61" s="143" t="s">
        <v>483</v>
      </c>
      <c r="B61" s="143" t="s">
        <v>313</v>
      </c>
      <c r="C61" s="113" t="s">
        <v>259</v>
      </c>
      <c r="D61" s="114" t="s">
        <v>151</v>
      </c>
      <c r="E61" s="261">
        <v>352.8</v>
      </c>
      <c r="F61" s="350">
        <v>93.66</v>
      </c>
      <c r="G61" s="111">
        <f t="shared" si="42"/>
        <v>33043.24</v>
      </c>
      <c r="H61" s="111">
        <f t="shared" si="43"/>
        <v>113.57</v>
      </c>
      <c r="I61" s="111">
        <f t="shared" si="44"/>
        <v>40067.49</v>
      </c>
      <c r="J61" s="357">
        <f t="shared" si="45"/>
        <v>3.4364138827090218E-2</v>
      </c>
      <c r="K61" s="110">
        <f t="shared" si="46"/>
        <v>352.8</v>
      </c>
      <c r="L61" s="144">
        <v>87.13</v>
      </c>
      <c r="M61" s="111">
        <f t="shared" si="47"/>
        <v>30739.46</v>
      </c>
      <c r="N61" s="111">
        <f t="shared" si="48"/>
        <v>110.85</v>
      </c>
      <c r="O61" s="111">
        <f t="shared" si="49"/>
        <v>39107.879999999997</v>
      </c>
      <c r="P61" s="357">
        <f t="shared" si="50"/>
        <v>3.325839767338136E-2</v>
      </c>
    </row>
    <row r="62" spans="1:16" ht="15" customHeight="1" x14ac:dyDescent="0.2">
      <c r="A62" s="632" t="s">
        <v>303</v>
      </c>
      <c r="B62" s="633"/>
      <c r="C62" s="633"/>
      <c r="D62" s="634"/>
      <c r="E62" s="353"/>
      <c r="F62" s="354"/>
      <c r="G62" s="104">
        <f>SUM(G57:G61)</f>
        <v>53597.36</v>
      </c>
      <c r="H62" s="352"/>
      <c r="I62" s="104">
        <f>SUM(I57:I61)</f>
        <v>64985.74</v>
      </c>
      <c r="J62" s="337"/>
      <c r="K62" s="359"/>
      <c r="L62" s="354"/>
      <c r="M62" s="274">
        <f>SUM(M57:M61)</f>
        <v>49734.2</v>
      </c>
      <c r="N62" s="274"/>
      <c r="O62" s="274">
        <f>SUM(O57:O61)</f>
        <v>63271.14</v>
      </c>
      <c r="P62" s="274"/>
    </row>
    <row r="63" spans="1:16" ht="15" customHeight="1" x14ac:dyDescent="0.2">
      <c r="A63" s="628"/>
      <c r="B63" s="628"/>
      <c r="C63" s="628"/>
      <c r="D63" s="628"/>
      <c r="E63" s="628"/>
      <c r="F63" s="628"/>
      <c r="G63" s="628"/>
      <c r="H63" s="628"/>
      <c r="I63" s="628"/>
      <c r="J63" s="628"/>
      <c r="K63" s="628"/>
      <c r="L63" s="628"/>
      <c r="M63" s="628"/>
      <c r="N63" s="628"/>
      <c r="O63" s="628"/>
      <c r="P63" s="628"/>
    </row>
    <row r="64" spans="1:16" ht="15" customHeight="1" x14ac:dyDescent="0.2">
      <c r="A64" s="375" t="s">
        <v>515</v>
      </c>
      <c r="B64" s="378"/>
      <c r="C64" s="649" t="s">
        <v>165</v>
      </c>
      <c r="D64" s="650"/>
      <c r="E64" s="650"/>
      <c r="F64" s="650"/>
      <c r="G64" s="650"/>
      <c r="H64" s="650"/>
      <c r="I64" s="650"/>
      <c r="J64" s="650"/>
      <c r="K64" s="650"/>
      <c r="L64" s="650"/>
      <c r="M64" s="650"/>
      <c r="N64" s="650"/>
      <c r="O64" s="650"/>
      <c r="P64" s="651"/>
    </row>
    <row r="65" spans="1:16" ht="24" x14ac:dyDescent="0.2">
      <c r="A65" s="116" t="s">
        <v>330</v>
      </c>
      <c r="B65" s="116">
        <v>3816197</v>
      </c>
      <c r="C65" s="113" t="s">
        <v>166</v>
      </c>
      <c r="D65" s="114" t="s">
        <v>158</v>
      </c>
      <c r="E65" s="261">
        <f>'8 - Quantitativo - Final'!E57</f>
        <v>136.209</v>
      </c>
      <c r="F65" s="350">
        <v>60.9</v>
      </c>
      <c r="G65" s="111">
        <f t="shared" ref="G65:G67" si="52">TRUNC(E65*F65,2)</f>
        <v>8295.1200000000008</v>
      </c>
      <c r="H65" s="111">
        <f t="shared" ref="H65:H67" si="53">TRUNC(F65*(1+$I$9),2)</f>
        <v>73.84</v>
      </c>
      <c r="I65" s="111">
        <f t="shared" ref="I65:I67" si="54">TRUNC(E65*H65,2)</f>
        <v>10057.67</v>
      </c>
      <c r="J65" s="357">
        <f t="shared" ref="J65:J67" si="55">I65/$I$108</f>
        <v>8.6260249433408598E-3</v>
      </c>
      <c r="K65" s="110">
        <f t="shared" ref="K65:K67" si="56">E65</f>
        <v>136.209</v>
      </c>
      <c r="L65" s="144">
        <v>58.7</v>
      </c>
      <c r="M65" s="111">
        <f t="shared" ref="M65:M67" si="57">TRUNC(K65*L65,2)</f>
        <v>7995.46</v>
      </c>
      <c r="N65" s="111">
        <f t="shared" ref="N65:N67" si="58">TRUNC(L65*(1+$O$9),2)</f>
        <v>74.680000000000007</v>
      </c>
      <c r="O65" s="111">
        <f t="shared" ref="O65:O67" si="59">TRUNC(K65*N65,2)</f>
        <v>10172.08</v>
      </c>
      <c r="P65" s="357">
        <f t="shared" ref="P65:P67" si="60">O65/$O$108</f>
        <v>8.65061163646429E-3</v>
      </c>
    </row>
    <row r="66" spans="1:16" ht="15" customHeight="1" x14ac:dyDescent="0.2">
      <c r="A66" s="143" t="s">
        <v>331</v>
      </c>
      <c r="B66" s="143" t="s">
        <v>314</v>
      </c>
      <c r="C66" s="113" t="s">
        <v>167</v>
      </c>
      <c r="D66" s="114" t="s">
        <v>151</v>
      </c>
      <c r="E66" s="261">
        <f>'8 - Quantitativo - Final'!E58</f>
        <v>4987.2359999999999</v>
      </c>
      <c r="F66" s="351">
        <v>19.53</v>
      </c>
      <c r="G66" s="111">
        <f t="shared" si="52"/>
        <v>97400.71</v>
      </c>
      <c r="H66" s="111">
        <f t="shared" si="53"/>
        <v>23.68</v>
      </c>
      <c r="I66" s="111">
        <f t="shared" si="54"/>
        <v>118097.74</v>
      </c>
      <c r="J66" s="357">
        <f t="shared" si="55"/>
        <v>0.10128728134768625</v>
      </c>
      <c r="K66" s="110">
        <f t="shared" si="56"/>
        <v>4987.2359999999999</v>
      </c>
      <c r="L66" s="144">
        <v>17.66</v>
      </c>
      <c r="M66" s="111">
        <f t="shared" si="57"/>
        <v>88074.58</v>
      </c>
      <c r="N66" s="111">
        <f t="shared" si="58"/>
        <v>22.46</v>
      </c>
      <c r="O66" s="111">
        <f t="shared" si="59"/>
        <v>112013.32</v>
      </c>
      <c r="P66" s="357">
        <f t="shared" si="60"/>
        <v>9.5259153430861568E-2</v>
      </c>
    </row>
    <row r="67" spans="1:16" ht="15" customHeight="1" x14ac:dyDescent="0.2">
      <c r="A67" s="116" t="s">
        <v>332</v>
      </c>
      <c r="B67" s="116" t="s">
        <v>315</v>
      </c>
      <c r="C67" s="113" t="s">
        <v>168</v>
      </c>
      <c r="D67" s="114" t="s">
        <v>157</v>
      </c>
      <c r="E67" s="261">
        <f>'8 - Quantitativo - Final'!E59</f>
        <v>4926.4440000000004</v>
      </c>
      <c r="F67" s="350">
        <v>5.38</v>
      </c>
      <c r="G67" s="111">
        <f t="shared" si="52"/>
        <v>26504.26</v>
      </c>
      <c r="H67" s="111">
        <f t="shared" si="53"/>
        <v>6.52</v>
      </c>
      <c r="I67" s="111">
        <f t="shared" si="54"/>
        <v>32120.41</v>
      </c>
      <c r="J67" s="357">
        <f t="shared" si="55"/>
        <v>2.7548274883778767E-2</v>
      </c>
      <c r="K67" s="110">
        <f t="shared" si="56"/>
        <v>4926.4440000000004</v>
      </c>
      <c r="L67" s="144">
        <v>4.92</v>
      </c>
      <c r="M67" s="111">
        <f t="shared" si="57"/>
        <v>24238.1</v>
      </c>
      <c r="N67" s="111">
        <f t="shared" si="58"/>
        <v>6.25</v>
      </c>
      <c r="O67" s="111">
        <f t="shared" si="59"/>
        <v>30790.27</v>
      </c>
      <c r="P67" s="357">
        <f t="shared" si="60"/>
        <v>2.6184877424467498E-2</v>
      </c>
    </row>
    <row r="68" spans="1:16" ht="15" customHeight="1" x14ac:dyDescent="0.2">
      <c r="A68" s="632" t="s">
        <v>304</v>
      </c>
      <c r="B68" s="633"/>
      <c r="C68" s="633"/>
      <c r="D68" s="634"/>
      <c r="E68" s="353"/>
      <c r="F68" s="354"/>
      <c r="G68" s="104">
        <f>SUM(G65:G67)</f>
        <v>132200.09</v>
      </c>
      <c r="H68" s="352"/>
      <c r="I68" s="104">
        <f>SUM(I65:I67)</f>
        <v>160275.82</v>
      </c>
      <c r="J68" s="337"/>
      <c r="K68" s="359"/>
      <c r="L68" s="354"/>
      <c r="M68" s="274">
        <f t="shared" ref="M68:O68" si="61">SUM(M65:M67)</f>
        <v>120308.14000000001</v>
      </c>
      <c r="N68" s="274"/>
      <c r="O68" s="274">
        <f t="shared" si="61"/>
        <v>152975.67000000001</v>
      </c>
      <c r="P68" s="274"/>
    </row>
    <row r="69" spans="1:16" ht="15" customHeight="1" x14ac:dyDescent="0.2">
      <c r="A69" s="628"/>
      <c r="B69" s="628"/>
      <c r="C69" s="628"/>
      <c r="D69" s="628"/>
      <c r="E69" s="628"/>
      <c r="F69" s="628"/>
      <c r="G69" s="628"/>
      <c r="H69" s="628"/>
      <c r="I69" s="628"/>
      <c r="J69" s="628"/>
      <c r="K69" s="628"/>
      <c r="L69" s="628"/>
      <c r="M69" s="628"/>
      <c r="N69" s="628"/>
      <c r="O69" s="628"/>
      <c r="P69" s="628"/>
    </row>
    <row r="70" spans="1:16" ht="14.25" customHeight="1" x14ac:dyDescent="0.2">
      <c r="A70" s="375" t="s">
        <v>516</v>
      </c>
      <c r="B70" s="378"/>
      <c r="C70" s="652" t="s">
        <v>169</v>
      </c>
      <c r="D70" s="653"/>
      <c r="E70" s="653"/>
      <c r="F70" s="653"/>
      <c r="G70" s="653"/>
      <c r="H70" s="653"/>
      <c r="I70" s="653"/>
      <c r="J70" s="653"/>
      <c r="K70" s="653"/>
      <c r="L70" s="653"/>
      <c r="M70" s="653"/>
      <c r="N70" s="653"/>
      <c r="O70" s="653"/>
      <c r="P70" s="654"/>
    </row>
    <row r="71" spans="1:16" ht="15" hidden="1" customHeight="1" x14ac:dyDescent="0.2">
      <c r="A71" s="143" t="s">
        <v>123</v>
      </c>
      <c r="B71" s="143" t="s">
        <v>316</v>
      </c>
      <c r="C71" s="115" t="s">
        <v>124</v>
      </c>
      <c r="D71" s="114" t="s">
        <v>158</v>
      </c>
      <c r="E71" s="261">
        <v>0</v>
      </c>
      <c r="F71" s="350">
        <v>5640.92</v>
      </c>
      <c r="G71" s="111">
        <f t="shared" ref="G71:G76" si="62">TRUNC(E71*F71,2)</f>
        <v>0</v>
      </c>
      <c r="H71" s="111">
        <f>TRUNC(F71*(1+$I$10),2)</f>
        <v>6502.28</v>
      </c>
      <c r="I71" s="111">
        <f>TRUNC(E71*H71,2)</f>
        <v>0</v>
      </c>
      <c r="J71" s="357">
        <f t="shared" ref="J71:J76" si="63">I71/$I$108</f>
        <v>0</v>
      </c>
      <c r="K71" s="110">
        <f t="shared" ref="K71:K76" si="64">E71</f>
        <v>0</v>
      </c>
      <c r="L71" s="144">
        <f>F71</f>
        <v>5640.92</v>
      </c>
      <c r="M71" s="111">
        <f t="shared" ref="M71:M76" si="65">TRUNC(K71*L71,2)</f>
        <v>0</v>
      </c>
      <c r="N71" s="111">
        <f>TRUNC(L71*(1+$O$10),2)</f>
        <v>6821</v>
      </c>
      <c r="O71" s="111">
        <f>TRUNC(K71*N71,2)</f>
        <v>0</v>
      </c>
      <c r="P71" s="357">
        <f t="shared" ref="P71:P76" si="66">O71/$O$108</f>
        <v>0</v>
      </c>
    </row>
    <row r="72" spans="1:16" ht="15" customHeight="1" x14ac:dyDescent="0.2">
      <c r="A72" s="143" t="s">
        <v>123</v>
      </c>
      <c r="B72" s="116" t="s">
        <v>317</v>
      </c>
      <c r="C72" s="115" t="s">
        <v>257</v>
      </c>
      <c r="D72" s="114" t="s">
        <v>157</v>
      </c>
      <c r="E72" s="261">
        <f>'8 - Quantitativo - Final'!E63</f>
        <v>2467.4430000000002</v>
      </c>
      <c r="F72" s="350">
        <v>8.7899999999999991</v>
      </c>
      <c r="G72" s="111">
        <f t="shared" si="62"/>
        <v>21688.82</v>
      </c>
      <c r="H72" s="111">
        <f t="shared" ref="H72:H76" si="67">TRUNC(F72*(1+$I$10),2)</f>
        <v>10.130000000000001</v>
      </c>
      <c r="I72" s="111">
        <f t="shared" ref="I72:I76" si="68">TRUNC(E72*H72,2)</f>
        <v>24995.19</v>
      </c>
      <c r="J72" s="357">
        <f t="shared" si="63"/>
        <v>2.1437284421097928E-2</v>
      </c>
      <c r="K72" s="110">
        <f t="shared" si="64"/>
        <v>2467.4430000000002</v>
      </c>
      <c r="L72" s="144">
        <f t="shared" ref="L72:L76" si="69">F72</f>
        <v>8.7899999999999991</v>
      </c>
      <c r="M72" s="111">
        <f t="shared" si="65"/>
        <v>21688.82</v>
      </c>
      <c r="N72" s="111">
        <f t="shared" ref="N72:N76" si="70">TRUNC(L72*(1+$O$10),2)</f>
        <v>10.62</v>
      </c>
      <c r="O72" s="111">
        <f t="shared" ref="O72:O76" si="71">TRUNC(K72*N72,2)</f>
        <v>26204.240000000002</v>
      </c>
      <c r="P72" s="357">
        <f t="shared" si="66"/>
        <v>2.2284793618286825E-2</v>
      </c>
    </row>
    <row r="73" spans="1:16" ht="15" customHeight="1" x14ac:dyDescent="0.2">
      <c r="A73" s="143" t="s">
        <v>484</v>
      </c>
      <c r="B73" s="116" t="s">
        <v>318</v>
      </c>
      <c r="C73" s="115" t="s">
        <v>126</v>
      </c>
      <c r="D73" s="114" t="s">
        <v>157</v>
      </c>
      <c r="E73" s="261">
        <f>'8 - Quantitativo - Final'!E64</f>
        <v>876.88199999999995</v>
      </c>
      <c r="F73" s="350">
        <v>8.7899999999999991</v>
      </c>
      <c r="G73" s="111">
        <f t="shared" si="62"/>
        <v>7707.79</v>
      </c>
      <c r="H73" s="111">
        <f t="shared" si="67"/>
        <v>10.130000000000001</v>
      </c>
      <c r="I73" s="111">
        <f t="shared" si="68"/>
        <v>8882.81</v>
      </c>
      <c r="J73" s="357">
        <f t="shared" si="63"/>
        <v>7.6183987570637747E-3</v>
      </c>
      <c r="K73" s="110">
        <f t="shared" si="64"/>
        <v>876.88199999999995</v>
      </c>
      <c r="L73" s="144">
        <f t="shared" si="69"/>
        <v>8.7899999999999991</v>
      </c>
      <c r="M73" s="111">
        <f t="shared" si="65"/>
        <v>7707.79</v>
      </c>
      <c r="N73" s="111">
        <f t="shared" si="70"/>
        <v>10.62</v>
      </c>
      <c r="O73" s="111">
        <f t="shared" si="71"/>
        <v>9312.48</v>
      </c>
      <c r="P73" s="357">
        <f t="shared" si="66"/>
        <v>7.9195845738866556E-3</v>
      </c>
    </row>
    <row r="74" spans="1:16" ht="15" customHeight="1" x14ac:dyDescent="0.2">
      <c r="A74" s="143" t="s">
        <v>125</v>
      </c>
      <c r="B74" s="116" t="s">
        <v>319</v>
      </c>
      <c r="C74" s="115" t="s">
        <v>27</v>
      </c>
      <c r="D74" s="114" t="s">
        <v>157</v>
      </c>
      <c r="E74" s="261">
        <f>'8 - Quantitativo - Final'!E65</f>
        <v>30.081</v>
      </c>
      <c r="F74" s="350">
        <v>4.5599999999999996</v>
      </c>
      <c r="G74" s="111">
        <f t="shared" si="62"/>
        <v>137.16</v>
      </c>
      <c r="H74" s="111">
        <f t="shared" si="67"/>
        <v>5.25</v>
      </c>
      <c r="I74" s="111">
        <f t="shared" si="68"/>
        <v>157.91999999999999</v>
      </c>
      <c r="J74" s="357">
        <f t="shared" si="63"/>
        <v>1.3544109709827311E-4</v>
      </c>
      <c r="K74" s="110">
        <f t="shared" si="64"/>
        <v>30.081</v>
      </c>
      <c r="L74" s="144">
        <f t="shared" si="69"/>
        <v>4.5599999999999996</v>
      </c>
      <c r="M74" s="111">
        <f t="shared" si="65"/>
        <v>137.16</v>
      </c>
      <c r="N74" s="111">
        <f t="shared" si="70"/>
        <v>5.51</v>
      </c>
      <c r="O74" s="111">
        <f t="shared" si="71"/>
        <v>165.74</v>
      </c>
      <c r="P74" s="357">
        <f t="shared" si="66"/>
        <v>1.4094977355934987E-4</v>
      </c>
    </row>
    <row r="75" spans="1:16" s="270" customFormat="1" ht="15" customHeight="1" x14ac:dyDescent="0.2">
      <c r="A75" s="143" t="s">
        <v>127</v>
      </c>
      <c r="B75" s="116" t="s">
        <v>320</v>
      </c>
      <c r="C75" s="268" t="s">
        <v>29</v>
      </c>
      <c r="D75" s="269" t="s">
        <v>157</v>
      </c>
      <c r="E75" s="261">
        <f>'8 - Quantitativo - Final'!E66</f>
        <v>572</v>
      </c>
      <c r="F75" s="351">
        <v>5.72</v>
      </c>
      <c r="G75" s="111">
        <f t="shared" si="62"/>
        <v>3271.84</v>
      </c>
      <c r="H75" s="111">
        <f t="shared" si="67"/>
        <v>6.59</v>
      </c>
      <c r="I75" s="111">
        <f t="shared" si="68"/>
        <v>3769.48</v>
      </c>
      <c r="J75" s="357">
        <f t="shared" si="63"/>
        <v>3.2329186087259277E-3</v>
      </c>
      <c r="K75" s="110">
        <f t="shared" si="64"/>
        <v>572</v>
      </c>
      <c r="L75" s="144">
        <f t="shared" si="69"/>
        <v>5.72</v>
      </c>
      <c r="M75" s="111">
        <f t="shared" si="65"/>
        <v>3271.84</v>
      </c>
      <c r="N75" s="111">
        <f t="shared" si="70"/>
        <v>6.91</v>
      </c>
      <c r="O75" s="111">
        <f t="shared" si="71"/>
        <v>3952.52</v>
      </c>
      <c r="P75" s="357">
        <f t="shared" si="66"/>
        <v>3.3613297875515961E-3</v>
      </c>
    </row>
    <row r="76" spans="1:16" ht="15" customHeight="1" x14ac:dyDescent="0.2">
      <c r="A76" s="143" t="s">
        <v>128</v>
      </c>
      <c r="B76" s="116" t="s">
        <v>321</v>
      </c>
      <c r="C76" s="115" t="s">
        <v>258</v>
      </c>
      <c r="D76" s="114" t="s">
        <v>170</v>
      </c>
      <c r="E76" s="261">
        <v>2.992</v>
      </c>
      <c r="F76" s="350">
        <v>2517.4299999999998</v>
      </c>
      <c r="G76" s="111">
        <f t="shared" si="62"/>
        <v>7532.15</v>
      </c>
      <c r="H76" s="111">
        <f t="shared" si="67"/>
        <v>2901.84</v>
      </c>
      <c r="I76" s="111">
        <f t="shared" si="68"/>
        <v>8682.2999999999993</v>
      </c>
      <c r="J76" s="357">
        <f t="shared" si="63"/>
        <v>7.4464300743182403E-3</v>
      </c>
      <c r="K76" s="110">
        <f t="shared" si="64"/>
        <v>2.992</v>
      </c>
      <c r="L76" s="144">
        <f t="shared" si="69"/>
        <v>2517.4299999999998</v>
      </c>
      <c r="M76" s="111">
        <f t="shared" si="65"/>
        <v>7532.15</v>
      </c>
      <c r="N76" s="111">
        <f t="shared" si="70"/>
        <v>3044.07</v>
      </c>
      <c r="O76" s="111">
        <f t="shared" si="71"/>
        <v>9107.85</v>
      </c>
      <c r="P76" s="357">
        <f t="shared" si="66"/>
        <v>7.7455616936920758E-3</v>
      </c>
    </row>
    <row r="77" spans="1:16" ht="15" customHeight="1" x14ac:dyDescent="0.2">
      <c r="A77" s="632" t="s">
        <v>305</v>
      </c>
      <c r="B77" s="633"/>
      <c r="C77" s="633"/>
      <c r="D77" s="634"/>
      <c r="E77" s="353"/>
      <c r="F77" s="354"/>
      <c r="G77" s="104">
        <f>SUM(G71:G76)</f>
        <v>40337.760000000002</v>
      </c>
      <c r="H77" s="352"/>
      <c r="I77" s="104">
        <f>SUM(I71:I76)</f>
        <v>46487.7</v>
      </c>
      <c r="J77" s="337"/>
      <c r="K77" s="359"/>
      <c r="L77" s="354"/>
      <c r="M77" s="274">
        <f>SUM(M71:M76)</f>
        <v>40337.760000000002</v>
      </c>
      <c r="N77" s="274"/>
      <c r="O77" s="274">
        <f>SUM(O71:O76)</f>
        <v>48742.829999999994</v>
      </c>
      <c r="P77" s="274"/>
    </row>
    <row r="78" spans="1:16" ht="15" customHeight="1" x14ac:dyDescent="0.2">
      <c r="A78" s="628"/>
      <c r="B78" s="628"/>
      <c r="C78" s="628"/>
      <c r="D78" s="628"/>
      <c r="E78" s="628"/>
      <c r="F78" s="628"/>
      <c r="G78" s="628"/>
      <c r="H78" s="628"/>
      <c r="I78" s="628"/>
      <c r="J78" s="628"/>
      <c r="K78" s="628"/>
      <c r="L78" s="628"/>
      <c r="M78" s="628"/>
      <c r="N78" s="628"/>
      <c r="O78" s="628"/>
      <c r="P78" s="628"/>
    </row>
    <row r="79" spans="1:16" ht="15" customHeight="1" x14ac:dyDescent="0.2">
      <c r="A79" s="375" t="s">
        <v>517</v>
      </c>
      <c r="B79" s="378"/>
      <c r="C79" s="652" t="s">
        <v>171</v>
      </c>
      <c r="D79" s="653"/>
      <c r="E79" s="653"/>
      <c r="F79" s="653"/>
      <c r="G79" s="653"/>
      <c r="H79" s="653"/>
      <c r="I79" s="653"/>
      <c r="J79" s="653"/>
      <c r="K79" s="653"/>
      <c r="L79" s="653"/>
      <c r="M79" s="653"/>
      <c r="N79" s="653"/>
      <c r="O79" s="653"/>
      <c r="P79" s="654"/>
    </row>
    <row r="80" spans="1:16" ht="15" customHeight="1" x14ac:dyDescent="0.2">
      <c r="A80" s="116" t="s">
        <v>129</v>
      </c>
      <c r="B80" s="116">
        <v>5914479</v>
      </c>
      <c r="C80" s="113" t="s">
        <v>267</v>
      </c>
      <c r="D80" s="114" t="s">
        <v>172</v>
      </c>
      <c r="E80" s="262">
        <f>'8 - Quantitativo - Final'!E70</f>
        <v>79478.080000000002</v>
      </c>
      <c r="F80" s="275">
        <v>0.74</v>
      </c>
      <c r="G80" s="111">
        <f t="shared" ref="G80:G83" si="72">TRUNC(E80*F80,2)</f>
        <v>58813.77</v>
      </c>
      <c r="H80" s="111">
        <f t="shared" ref="H80:H83" si="73">TRUNC(F80*(1+$I$9),2)</f>
        <v>0.89</v>
      </c>
      <c r="I80" s="111">
        <f t="shared" ref="I80:I84" si="74">TRUNC(E80*H80,2)</f>
        <v>70735.490000000005</v>
      </c>
      <c r="J80" s="357">
        <f t="shared" ref="J80:J84" si="75">I80/$I$108</f>
        <v>6.0666744993565905E-2</v>
      </c>
      <c r="K80" s="110">
        <f t="shared" ref="K80:K84" si="76">E80</f>
        <v>79478.080000000002</v>
      </c>
      <c r="L80" s="144">
        <v>0.73</v>
      </c>
      <c r="M80" s="111">
        <f t="shared" ref="M80:M84" si="77">TRUNC(K80*L80,2)</f>
        <v>58018.99</v>
      </c>
      <c r="N80" s="111">
        <f t="shared" ref="N80:N83" si="78">TRUNC(L80*(1+$O$9),2)</f>
        <v>0.92</v>
      </c>
      <c r="O80" s="111">
        <f t="shared" ref="O80:O84" si="79">TRUNC(K80*N80,2)</f>
        <v>73119.83</v>
      </c>
      <c r="P80" s="357">
        <f t="shared" ref="P80:P84" si="80">O80/$O$108</f>
        <v>6.2183078805346667E-2</v>
      </c>
    </row>
    <row r="81" spans="1:16" ht="15" customHeight="1" x14ac:dyDescent="0.2">
      <c r="A81" s="116" t="s">
        <v>130</v>
      </c>
      <c r="B81" s="116">
        <v>5914464</v>
      </c>
      <c r="C81" s="113" t="s">
        <v>268</v>
      </c>
      <c r="D81" s="114" t="s">
        <v>172</v>
      </c>
      <c r="E81" s="262">
        <f>'8 - Quantitativo - Final'!E71</f>
        <v>3795.97</v>
      </c>
      <c r="F81" s="275">
        <v>0.91</v>
      </c>
      <c r="G81" s="111">
        <f t="shared" si="72"/>
        <v>3454.33</v>
      </c>
      <c r="H81" s="111">
        <f t="shared" si="73"/>
        <v>1.1000000000000001</v>
      </c>
      <c r="I81" s="111">
        <f t="shared" si="74"/>
        <v>4175.5600000000004</v>
      </c>
      <c r="J81" s="357">
        <f t="shared" si="75"/>
        <v>3.581195715550059E-3</v>
      </c>
      <c r="K81" s="110">
        <f t="shared" si="76"/>
        <v>3795.97</v>
      </c>
      <c r="L81" s="144">
        <v>0.9</v>
      </c>
      <c r="M81" s="111">
        <f t="shared" si="77"/>
        <v>3416.37</v>
      </c>
      <c r="N81" s="111">
        <f t="shared" si="78"/>
        <v>1.1399999999999999</v>
      </c>
      <c r="O81" s="111">
        <f t="shared" si="79"/>
        <v>4327.3999999999996</v>
      </c>
      <c r="P81" s="357">
        <f t="shared" si="80"/>
        <v>3.6801378671457133E-3</v>
      </c>
    </row>
    <row r="82" spans="1:16" ht="15" customHeight="1" x14ac:dyDescent="0.2">
      <c r="A82" s="116" t="s">
        <v>131</v>
      </c>
      <c r="B82" s="116">
        <v>5914479</v>
      </c>
      <c r="C82" s="113" t="s">
        <v>269</v>
      </c>
      <c r="D82" s="114" t="s">
        <v>172</v>
      </c>
      <c r="E82" s="262">
        <f>'8 - Quantitativo - Final'!E72</f>
        <v>1642.72</v>
      </c>
      <c r="F82" s="275">
        <v>0.74</v>
      </c>
      <c r="G82" s="111">
        <f t="shared" si="72"/>
        <v>1215.6099999999999</v>
      </c>
      <c r="H82" s="111">
        <f t="shared" si="73"/>
        <v>0.89</v>
      </c>
      <c r="I82" s="111">
        <f t="shared" si="74"/>
        <v>1462.02</v>
      </c>
      <c r="J82" s="357">
        <f t="shared" si="75"/>
        <v>1.2539107952103422E-3</v>
      </c>
      <c r="K82" s="110">
        <f t="shared" si="76"/>
        <v>1642.72</v>
      </c>
      <c r="L82" s="144">
        <v>0.73</v>
      </c>
      <c r="M82" s="111">
        <f t="shared" si="77"/>
        <v>1199.18</v>
      </c>
      <c r="N82" s="111">
        <f t="shared" si="78"/>
        <v>0.92</v>
      </c>
      <c r="O82" s="111">
        <f t="shared" si="79"/>
        <v>1511.3</v>
      </c>
      <c r="P82" s="357">
        <f t="shared" si="80"/>
        <v>1.2852503486197988E-3</v>
      </c>
    </row>
    <row r="83" spans="1:16" ht="15" customHeight="1" x14ac:dyDescent="0.2">
      <c r="A83" s="116" t="s">
        <v>132</v>
      </c>
      <c r="B83" s="116">
        <v>5914464</v>
      </c>
      <c r="C83" s="113" t="s">
        <v>270</v>
      </c>
      <c r="D83" s="114" t="s">
        <v>172</v>
      </c>
      <c r="E83" s="262">
        <f>'8 - Quantitativo - Final'!E73</f>
        <v>78.459999999999994</v>
      </c>
      <c r="F83" s="275">
        <v>0.91</v>
      </c>
      <c r="G83" s="111">
        <f t="shared" si="72"/>
        <v>71.39</v>
      </c>
      <c r="H83" s="111">
        <f t="shared" si="73"/>
        <v>1.1000000000000001</v>
      </c>
      <c r="I83" s="111">
        <f t="shared" si="74"/>
        <v>86.3</v>
      </c>
      <c r="J83" s="357">
        <f t="shared" si="75"/>
        <v>7.4015746451247278E-5</v>
      </c>
      <c r="K83" s="110">
        <f t="shared" si="76"/>
        <v>78.459999999999994</v>
      </c>
      <c r="L83" s="144">
        <v>0.9</v>
      </c>
      <c r="M83" s="111">
        <f t="shared" si="77"/>
        <v>70.61</v>
      </c>
      <c r="N83" s="111">
        <f t="shared" si="78"/>
        <v>1.1399999999999999</v>
      </c>
      <c r="O83" s="111">
        <f t="shared" si="79"/>
        <v>89.44</v>
      </c>
      <c r="P83" s="357">
        <f t="shared" si="80"/>
        <v>7.6062192271921398E-5</v>
      </c>
    </row>
    <row r="84" spans="1:16" ht="15" customHeight="1" x14ac:dyDescent="0.2">
      <c r="A84" s="116" t="s">
        <v>133</v>
      </c>
      <c r="B84" s="116" t="s">
        <v>322</v>
      </c>
      <c r="C84" s="113" t="s">
        <v>134</v>
      </c>
      <c r="D84" s="114" t="s">
        <v>170</v>
      </c>
      <c r="E84" s="262">
        <v>2.992</v>
      </c>
      <c r="F84" s="430">
        <v>146.91999999999999</v>
      </c>
      <c r="G84" s="111">
        <f>TRUNC(E84*F84,2)</f>
        <v>439.58</v>
      </c>
      <c r="H84" s="111">
        <f>TRUNC(F84*(1+$I$10),2)</f>
        <v>169.35</v>
      </c>
      <c r="I84" s="111">
        <f t="shared" si="74"/>
        <v>506.69</v>
      </c>
      <c r="J84" s="357">
        <f t="shared" si="75"/>
        <v>4.3456591621532424E-4</v>
      </c>
      <c r="K84" s="110">
        <f t="shared" si="76"/>
        <v>2.992</v>
      </c>
      <c r="L84" s="144">
        <v>146.91999999999999</v>
      </c>
      <c r="M84" s="111">
        <f t="shared" si="77"/>
        <v>439.58</v>
      </c>
      <c r="N84" s="111">
        <f>TRUNC(L84*(1+$O$10),2)</f>
        <v>177.65</v>
      </c>
      <c r="O84" s="111">
        <f t="shared" si="79"/>
        <v>531.52</v>
      </c>
      <c r="P84" s="357">
        <f t="shared" si="80"/>
        <v>4.520189673118477E-4</v>
      </c>
    </row>
    <row r="85" spans="1:16" ht="15" customHeight="1" x14ac:dyDescent="0.2">
      <c r="A85" s="632" t="s">
        <v>306</v>
      </c>
      <c r="B85" s="633"/>
      <c r="C85" s="633"/>
      <c r="D85" s="634"/>
      <c r="E85" s="353"/>
      <c r="F85" s="354"/>
      <c r="G85" s="104">
        <f>SUM(G80:G84)</f>
        <v>63994.68</v>
      </c>
      <c r="H85" s="352"/>
      <c r="I85" s="104">
        <f>SUM(I80:I84)</f>
        <v>76966.060000000012</v>
      </c>
      <c r="J85" s="337"/>
      <c r="K85" s="359"/>
      <c r="L85" s="354"/>
      <c r="M85" s="274">
        <f>SUM(M80:M84)</f>
        <v>63144.73</v>
      </c>
      <c r="N85" s="274"/>
      <c r="O85" s="274">
        <f>SUM(O80:O84)</f>
        <v>79579.490000000005</v>
      </c>
      <c r="P85" s="274"/>
    </row>
    <row r="86" spans="1:16" ht="15" customHeight="1" x14ac:dyDescent="0.2">
      <c r="A86" s="628"/>
      <c r="B86" s="628"/>
      <c r="C86" s="628"/>
      <c r="D86" s="628"/>
      <c r="E86" s="628"/>
      <c r="F86" s="628"/>
      <c r="G86" s="628"/>
      <c r="H86" s="628"/>
      <c r="I86" s="628"/>
      <c r="J86" s="628"/>
      <c r="K86" s="628"/>
      <c r="L86" s="628"/>
      <c r="M86" s="628"/>
      <c r="N86" s="628"/>
      <c r="O86" s="628"/>
      <c r="P86" s="628"/>
    </row>
    <row r="87" spans="1:16" ht="15" customHeight="1" x14ac:dyDescent="0.2">
      <c r="A87" s="375" t="s">
        <v>518</v>
      </c>
      <c r="B87" s="378"/>
      <c r="C87" s="652" t="s">
        <v>173</v>
      </c>
      <c r="D87" s="653"/>
      <c r="E87" s="653"/>
      <c r="F87" s="653"/>
      <c r="G87" s="653"/>
      <c r="H87" s="653"/>
      <c r="I87" s="653"/>
      <c r="J87" s="653"/>
      <c r="K87" s="653"/>
      <c r="L87" s="653"/>
      <c r="M87" s="653"/>
      <c r="N87" s="653"/>
      <c r="O87" s="653"/>
      <c r="P87" s="654"/>
    </row>
    <row r="88" spans="1:16" ht="15" customHeight="1" x14ac:dyDescent="0.2">
      <c r="A88" s="116" t="s">
        <v>135</v>
      </c>
      <c r="B88" s="116">
        <v>5213571</v>
      </c>
      <c r="C88" s="113" t="s">
        <v>174</v>
      </c>
      <c r="D88" s="114" t="s">
        <v>151</v>
      </c>
      <c r="E88" s="262">
        <f>'8 - Quantitativo - Final'!E77</f>
        <v>20.904</v>
      </c>
      <c r="F88" s="275">
        <v>500.49</v>
      </c>
      <c r="G88" s="111">
        <f t="shared" ref="G88:G92" si="81">TRUNC(E88*F88,2)</f>
        <v>10462.24</v>
      </c>
      <c r="H88" s="111">
        <f t="shared" ref="H88:H92" si="82">TRUNC(F88*(1+$I$9),2)</f>
        <v>606.89</v>
      </c>
      <c r="I88" s="111">
        <f t="shared" ref="I88:I92" si="83">TRUNC(E88*H88,2)</f>
        <v>12686.42</v>
      </c>
      <c r="J88" s="357">
        <f t="shared" ref="J88:J92" si="84">I88/$I$108</f>
        <v>1.0880589178378128E-2</v>
      </c>
      <c r="K88" s="110">
        <f t="shared" ref="K88:K92" si="85">E88</f>
        <v>20.904</v>
      </c>
      <c r="L88" s="144">
        <v>494.15</v>
      </c>
      <c r="M88" s="111">
        <f t="shared" ref="M88:M92" si="86">TRUNC(K88*L88,2)</f>
        <v>10329.709999999999</v>
      </c>
      <c r="N88" s="111">
        <f t="shared" ref="N88:N92" si="87">TRUNC(L88*(1+$O$9),2)</f>
        <v>628.70000000000005</v>
      </c>
      <c r="O88" s="111">
        <f t="shared" ref="O88:O92" si="88">TRUNC(K88*N88,2)</f>
        <v>13142.34</v>
      </c>
      <c r="P88" s="357">
        <f t="shared" ref="P88:P92" si="89">O88/$O$108</f>
        <v>1.117660098370934E-2</v>
      </c>
    </row>
    <row r="89" spans="1:16" ht="15" customHeight="1" x14ac:dyDescent="0.2">
      <c r="A89" s="116" t="s">
        <v>136</v>
      </c>
      <c r="B89" s="116">
        <v>5213572</v>
      </c>
      <c r="C89" s="113" t="s">
        <v>175</v>
      </c>
      <c r="D89" s="114" t="s">
        <v>151</v>
      </c>
      <c r="E89" s="262">
        <f>'8 - Quantitativo - Final'!E78</f>
        <v>26.623999999999999</v>
      </c>
      <c r="F89" s="275">
        <v>604.58000000000004</v>
      </c>
      <c r="G89" s="111">
        <f t="shared" si="81"/>
        <v>16096.33</v>
      </c>
      <c r="H89" s="111">
        <f t="shared" si="82"/>
        <v>733.11</v>
      </c>
      <c r="I89" s="111">
        <f t="shared" si="83"/>
        <v>19518.32</v>
      </c>
      <c r="J89" s="357">
        <f t="shared" si="84"/>
        <v>1.6740011868763716E-2</v>
      </c>
      <c r="K89" s="110">
        <f t="shared" si="85"/>
        <v>26.623999999999999</v>
      </c>
      <c r="L89" s="144">
        <v>598.24</v>
      </c>
      <c r="M89" s="111">
        <f t="shared" si="86"/>
        <v>15927.54</v>
      </c>
      <c r="N89" s="111">
        <f t="shared" si="87"/>
        <v>761.14</v>
      </c>
      <c r="O89" s="111">
        <f t="shared" si="88"/>
        <v>20264.59</v>
      </c>
      <c r="P89" s="357">
        <f t="shared" si="89"/>
        <v>1.7233554795300265E-2</v>
      </c>
    </row>
    <row r="90" spans="1:16" ht="15" customHeight="1" x14ac:dyDescent="0.2">
      <c r="A90" s="116" t="s">
        <v>137</v>
      </c>
      <c r="B90" s="116">
        <v>5213476</v>
      </c>
      <c r="C90" s="113" t="s">
        <v>176</v>
      </c>
      <c r="D90" s="114" t="s">
        <v>86</v>
      </c>
      <c r="E90" s="262">
        <f>'8 - Quantitativo - Final'!E79</f>
        <v>260</v>
      </c>
      <c r="F90" s="275">
        <v>177.31</v>
      </c>
      <c r="G90" s="111">
        <f t="shared" si="81"/>
        <v>46100.6</v>
      </c>
      <c r="H90" s="111">
        <f t="shared" si="82"/>
        <v>215</v>
      </c>
      <c r="I90" s="111">
        <f t="shared" si="83"/>
        <v>55900</v>
      </c>
      <c r="J90" s="357">
        <f t="shared" si="84"/>
        <v>4.7942992197273729E-2</v>
      </c>
      <c r="K90" s="110">
        <f t="shared" si="85"/>
        <v>260</v>
      </c>
      <c r="L90" s="144">
        <v>173.75</v>
      </c>
      <c r="M90" s="111">
        <f t="shared" si="86"/>
        <v>45175</v>
      </c>
      <c r="N90" s="111">
        <f t="shared" si="87"/>
        <v>221.06</v>
      </c>
      <c r="O90" s="111">
        <f t="shared" si="88"/>
        <v>57475.6</v>
      </c>
      <c r="P90" s="357">
        <f t="shared" si="89"/>
        <v>4.8878802975671348E-2</v>
      </c>
    </row>
    <row r="91" spans="1:16" ht="15" customHeight="1" x14ac:dyDescent="0.2">
      <c r="A91" s="116" t="s">
        <v>138</v>
      </c>
      <c r="B91" s="116">
        <v>5216111</v>
      </c>
      <c r="C91" s="113" t="s">
        <v>177</v>
      </c>
      <c r="D91" s="114" t="s">
        <v>86</v>
      </c>
      <c r="E91" s="262">
        <f>'8 - Quantitativo - Final'!E80</f>
        <v>78</v>
      </c>
      <c r="F91" s="275">
        <v>110.37</v>
      </c>
      <c r="G91" s="111">
        <f t="shared" si="81"/>
        <v>8608.86</v>
      </c>
      <c r="H91" s="111">
        <f t="shared" si="82"/>
        <v>133.83000000000001</v>
      </c>
      <c r="I91" s="111">
        <f t="shared" si="83"/>
        <v>10438.74</v>
      </c>
      <c r="J91" s="357">
        <f t="shared" si="84"/>
        <v>8.9528520638527571E-3</v>
      </c>
      <c r="K91" s="110">
        <f t="shared" si="85"/>
        <v>78</v>
      </c>
      <c r="L91" s="144">
        <v>108.43</v>
      </c>
      <c r="M91" s="111">
        <f t="shared" si="86"/>
        <v>8457.5400000000009</v>
      </c>
      <c r="N91" s="111">
        <f t="shared" si="87"/>
        <v>137.94999999999999</v>
      </c>
      <c r="O91" s="111">
        <f t="shared" si="88"/>
        <v>10760.1</v>
      </c>
      <c r="P91" s="357">
        <f t="shared" si="89"/>
        <v>9.1506797301554275E-3</v>
      </c>
    </row>
    <row r="92" spans="1:16" ht="15" customHeight="1" x14ac:dyDescent="0.2">
      <c r="A92" s="116" t="s">
        <v>139</v>
      </c>
      <c r="B92" s="116" t="s">
        <v>323</v>
      </c>
      <c r="C92" s="113" t="s">
        <v>178</v>
      </c>
      <c r="D92" s="114" t="s">
        <v>86</v>
      </c>
      <c r="E92" s="262">
        <f>'8 - Quantitativo - Final'!E81</f>
        <v>273</v>
      </c>
      <c r="F92" s="275">
        <v>9.39</v>
      </c>
      <c r="G92" s="111">
        <f t="shared" si="81"/>
        <v>2563.4699999999998</v>
      </c>
      <c r="H92" s="111">
        <f t="shared" si="82"/>
        <v>11.38</v>
      </c>
      <c r="I92" s="111">
        <f t="shared" si="83"/>
        <v>3106.74</v>
      </c>
      <c r="J92" s="357">
        <f t="shared" si="84"/>
        <v>2.6645154128615055E-3</v>
      </c>
      <c r="K92" s="110">
        <f t="shared" si="85"/>
        <v>273</v>
      </c>
      <c r="L92" s="144">
        <v>9.2899999999999991</v>
      </c>
      <c r="M92" s="111">
        <f t="shared" si="86"/>
        <v>2536.17</v>
      </c>
      <c r="N92" s="111">
        <f t="shared" si="87"/>
        <v>11.81</v>
      </c>
      <c r="O92" s="111">
        <f t="shared" si="88"/>
        <v>3224.13</v>
      </c>
      <c r="P92" s="357">
        <f t="shared" si="89"/>
        <v>2.7418872536859339E-3</v>
      </c>
    </row>
    <row r="93" spans="1:16" ht="15" customHeight="1" x14ac:dyDescent="0.2">
      <c r="A93" s="632" t="s">
        <v>307</v>
      </c>
      <c r="B93" s="633"/>
      <c r="C93" s="633"/>
      <c r="D93" s="634"/>
      <c r="E93" s="353"/>
      <c r="F93" s="354"/>
      <c r="G93" s="104">
        <f>SUM(G88:G92)</f>
        <v>83831.5</v>
      </c>
      <c r="H93" s="352"/>
      <c r="I93" s="104">
        <f>SUM(I88:I92)</f>
        <v>101650.22</v>
      </c>
      <c r="J93" s="337"/>
      <c r="K93" s="359"/>
      <c r="L93" s="354"/>
      <c r="M93" s="274">
        <f t="shared" ref="M93:O93" si="90">SUM(M88:M92)</f>
        <v>82425.960000000006</v>
      </c>
      <c r="N93" s="274"/>
      <c r="O93" s="274">
        <f t="shared" si="90"/>
        <v>104866.76000000001</v>
      </c>
      <c r="P93" s="274"/>
    </row>
    <row r="94" spans="1:16" ht="15" customHeight="1" x14ac:dyDescent="0.2">
      <c r="A94" s="628"/>
      <c r="B94" s="628"/>
      <c r="C94" s="628"/>
      <c r="D94" s="628"/>
      <c r="E94" s="628"/>
      <c r="F94" s="628"/>
      <c r="G94" s="628"/>
      <c r="H94" s="628"/>
      <c r="I94" s="628"/>
      <c r="J94" s="628"/>
      <c r="K94" s="628"/>
      <c r="L94" s="628"/>
      <c r="M94" s="628"/>
      <c r="N94" s="628"/>
      <c r="O94" s="628"/>
      <c r="P94" s="628"/>
    </row>
    <row r="95" spans="1:16" ht="15" customHeight="1" x14ac:dyDescent="0.2">
      <c r="A95" s="375" t="s">
        <v>519</v>
      </c>
      <c r="B95" s="378"/>
      <c r="C95" s="652" t="s">
        <v>179</v>
      </c>
      <c r="D95" s="653"/>
      <c r="E95" s="653"/>
      <c r="F95" s="653"/>
      <c r="G95" s="653"/>
      <c r="H95" s="653"/>
      <c r="I95" s="653"/>
      <c r="J95" s="653"/>
      <c r="K95" s="653"/>
      <c r="L95" s="653"/>
      <c r="M95" s="653"/>
      <c r="N95" s="653"/>
      <c r="O95" s="653"/>
      <c r="P95" s="654"/>
    </row>
    <row r="96" spans="1:16" ht="15" customHeight="1" x14ac:dyDescent="0.2">
      <c r="A96" s="116" t="s">
        <v>140</v>
      </c>
      <c r="B96" s="116" t="s">
        <v>324</v>
      </c>
      <c r="C96" s="113" t="s">
        <v>255</v>
      </c>
      <c r="D96" s="114" t="s">
        <v>86</v>
      </c>
      <c r="E96" s="262">
        <f>'8 - Quantitativo - Final'!E84</f>
        <v>1</v>
      </c>
      <c r="F96" s="430">
        <v>92035.7</v>
      </c>
      <c r="G96" s="111">
        <f t="shared" ref="G96" si="91">TRUNC(E96*F96,2)</f>
        <v>92035.7</v>
      </c>
      <c r="H96" s="111">
        <f>TRUNC(F96*(1+$I$9),2)</f>
        <v>111602.48</v>
      </c>
      <c r="I96" s="111">
        <f>TRUNC(E96*H96,2)</f>
        <v>111602.48</v>
      </c>
      <c r="J96" s="357">
        <f>I96/$I$108</f>
        <v>9.5716580104407811E-2</v>
      </c>
      <c r="K96" s="110">
        <f>E96</f>
        <v>1</v>
      </c>
      <c r="L96" s="144">
        <f>F96</f>
        <v>92035.7</v>
      </c>
      <c r="M96" s="111">
        <f>TRUNC(K96*L96,2)</f>
        <v>92035.7</v>
      </c>
      <c r="N96" s="111">
        <f>TRUNC(L96*(1+$O$9),2)</f>
        <v>117097.02</v>
      </c>
      <c r="O96" s="111">
        <f>TRUNC(K96*N96,2)</f>
        <v>117097.02</v>
      </c>
      <c r="P96" s="357">
        <f>O96/$O$108</f>
        <v>9.9582469249877292E-2</v>
      </c>
    </row>
    <row r="97" spans="1:16" ht="15" customHeight="1" x14ac:dyDescent="0.2">
      <c r="A97" s="632" t="s">
        <v>308</v>
      </c>
      <c r="B97" s="633"/>
      <c r="C97" s="633"/>
      <c r="D97" s="634"/>
      <c r="E97" s="353"/>
      <c r="F97" s="354"/>
      <c r="G97" s="104">
        <f>SUM(G96)</f>
        <v>92035.7</v>
      </c>
      <c r="H97" s="352"/>
      <c r="I97" s="104">
        <f>SUM(I96)</f>
        <v>111602.48</v>
      </c>
      <c r="J97" s="337"/>
      <c r="K97" s="359"/>
      <c r="L97" s="354"/>
      <c r="M97" s="274">
        <f t="shared" ref="M97:O97" si="92">SUM(M96)</f>
        <v>92035.7</v>
      </c>
      <c r="N97" s="274"/>
      <c r="O97" s="274">
        <f t="shared" si="92"/>
        <v>117097.02</v>
      </c>
      <c r="P97" s="274"/>
    </row>
    <row r="98" spans="1:16" ht="15" customHeight="1" x14ac:dyDescent="0.2">
      <c r="A98" s="628"/>
      <c r="B98" s="628"/>
      <c r="C98" s="628"/>
      <c r="D98" s="628"/>
      <c r="E98" s="628"/>
      <c r="F98" s="628"/>
      <c r="G98" s="628"/>
      <c r="H98" s="628"/>
      <c r="I98" s="628"/>
      <c r="J98" s="628"/>
      <c r="K98" s="628"/>
      <c r="L98" s="628"/>
      <c r="M98" s="628"/>
      <c r="N98" s="628"/>
      <c r="O98" s="628"/>
      <c r="P98" s="628"/>
    </row>
    <row r="99" spans="1:16" ht="15" customHeight="1" x14ac:dyDescent="0.2">
      <c r="A99" s="374">
        <v>11</v>
      </c>
      <c r="B99" s="378"/>
      <c r="C99" s="652" t="s">
        <v>180</v>
      </c>
      <c r="D99" s="653"/>
      <c r="E99" s="653"/>
      <c r="F99" s="653"/>
      <c r="G99" s="653"/>
      <c r="H99" s="653"/>
      <c r="I99" s="653"/>
      <c r="J99" s="653"/>
      <c r="K99" s="653"/>
      <c r="L99" s="653"/>
      <c r="M99" s="653"/>
      <c r="N99" s="653"/>
      <c r="O99" s="653"/>
      <c r="P99" s="654"/>
    </row>
    <row r="100" spans="1:16" ht="15" customHeight="1" x14ac:dyDescent="0.2">
      <c r="A100" s="116" t="s">
        <v>141</v>
      </c>
      <c r="B100" s="116" t="s">
        <v>325</v>
      </c>
      <c r="C100" s="113" t="s">
        <v>256</v>
      </c>
      <c r="D100" s="114" t="s">
        <v>181</v>
      </c>
      <c r="E100" s="262">
        <f>'8 - Quantitativo - Final'!E87</f>
        <v>12</v>
      </c>
      <c r="F100" s="430">
        <v>18310.150000000001</v>
      </c>
      <c r="G100" s="111">
        <f t="shared" ref="G100" si="93">TRUNC(E100*F100,2)</f>
        <v>219721.8</v>
      </c>
      <c r="H100" s="111">
        <f>TRUNC(F100*(1+$I$9),2)</f>
        <v>22202.880000000001</v>
      </c>
      <c r="I100" s="111">
        <f>TRUNC(E100*H100,2)</f>
        <v>266434.56</v>
      </c>
      <c r="J100" s="357">
        <f>I100/$I$108</f>
        <v>0.22850930288307797</v>
      </c>
      <c r="K100" s="110">
        <f>E100</f>
        <v>12</v>
      </c>
      <c r="L100" s="144">
        <f>F100</f>
        <v>18310.150000000001</v>
      </c>
      <c r="M100" s="111">
        <f>TRUNC(K100*L100,2)</f>
        <v>219721.8</v>
      </c>
      <c r="N100" s="111">
        <f>TRUNC(L100*(1+$O$9),2)</f>
        <v>23296</v>
      </c>
      <c r="O100" s="111">
        <f>TRUNC(K100*N100,2)</f>
        <v>279552</v>
      </c>
      <c r="P100" s="357">
        <f>O100/$O$108</f>
        <v>0.23773857305456361</v>
      </c>
    </row>
    <row r="101" spans="1:16" ht="15" customHeight="1" x14ac:dyDescent="0.2">
      <c r="A101" s="632" t="s">
        <v>309</v>
      </c>
      <c r="B101" s="633"/>
      <c r="C101" s="633"/>
      <c r="D101" s="634"/>
      <c r="E101" s="353"/>
      <c r="F101" s="354"/>
      <c r="G101" s="104">
        <f>SUM(G100)</f>
        <v>219721.8</v>
      </c>
      <c r="H101" s="352"/>
      <c r="I101" s="104">
        <f>SUM(I100)</f>
        <v>266434.56</v>
      </c>
      <c r="J101" s="337"/>
      <c r="K101" s="359"/>
      <c r="L101" s="354"/>
      <c r="M101" s="274">
        <f t="shared" ref="M101:O101" si="94">SUM(M100)</f>
        <v>219721.8</v>
      </c>
      <c r="N101" s="274"/>
      <c r="O101" s="274">
        <f t="shared" si="94"/>
        <v>279552</v>
      </c>
      <c r="P101" s="274"/>
    </row>
    <row r="102" spans="1:16" ht="15" customHeight="1" x14ac:dyDescent="0.2">
      <c r="A102" s="628"/>
      <c r="B102" s="628"/>
      <c r="C102" s="628"/>
      <c r="D102" s="628"/>
      <c r="E102" s="628"/>
      <c r="F102" s="628"/>
      <c r="G102" s="628"/>
      <c r="H102" s="628"/>
      <c r="I102" s="628"/>
      <c r="J102" s="628"/>
      <c r="K102" s="628"/>
      <c r="L102" s="628"/>
      <c r="M102" s="628"/>
      <c r="N102" s="628"/>
      <c r="O102" s="628"/>
      <c r="P102" s="628"/>
    </row>
    <row r="103" spans="1:16" ht="15" customHeight="1" x14ac:dyDescent="0.2">
      <c r="A103" s="374">
        <v>12</v>
      </c>
      <c r="B103" s="378"/>
      <c r="C103" s="652" t="s">
        <v>182</v>
      </c>
      <c r="D103" s="653"/>
      <c r="E103" s="653"/>
      <c r="F103" s="653"/>
      <c r="G103" s="653"/>
      <c r="H103" s="653"/>
      <c r="I103" s="653"/>
      <c r="J103" s="653"/>
      <c r="K103" s="653"/>
      <c r="L103" s="653"/>
      <c r="M103" s="653"/>
      <c r="N103" s="653"/>
      <c r="O103" s="653"/>
      <c r="P103" s="654"/>
    </row>
    <row r="104" spans="1:16" ht="15" customHeight="1" x14ac:dyDescent="0.2">
      <c r="A104" s="116" t="s">
        <v>142</v>
      </c>
      <c r="B104" s="116" t="s">
        <v>326</v>
      </c>
      <c r="C104" s="115" t="s">
        <v>487</v>
      </c>
      <c r="D104" s="114" t="s">
        <v>86</v>
      </c>
      <c r="E104" s="262">
        <f>'8 - Quantitativo - Final'!E90</f>
        <v>1</v>
      </c>
      <c r="F104" s="430">
        <v>5806.78</v>
      </c>
      <c r="G104" s="111">
        <f t="shared" ref="G104:G106" si="95">TRUNC(E104*F104,2)</f>
        <v>5806.78</v>
      </c>
      <c r="H104" s="111">
        <f t="shared" ref="H104:H106" si="96">TRUNC(F104*(1+$I$9),2)</f>
        <v>7041.3</v>
      </c>
      <c r="I104" s="111">
        <f t="shared" ref="I104:I106" si="97">TRUNC(E104*H104,2)</f>
        <v>7041.3</v>
      </c>
      <c r="J104" s="357">
        <f t="shared" ref="J104:J106" si="98">I104/$I$108</f>
        <v>6.0390159384376297E-3</v>
      </c>
      <c r="K104" s="110">
        <f t="shared" ref="K104:K106" si="99">E104</f>
        <v>1</v>
      </c>
      <c r="L104" s="144">
        <f>F104</f>
        <v>5806.78</v>
      </c>
      <c r="M104" s="111">
        <f t="shared" ref="M104:M106" si="100">TRUNC(K104*L104,2)</f>
        <v>5806.78</v>
      </c>
      <c r="N104" s="111">
        <f t="shared" ref="N104:N106" si="101">TRUNC(L104*(1+$O$9),2)</f>
        <v>7387.96</v>
      </c>
      <c r="O104" s="111">
        <f t="shared" ref="O104:O106" si="102">TRUNC(K104*N104,2)</f>
        <v>7387.96</v>
      </c>
      <c r="P104" s="357">
        <f t="shared" ref="P104:P106" si="103">O104/$O$108</f>
        <v>6.2829207738960688E-3</v>
      </c>
    </row>
    <row r="105" spans="1:16" ht="15" customHeight="1" x14ac:dyDescent="0.2">
      <c r="A105" s="116" t="s">
        <v>143</v>
      </c>
      <c r="B105" s="116" t="s">
        <v>327</v>
      </c>
      <c r="C105" s="115" t="s">
        <v>183</v>
      </c>
      <c r="D105" s="114" t="s">
        <v>86</v>
      </c>
      <c r="E105" s="262">
        <f>'8 - Quantitativo - Final'!E91</f>
        <v>1</v>
      </c>
      <c r="F105" s="275">
        <v>1480.13</v>
      </c>
      <c r="G105" s="111">
        <f t="shared" si="95"/>
        <v>1480.13</v>
      </c>
      <c r="H105" s="111">
        <f t="shared" si="96"/>
        <v>1794.8</v>
      </c>
      <c r="I105" s="111">
        <f t="shared" si="97"/>
        <v>1794.8</v>
      </c>
      <c r="J105" s="357">
        <f t="shared" si="98"/>
        <v>1.5393216886523593E-3</v>
      </c>
      <c r="K105" s="110">
        <f t="shared" si="99"/>
        <v>1</v>
      </c>
      <c r="L105" s="144">
        <f t="shared" ref="L105:L106" si="104">F105</f>
        <v>1480.13</v>
      </c>
      <c r="M105" s="111">
        <f t="shared" si="100"/>
        <v>1480.13</v>
      </c>
      <c r="N105" s="111">
        <f t="shared" si="101"/>
        <v>1883.16</v>
      </c>
      <c r="O105" s="111">
        <f t="shared" si="102"/>
        <v>1883.16</v>
      </c>
      <c r="P105" s="357">
        <f t="shared" si="103"/>
        <v>1.6014901386269174E-3</v>
      </c>
    </row>
    <row r="106" spans="1:16" ht="15" customHeight="1" x14ac:dyDescent="0.2">
      <c r="A106" s="116" t="s">
        <v>144</v>
      </c>
      <c r="B106" s="116" t="s">
        <v>328</v>
      </c>
      <c r="C106" s="115" t="s">
        <v>488</v>
      </c>
      <c r="D106" s="114" t="s">
        <v>86</v>
      </c>
      <c r="E106" s="262">
        <f>'8 - Quantitativo - Final'!E92</f>
        <v>1</v>
      </c>
      <c r="F106" s="430">
        <v>5364.93</v>
      </c>
      <c r="G106" s="111">
        <f t="shared" si="95"/>
        <v>5364.93</v>
      </c>
      <c r="H106" s="111">
        <f t="shared" si="96"/>
        <v>6505.51</v>
      </c>
      <c r="I106" s="111">
        <f t="shared" si="97"/>
        <v>6505.51</v>
      </c>
      <c r="J106" s="357">
        <f t="shared" si="98"/>
        <v>5.5794922212752457E-3</v>
      </c>
      <c r="K106" s="110">
        <f t="shared" si="99"/>
        <v>1</v>
      </c>
      <c r="L106" s="144">
        <f t="shared" si="104"/>
        <v>5364.93</v>
      </c>
      <c r="M106" s="111">
        <f t="shared" si="100"/>
        <v>5364.93</v>
      </c>
      <c r="N106" s="111">
        <f t="shared" si="101"/>
        <v>6825.8</v>
      </c>
      <c r="O106" s="111">
        <f t="shared" si="102"/>
        <v>6825.8</v>
      </c>
      <c r="P106" s="357">
        <f t="shared" si="103"/>
        <v>5.8048447228273821E-3</v>
      </c>
    </row>
    <row r="107" spans="1:16" ht="15" customHeight="1" x14ac:dyDescent="0.2">
      <c r="A107" s="632" t="s">
        <v>310</v>
      </c>
      <c r="B107" s="633"/>
      <c r="C107" s="633"/>
      <c r="D107" s="634"/>
      <c r="E107" s="353"/>
      <c r="F107" s="354"/>
      <c r="G107" s="104">
        <f>SUM(G104:G106)</f>
        <v>12651.84</v>
      </c>
      <c r="H107" s="352"/>
      <c r="I107" s="104">
        <f>SUM(I104:I106)</f>
        <v>15341.61</v>
      </c>
      <c r="J107" s="337"/>
      <c r="K107" s="359"/>
      <c r="L107" s="354"/>
      <c r="M107" s="274">
        <f>SUM(M104:M106)</f>
        <v>12651.84</v>
      </c>
      <c r="N107" s="274"/>
      <c r="O107" s="274">
        <f t="shared" ref="O107" si="105">SUM(O104:O106)</f>
        <v>16096.920000000002</v>
      </c>
      <c r="P107" s="274"/>
    </row>
    <row r="108" spans="1:16" ht="15" customHeight="1" x14ac:dyDescent="0.2">
      <c r="A108" s="631"/>
      <c r="B108" s="631"/>
      <c r="C108" s="631"/>
      <c r="D108" s="631"/>
      <c r="E108" s="353"/>
      <c r="F108" s="362" t="s">
        <v>185</v>
      </c>
      <c r="G108" s="104">
        <f>SUM(G16,G22,G36,G54,G62,G68,G77,G85,G93,G97,G101,G107)</f>
        <v>964176.70000000007</v>
      </c>
      <c r="H108" s="363" t="s">
        <v>185</v>
      </c>
      <c r="I108" s="427">
        <f>SUM(I16,I22,I36,I54,I62,I68,I77,I85,I93,I97,I101,I107)</f>
        <v>1165968.1100000001</v>
      </c>
      <c r="J108" s="373">
        <f>SUM(J13:J15,J19:J21,J25:J35,J39:J53,J57:J61,J65:J67,J71:J76,J80:J84,J88:J92,J96,J100,J104:J106)</f>
        <v>1</v>
      </c>
      <c r="K108" s="353"/>
      <c r="L108" s="362" t="s">
        <v>185</v>
      </c>
      <c r="M108" s="104">
        <f>SUM(M16,M22,M36,M54,M62,M68,M77,M85,M93,M97,M101,M107)</f>
        <v>927012.48999999987</v>
      </c>
      <c r="N108" s="363" t="s">
        <v>185</v>
      </c>
      <c r="O108" s="427">
        <f>SUM(O16,O22,O36,O54,O62,O68,O77,O85,O93,O97,O101,O107)</f>
        <v>1175879.8599999999</v>
      </c>
      <c r="P108" s="373">
        <f>SUM(P13:P15,P19:P21,P25:P35,P39:P53,P57:P61,P65:P67,P71:P76,P80:P84,P88:P92,P96,P100,P104:P106)</f>
        <v>1</v>
      </c>
    </row>
    <row r="109" spans="1:16" x14ac:dyDescent="0.2">
      <c r="K109" s="360"/>
      <c r="L109" s="276"/>
      <c r="M109" s="276"/>
      <c r="N109" s="276"/>
      <c r="O109" s="276"/>
      <c r="P109" s="277"/>
    </row>
    <row r="111" spans="1:16" x14ac:dyDescent="0.2">
      <c r="D111" s="103"/>
      <c r="E111" s="264"/>
      <c r="F111" s="278"/>
      <c r="G111" s="105"/>
      <c r="H111" s="100"/>
      <c r="I111" s="100"/>
      <c r="J111" s="100"/>
      <c r="K111" s="106"/>
      <c r="L111" s="278"/>
      <c r="M111" s="278"/>
      <c r="N111" s="278"/>
      <c r="O111" s="278"/>
      <c r="P111" s="279"/>
    </row>
  </sheetData>
  <mergeCells count="47">
    <mergeCell ref="A94:P94"/>
    <mergeCell ref="C64:P64"/>
    <mergeCell ref="C70:P70"/>
    <mergeCell ref="C79:P79"/>
    <mergeCell ref="C87:P87"/>
    <mergeCell ref="A69:P69"/>
    <mergeCell ref="A78:P78"/>
    <mergeCell ref="A86:P86"/>
    <mergeCell ref="C103:P103"/>
    <mergeCell ref="A98:P98"/>
    <mergeCell ref="C95:P95"/>
    <mergeCell ref="C99:P99"/>
    <mergeCell ref="A102:P102"/>
    <mergeCell ref="A55:P55"/>
    <mergeCell ref="C56:P56"/>
    <mergeCell ref="A54:D54"/>
    <mergeCell ref="A62:D62"/>
    <mergeCell ref="A68:D68"/>
    <mergeCell ref="A63:P63"/>
    <mergeCell ref="A7:P7"/>
    <mergeCell ref="K8:P8"/>
    <mergeCell ref="A17:P17"/>
    <mergeCell ref="C18:P18"/>
    <mergeCell ref="C12:P12"/>
    <mergeCell ref="D8:D11"/>
    <mergeCell ref="A16:D16"/>
    <mergeCell ref="K9:M10"/>
    <mergeCell ref="P9:P10"/>
    <mergeCell ref="A8:A11"/>
    <mergeCell ref="B8:B11"/>
    <mergeCell ref="C8:C11"/>
    <mergeCell ref="A108:D108"/>
    <mergeCell ref="A107:D107"/>
    <mergeCell ref="E9:G10"/>
    <mergeCell ref="E8:J8"/>
    <mergeCell ref="J9:J10"/>
    <mergeCell ref="A77:D77"/>
    <mergeCell ref="A85:D85"/>
    <mergeCell ref="A93:D93"/>
    <mergeCell ref="A97:D97"/>
    <mergeCell ref="A101:D101"/>
    <mergeCell ref="A37:P37"/>
    <mergeCell ref="C38:P38"/>
    <mergeCell ref="A23:P23"/>
    <mergeCell ref="C24:P24"/>
    <mergeCell ref="A22:D22"/>
    <mergeCell ref="A36:D36"/>
  </mergeCells>
  <phoneticPr fontId="11" type="noConversion"/>
  <printOptions horizontalCentered="1"/>
  <pageMargins left="0.23622047244094491" right="0.23622047244094491" top="0.78740157480314965" bottom="1.3385826771653544" header="0.31496062992125984" footer="0.31496062992125984"/>
  <pageSetup paperSize="9" scale="49" fitToHeight="0" orientation="landscape" r:id="rId1"/>
  <rowBreaks count="2" manualBreakCount="2">
    <brk id="47" max="10" man="1"/>
    <brk id="78" max="10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rgb="FFFF0000"/>
  </sheetPr>
  <dimension ref="B1:AF58"/>
  <sheetViews>
    <sheetView view="pageBreakPreview" zoomScale="55" zoomScaleNormal="80" zoomScaleSheetLayoutView="55" workbookViewId="0">
      <selection activeCell="R33" sqref="R33"/>
    </sheetView>
  </sheetViews>
  <sheetFormatPr defaultRowHeight="11.25" x14ac:dyDescent="0.2"/>
  <cols>
    <col min="1" max="1" width="9.140625" style="145"/>
    <col min="2" max="2" width="22.42578125" style="145" customWidth="1"/>
    <col min="3" max="3" width="70.28515625" style="145" customWidth="1"/>
    <col min="4" max="4" width="24.42578125" style="145" customWidth="1"/>
    <col min="5" max="5" width="21.28515625" style="145" bestFit="1" customWidth="1"/>
    <col min="6" max="6" width="19.42578125" style="145" bestFit="1" customWidth="1"/>
    <col min="7" max="7" width="20.7109375" style="145" customWidth="1"/>
    <col min="8" max="8" width="12.7109375" style="145" customWidth="1"/>
    <col min="9" max="9" width="20.7109375" style="145" customWidth="1"/>
    <col min="10" max="10" width="12.7109375" style="145" customWidth="1"/>
    <col min="11" max="11" width="20.7109375" style="145" customWidth="1"/>
    <col min="12" max="12" width="12.7109375" style="145" customWidth="1"/>
    <col min="13" max="13" width="20.7109375" style="145" customWidth="1"/>
    <col min="14" max="14" width="12.7109375" style="145" customWidth="1"/>
    <col min="15" max="15" width="20.7109375" style="145" customWidth="1"/>
    <col min="16" max="16" width="15" style="145" customWidth="1"/>
    <col min="17" max="17" width="21" style="145" customWidth="1"/>
    <col min="18" max="19" width="16.28515625" style="145" bestFit="1" customWidth="1"/>
    <col min="20" max="20" width="19.7109375" style="145" bestFit="1" customWidth="1"/>
    <col min="21" max="21" width="15.42578125" style="145" bestFit="1" customWidth="1"/>
    <col min="22" max="22" width="9.5703125" style="145" customWidth="1"/>
    <col min="23" max="23" width="15.42578125" style="145" bestFit="1" customWidth="1"/>
    <col min="24" max="28" width="9.140625" style="145"/>
    <col min="29" max="29" width="15.42578125" style="145" bestFit="1" customWidth="1"/>
    <col min="30" max="30" width="9" style="145" customWidth="1"/>
    <col min="31" max="31" width="10" style="145" customWidth="1"/>
    <col min="32" max="218" width="9.140625" style="145"/>
    <col min="219" max="219" width="11.7109375" style="145" customWidth="1"/>
    <col min="220" max="220" width="30" style="145" customWidth="1"/>
    <col min="221" max="221" width="17.5703125" style="145" customWidth="1"/>
    <col min="222" max="222" width="11" style="145" customWidth="1"/>
    <col min="223" max="223" width="11.42578125" style="145" customWidth="1"/>
    <col min="224" max="224" width="17.85546875" style="145" customWidth="1"/>
    <col min="225" max="225" width="8.5703125" style="145" customWidth="1"/>
    <col min="226" max="226" width="19.42578125" style="145" customWidth="1"/>
    <col min="227" max="227" width="12.42578125" style="145" customWidth="1"/>
    <col min="228" max="228" width="18.7109375" style="145" customWidth="1"/>
    <col min="229" max="229" width="11.42578125" style="145" customWidth="1"/>
    <col min="230" max="230" width="17.5703125" style="145" customWidth="1"/>
    <col min="231" max="231" width="12.140625" style="145" customWidth="1"/>
    <col min="232" max="232" width="18.85546875" style="145" customWidth="1"/>
    <col min="233" max="233" width="9.5703125" style="145" customWidth="1"/>
    <col min="234" max="234" width="13.28515625" style="145" customWidth="1"/>
    <col min="235" max="474" width="9.140625" style="145"/>
    <col min="475" max="475" width="11.7109375" style="145" customWidth="1"/>
    <col min="476" max="476" width="30" style="145" customWidth="1"/>
    <col min="477" max="477" width="17.5703125" style="145" customWidth="1"/>
    <col min="478" max="478" width="11" style="145" customWidth="1"/>
    <col min="479" max="479" width="11.42578125" style="145" customWidth="1"/>
    <col min="480" max="480" width="17.85546875" style="145" customWidth="1"/>
    <col min="481" max="481" width="8.5703125" style="145" customWidth="1"/>
    <col min="482" max="482" width="19.42578125" style="145" customWidth="1"/>
    <col min="483" max="483" width="12.42578125" style="145" customWidth="1"/>
    <col min="484" max="484" width="18.7109375" style="145" customWidth="1"/>
    <col min="485" max="485" width="11.42578125" style="145" customWidth="1"/>
    <col min="486" max="486" width="17.5703125" style="145" customWidth="1"/>
    <col min="487" max="487" width="12.140625" style="145" customWidth="1"/>
    <col min="488" max="488" width="18.85546875" style="145" customWidth="1"/>
    <col min="489" max="489" width="9.5703125" style="145" customWidth="1"/>
    <col min="490" max="490" width="13.28515625" style="145" customWidth="1"/>
    <col min="491" max="730" width="9.140625" style="145"/>
    <col min="731" max="731" width="11.7109375" style="145" customWidth="1"/>
    <col min="732" max="732" width="30" style="145" customWidth="1"/>
    <col min="733" max="733" width="17.5703125" style="145" customWidth="1"/>
    <col min="734" max="734" width="11" style="145" customWidth="1"/>
    <col min="735" max="735" width="11.42578125" style="145" customWidth="1"/>
    <col min="736" max="736" width="17.85546875" style="145" customWidth="1"/>
    <col min="737" max="737" width="8.5703125" style="145" customWidth="1"/>
    <col min="738" max="738" width="19.42578125" style="145" customWidth="1"/>
    <col min="739" max="739" width="12.42578125" style="145" customWidth="1"/>
    <col min="740" max="740" width="18.7109375" style="145" customWidth="1"/>
    <col min="741" max="741" width="11.42578125" style="145" customWidth="1"/>
    <col min="742" max="742" width="17.5703125" style="145" customWidth="1"/>
    <col min="743" max="743" width="12.140625" style="145" customWidth="1"/>
    <col min="744" max="744" width="18.85546875" style="145" customWidth="1"/>
    <col min="745" max="745" width="9.5703125" style="145" customWidth="1"/>
    <col min="746" max="746" width="13.28515625" style="145" customWidth="1"/>
    <col min="747" max="986" width="9.140625" style="145"/>
    <col min="987" max="987" width="11.7109375" style="145" customWidth="1"/>
    <col min="988" max="988" width="30" style="145" customWidth="1"/>
    <col min="989" max="989" width="17.5703125" style="145" customWidth="1"/>
    <col min="990" max="990" width="11" style="145" customWidth="1"/>
    <col min="991" max="991" width="11.42578125" style="145" customWidth="1"/>
    <col min="992" max="992" width="17.85546875" style="145" customWidth="1"/>
    <col min="993" max="993" width="8.5703125" style="145" customWidth="1"/>
    <col min="994" max="994" width="19.42578125" style="145" customWidth="1"/>
    <col min="995" max="995" width="12.42578125" style="145" customWidth="1"/>
    <col min="996" max="996" width="18.7109375" style="145" customWidth="1"/>
    <col min="997" max="997" width="11.42578125" style="145" customWidth="1"/>
    <col min="998" max="998" width="17.5703125" style="145" customWidth="1"/>
    <col min="999" max="999" width="12.140625" style="145" customWidth="1"/>
    <col min="1000" max="1000" width="18.85546875" style="145" customWidth="1"/>
    <col min="1001" max="1001" width="9.5703125" style="145" customWidth="1"/>
    <col min="1002" max="1002" width="13.28515625" style="145" customWidth="1"/>
    <col min="1003" max="1242" width="9.140625" style="145"/>
    <col min="1243" max="1243" width="11.7109375" style="145" customWidth="1"/>
    <col min="1244" max="1244" width="30" style="145" customWidth="1"/>
    <col min="1245" max="1245" width="17.5703125" style="145" customWidth="1"/>
    <col min="1246" max="1246" width="11" style="145" customWidth="1"/>
    <col min="1247" max="1247" width="11.42578125" style="145" customWidth="1"/>
    <col min="1248" max="1248" width="17.85546875" style="145" customWidth="1"/>
    <col min="1249" max="1249" width="8.5703125" style="145" customWidth="1"/>
    <col min="1250" max="1250" width="19.42578125" style="145" customWidth="1"/>
    <col min="1251" max="1251" width="12.42578125" style="145" customWidth="1"/>
    <col min="1252" max="1252" width="18.7109375" style="145" customWidth="1"/>
    <col min="1253" max="1253" width="11.42578125" style="145" customWidth="1"/>
    <col min="1254" max="1254" width="17.5703125" style="145" customWidth="1"/>
    <col min="1255" max="1255" width="12.140625" style="145" customWidth="1"/>
    <col min="1256" max="1256" width="18.85546875" style="145" customWidth="1"/>
    <col min="1257" max="1257" width="9.5703125" style="145" customWidth="1"/>
    <col min="1258" max="1258" width="13.28515625" style="145" customWidth="1"/>
    <col min="1259" max="1498" width="9.140625" style="145"/>
    <col min="1499" max="1499" width="11.7109375" style="145" customWidth="1"/>
    <col min="1500" max="1500" width="30" style="145" customWidth="1"/>
    <col min="1501" max="1501" width="17.5703125" style="145" customWidth="1"/>
    <col min="1502" max="1502" width="11" style="145" customWidth="1"/>
    <col min="1503" max="1503" width="11.42578125" style="145" customWidth="1"/>
    <col min="1504" max="1504" width="17.85546875" style="145" customWidth="1"/>
    <col min="1505" max="1505" width="8.5703125" style="145" customWidth="1"/>
    <col min="1506" max="1506" width="19.42578125" style="145" customWidth="1"/>
    <col min="1507" max="1507" width="12.42578125" style="145" customWidth="1"/>
    <col min="1508" max="1508" width="18.7109375" style="145" customWidth="1"/>
    <col min="1509" max="1509" width="11.42578125" style="145" customWidth="1"/>
    <col min="1510" max="1510" width="17.5703125" style="145" customWidth="1"/>
    <col min="1511" max="1511" width="12.140625" style="145" customWidth="1"/>
    <col min="1512" max="1512" width="18.85546875" style="145" customWidth="1"/>
    <col min="1513" max="1513" width="9.5703125" style="145" customWidth="1"/>
    <col min="1514" max="1514" width="13.28515625" style="145" customWidth="1"/>
    <col min="1515" max="1754" width="9.140625" style="145"/>
    <col min="1755" max="1755" width="11.7109375" style="145" customWidth="1"/>
    <col min="1756" max="1756" width="30" style="145" customWidth="1"/>
    <col min="1757" max="1757" width="17.5703125" style="145" customWidth="1"/>
    <col min="1758" max="1758" width="11" style="145" customWidth="1"/>
    <col min="1759" max="1759" width="11.42578125" style="145" customWidth="1"/>
    <col min="1760" max="1760" width="17.85546875" style="145" customWidth="1"/>
    <col min="1761" max="1761" width="8.5703125" style="145" customWidth="1"/>
    <col min="1762" max="1762" width="19.42578125" style="145" customWidth="1"/>
    <col min="1763" max="1763" width="12.42578125" style="145" customWidth="1"/>
    <col min="1764" max="1764" width="18.7109375" style="145" customWidth="1"/>
    <col min="1765" max="1765" width="11.42578125" style="145" customWidth="1"/>
    <col min="1766" max="1766" width="17.5703125" style="145" customWidth="1"/>
    <col min="1767" max="1767" width="12.140625" style="145" customWidth="1"/>
    <col min="1768" max="1768" width="18.85546875" style="145" customWidth="1"/>
    <col min="1769" max="1769" width="9.5703125" style="145" customWidth="1"/>
    <col min="1770" max="1770" width="13.28515625" style="145" customWidth="1"/>
    <col min="1771" max="2010" width="9.140625" style="145"/>
    <col min="2011" max="2011" width="11.7109375" style="145" customWidth="1"/>
    <col min="2012" max="2012" width="30" style="145" customWidth="1"/>
    <col min="2013" max="2013" width="17.5703125" style="145" customWidth="1"/>
    <col min="2014" max="2014" width="11" style="145" customWidth="1"/>
    <col min="2015" max="2015" width="11.42578125" style="145" customWidth="1"/>
    <col min="2016" max="2016" width="17.85546875" style="145" customWidth="1"/>
    <col min="2017" max="2017" width="8.5703125" style="145" customWidth="1"/>
    <col min="2018" max="2018" width="19.42578125" style="145" customWidth="1"/>
    <col min="2019" max="2019" width="12.42578125" style="145" customWidth="1"/>
    <col min="2020" max="2020" width="18.7109375" style="145" customWidth="1"/>
    <col min="2021" max="2021" width="11.42578125" style="145" customWidth="1"/>
    <col min="2022" max="2022" width="17.5703125" style="145" customWidth="1"/>
    <col min="2023" max="2023" width="12.140625" style="145" customWidth="1"/>
    <col min="2024" max="2024" width="18.85546875" style="145" customWidth="1"/>
    <col min="2025" max="2025" width="9.5703125" style="145" customWidth="1"/>
    <col min="2026" max="2026" width="13.28515625" style="145" customWidth="1"/>
    <col min="2027" max="2266" width="9.140625" style="145"/>
    <col min="2267" max="2267" width="11.7109375" style="145" customWidth="1"/>
    <col min="2268" max="2268" width="30" style="145" customWidth="1"/>
    <col min="2269" max="2269" width="17.5703125" style="145" customWidth="1"/>
    <col min="2270" max="2270" width="11" style="145" customWidth="1"/>
    <col min="2271" max="2271" width="11.42578125" style="145" customWidth="1"/>
    <col min="2272" max="2272" width="17.85546875" style="145" customWidth="1"/>
    <col min="2273" max="2273" width="8.5703125" style="145" customWidth="1"/>
    <col min="2274" max="2274" width="19.42578125" style="145" customWidth="1"/>
    <col min="2275" max="2275" width="12.42578125" style="145" customWidth="1"/>
    <col min="2276" max="2276" width="18.7109375" style="145" customWidth="1"/>
    <col min="2277" max="2277" width="11.42578125" style="145" customWidth="1"/>
    <col min="2278" max="2278" width="17.5703125" style="145" customWidth="1"/>
    <col min="2279" max="2279" width="12.140625" style="145" customWidth="1"/>
    <col min="2280" max="2280" width="18.85546875" style="145" customWidth="1"/>
    <col min="2281" max="2281" width="9.5703125" style="145" customWidth="1"/>
    <col min="2282" max="2282" width="13.28515625" style="145" customWidth="1"/>
    <col min="2283" max="2522" width="9.140625" style="145"/>
    <col min="2523" max="2523" width="11.7109375" style="145" customWidth="1"/>
    <col min="2524" max="2524" width="30" style="145" customWidth="1"/>
    <col min="2525" max="2525" width="17.5703125" style="145" customWidth="1"/>
    <col min="2526" max="2526" width="11" style="145" customWidth="1"/>
    <col min="2527" max="2527" width="11.42578125" style="145" customWidth="1"/>
    <col min="2528" max="2528" width="17.85546875" style="145" customWidth="1"/>
    <col min="2529" max="2529" width="8.5703125" style="145" customWidth="1"/>
    <col min="2530" max="2530" width="19.42578125" style="145" customWidth="1"/>
    <col min="2531" max="2531" width="12.42578125" style="145" customWidth="1"/>
    <col min="2532" max="2532" width="18.7109375" style="145" customWidth="1"/>
    <col min="2533" max="2533" width="11.42578125" style="145" customWidth="1"/>
    <col min="2534" max="2534" width="17.5703125" style="145" customWidth="1"/>
    <col min="2535" max="2535" width="12.140625" style="145" customWidth="1"/>
    <col min="2536" max="2536" width="18.85546875" style="145" customWidth="1"/>
    <col min="2537" max="2537" width="9.5703125" style="145" customWidth="1"/>
    <col min="2538" max="2538" width="13.28515625" style="145" customWidth="1"/>
    <col min="2539" max="2778" width="9.140625" style="145"/>
    <col min="2779" max="2779" width="11.7109375" style="145" customWidth="1"/>
    <col min="2780" max="2780" width="30" style="145" customWidth="1"/>
    <col min="2781" max="2781" width="17.5703125" style="145" customWidth="1"/>
    <col min="2782" max="2782" width="11" style="145" customWidth="1"/>
    <col min="2783" max="2783" width="11.42578125" style="145" customWidth="1"/>
    <col min="2784" max="2784" width="17.85546875" style="145" customWidth="1"/>
    <col min="2785" max="2785" width="8.5703125" style="145" customWidth="1"/>
    <col min="2786" max="2786" width="19.42578125" style="145" customWidth="1"/>
    <col min="2787" max="2787" width="12.42578125" style="145" customWidth="1"/>
    <col min="2788" max="2788" width="18.7109375" style="145" customWidth="1"/>
    <col min="2789" max="2789" width="11.42578125" style="145" customWidth="1"/>
    <col min="2790" max="2790" width="17.5703125" style="145" customWidth="1"/>
    <col min="2791" max="2791" width="12.140625" style="145" customWidth="1"/>
    <col min="2792" max="2792" width="18.85546875" style="145" customWidth="1"/>
    <col min="2793" max="2793" width="9.5703125" style="145" customWidth="1"/>
    <col min="2794" max="2794" width="13.28515625" style="145" customWidth="1"/>
    <col min="2795" max="3034" width="9.140625" style="145"/>
    <col min="3035" max="3035" width="11.7109375" style="145" customWidth="1"/>
    <col min="3036" max="3036" width="30" style="145" customWidth="1"/>
    <col min="3037" max="3037" width="17.5703125" style="145" customWidth="1"/>
    <col min="3038" max="3038" width="11" style="145" customWidth="1"/>
    <col min="3039" max="3039" width="11.42578125" style="145" customWidth="1"/>
    <col min="3040" max="3040" width="17.85546875" style="145" customWidth="1"/>
    <col min="3041" max="3041" width="8.5703125" style="145" customWidth="1"/>
    <col min="3042" max="3042" width="19.42578125" style="145" customWidth="1"/>
    <col min="3043" max="3043" width="12.42578125" style="145" customWidth="1"/>
    <col min="3044" max="3044" width="18.7109375" style="145" customWidth="1"/>
    <col min="3045" max="3045" width="11.42578125" style="145" customWidth="1"/>
    <col min="3046" max="3046" width="17.5703125" style="145" customWidth="1"/>
    <col min="3047" max="3047" width="12.140625" style="145" customWidth="1"/>
    <col min="3048" max="3048" width="18.85546875" style="145" customWidth="1"/>
    <col min="3049" max="3049" width="9.5703125" style="145" customWidth="1"/>
    <col min="3050" max="3050" width="13.28515625" style="145" customWidth="1"/>
    <col min="3051" max="3290" width="9.140625" style="145"/>
    <col min="3291" max="3291" width="11.7109375" style="145" customWidth="1"/>
    <col min="3292" max="3292" width="30" style="145" customWidth="1"/>
    <col min="3293" max="3293" width="17.5703125" style="145" customWidth="1"/>
    <col min="3294" max="3294" width="11" style="145" customWidth="1"/>
    <col min="3295" max="3295" width="11.42578125" style="145" customWidth="1"/>
    <col min="3296" max="3296" width="17.85546875" style="145" customWidth="1"/>
    <col min="3297" max="3297" width="8.5703125" style="145" customWidth="1"/>
    <col min="3298" max="3298" width="19.42578125" style="145" customWidth="1"/>
    <col min="3299" max="3299" width="12.42578125" style="145" customWidth="1"/>
    <col min="3300" max="3300" width="18.7109375" style="145" customWidth="1"/>
    <col min="3301" max="3301" width="11.42578125" style="145" customWidth="1"/>
    <col min="3302" max="3302" width="17.5703125" style="145" customWidth="1"/>
    <col min="3303" max="3303" width="12.140625" style="145" customWidth="1"/>
    <col min="3304" max="3304" width="18.85546875" style="145" customWidth="1"/>
    <col min="3305" max="3305" width="9.5703125" style="145" customWidth="1"/>
    <col min="3306" max="3306" width="13.28515625" style="145" customWidth="1"/>
    <col min="3307" max="3546" width="9.140625" style="145"/>
    <col min="3547" max="3547" width="11.7109375" style="145" customWidth="1"/>
    <col min="3548" max="3548" width="30" style="145" customWidth="1"/>
    <col min="3549" max="3549" width="17.5703125" style="145" customWidth="1"/>
    <col min="3550" max="3550" width="11" style="145" customWidth="1"/>
    <col min="3551" max="3551" width="11.42578125" style="145" customWidth="1"/>
    <col min="3552" max="3552" width="17.85546875" style="145" customWidth="1"/>
    <col min="3553" max="3553" width="8.5703125" style="145" customWidth="1"/>
    <col min="3554" max="3554" width="19.42578125" style="145" customWidth="1"/>
    <col min="3555" max="3555" width="12.42578125" style="145" customWidth="1"/>
    <col min="3556" max="3556" width="18.7109375" style="145" customWidth="1"/>
    <col min="3557" max="3557" width="11.42578125" style="145" customWidth="1"/>
    <col min="3558" max="3558" width="17.5703125" style="145" customWidth="1"/>
    <col min="3559" max="3559" width="12.140625" style="145" customWidth="1"/>
    <col min="3560" max="3560" width="18.85546875" style="145" customWidth="1"/>
    <col min="3561" max="3561" width="9.5703125" style="145" customWidth="1"/>
    <col min="3562" max="3562" width="13.28515625" style="145" customWidth="1"/>
    <col min="3563" max="3802" width="9.140625" style="145"/>
    <col min="3803" max="3803" width="11.7109375" style="145" customWidth="1"/>
    <col min="3804" max="3804" width="30" style="145" customWidth="1"/>
    <col min="3805" max="3805" width="17.5703125" style="145" customWidth="1"/>
    <col min="3806" max="3806" width="11" style="145" customWidth="1"/>
    <col min="3807" max="3807" width="11.42578125" style="145" customWidth="1"/>
    <col min="3808" max="3808" width="17.85546875" style="145" customWidth="1"/>
    <col min="3809" max="3809" width="8.5703125" style="145" customWidth="1"/>
    <col min="3810" max="3810" width="19.42578125" style="145" customWidth="1"/>
    <col min="3811" max="3811" width="12.42578125" style="145" customWidth="1"/>
    <col min="3812" max="3812" width="18.7109375" style="145" customWidth="1"/>
    <col min="3813" max="3813" width="11.42578125" style="145" customWidth="1"/>
    <col min="3814" max="3814" width="17.5703125" style="145" customWidth="1"/>
    <col min="3815" max="3815" width="12.140625" style="145" customWidth="1"/>
    <col min="3816" max="3816" width="18.85546875" style="145" customWidth="1"/>
    <col min="3817" max="3817" width="9.5703125" style="145" customWidth="1"/>
    <col min="3818" max="3818" width="13.28515625" style="145" customWidth="1"/>
    <col min="3819" max="4058" width="9.140625" style="145"/>
    <col min="4059" max="4059" width="11.7109375" style="145" customWidth="1"/>
    <col min="4060" max="4060" width="30" style="145" customWidth="1"/>
    <col min="4061" max="4061" width="17.5703125" style="145" customWidth="1"/>
    <col min="4062" max="4062" width="11" style="145" customWidth="1"/>
    <col min="4063" max="4063" width="11.42578125" style="145" customWidth="1"/>
    <col min="4064" max="4064" width="17.85546875" style="145" customWidth="1"/>
    <col min="4065" max="4065" width="8.5703125" style="145" customWidth="1"/>
    <col min="4066" max="4066" width="19.42578125" style="145" customWidth="1"/>
    <col min="4067" max="4067" width="12.42578125" style="145" customWidth="1"/>
    <col min="4068" max="4068" width="18.7109375" style="145" customWidth="1"/>
    <col min="4069" max="4069" width="11.42578125" style="145" customWidth="1"/>
    <col min="4070" max="4070" width="17.5703125" style="145" customWidth="1"/>
    <col min="4071" max="4071" width="12.140625" style="145" customWidth="1"/>
    <col min="4072" max="4072" width="18.85546875" style="145" customWidth="1"/>
    <col min="4073" max="4073" width="9.5703125" style="145" customWidth="1"/>
    <col min="4074" max="4074" width="13.28515625" style="145" customWidth="1"/>
    <col min="4075" max="4314" width="9.140625" style="145"/>
    <col min="4315" max="4315" width="11.7109375" style="145" customWidth="1"/>
    <col min="4316" max="4316" width="30" style="145" customWidth="1"/>
    <col min="4317" max="4317" width="17.5703125" style="145" customWidth="1"/>
    <col min="4318" max="4318" width="11" style="145" customWidth="1"/>
    <col min="4319" max="4319" width="11.42578125" style="145" customWidth="1"/>
    <col min="4320" max="4320" width="17.85546875" style="145" customWidth="1"/>
    <col min="4321" max="4321" width="8.5703125" style="145" customWidth="1"/>
    <col min="4322" max="4322" width="19.42578125" style="145" customWidth="1"/>
    <col min="4323" max="4323" width="12.42578125" style="145" customWidth="1"/>
    <col min="4324" max="4324" width="18.7109375" style="145" customWidth="1"/>
    <col min="4325" max="4325" width="11.42578125" style="145" customWidth="1"/>
    <col min="4326" max="4326" width="17.5703125" style="145" customWidth="1"/>
    <col min="4327" max="4327" width="12.140625" style="145" customWidth="1"/>
    <col min="4328" max="4328" width="18.85546875" style="145" customWidth="1"/>
    <col min="4329" max="4329" width="9.5703125" style="145" customWidth="1"/>
    <col min="4330" max="4330" width="13.28515625" style="145" customWidth="1"/>
    <col min="4331" max="4570" width="9.140625" style="145"/>
    <col min="4571" max="4571" width="11.7109375" style="145" customWidth="1"/>
    <col min="4572" max="4572" width="30" style="145" customWidth="1"/>
    <col min="4573" max="4573" width="17.5703125" style="145" customWidth="1"/>
    <col min="4574" max="4574" width="11" style="145" customWidth="1"/>
    <col min="4575" max="4575" width="11.42578125" style="145" customWidth="1"/>
    <col min="4576" max="4576" width="17.85546875" style="145" customWidth="1"/>
    <col min="4577" max="4577" width="8.5703125" style="145" customWidth="1"/>
    <col min="4578" max="4578" width="19.42578125" style="145" customWidth="1"/>
    <col min="4579" max="4579" width="12.42578125" style="145" customWidth="1"/>
    <col min="4580" max="4580" width="18.7109375" style="145" customWidth="1"/>
    <col min="4581" max="4581" width="11.42578125" style="145" customWidth="1"/>
    <col min="4582" max="4582" width="17.5703125" style="145" customWidth="1"/>
    <col min="4583" max="4583" width="12.140625" style="145" customWidth="1"/>
    <col min="4584" max="4584" width="18.85546875" style="145" customWidth="1"/>
    <col min="4585" max="4585" width="9.5703125" style="145" customWidth="1"/>
    <col min="4586" max="4586" width="13.28515625" style="145" customWidth="1"/>
    <col min="4587" max="4826" width="9.140625" style="145"/>
    <col min="4827" max="4827" width="11.7109375" style="145" customWidth="1"/>
    <col min="4828" max="4828" width="30" style="145" customWidth="1"/>
    <col min="4829" max="4829" width="17.5703125" style="145" customWidth="1"/>
    <col min="4830" max="4830" width="11" style="145" customWidth="1"/>
    <col min="4831" max="4831" width="11.42578125" style="145" customWidth="1"/>
    <col min="4832" max="4832" width="17.85546875" style="145" customWidth="1"/>
    <col min="4833" max="4833" width="8.5703125" style="145" customWidth="1"/>
    <col min="4834" max="4834" width="19.42578125" style="145" customWidth="1"/>
    <col min="4835" max="4835" width="12.42578125" style="145" customWidth="1"/>
    <col min="4836" max="4836" width="18.7109375" style="145" customWidth="1"/>
    <col min="4837" max="4837" width="11.42578125" style="145" customWidth="1"/>
    <col min="4838" max="4838" width="17.5703125" style="145" customWidth="1"/>
    <col min="4839" max="4839" width="12.140625" style="145" customWidth="1"/>
    <col min="4840" max="4840" width="18.85546875" style="145" customWidth="1"/>
    <col min="4841" max="4841" width="9.5703125" style="145" customWidth="1"/>
    <col min="4842" max="4842" width="13.28515625" style="145" customWidth="1"/>
    <col min="4843" max="5082" width="9.140625" style="145"/>
    <col min="5083" max="5083" width="11.7109375" style="145" customWidth="1"/>
    <col min="5084" max="5084" width="30" style="145" customWidth="1"/>
    <col min="5085" max="5085" width="17.5703125" style="145" customWidth="1"/>
    <col min="5086" max="5086" width="11" style="145" customWidth="1"/>
    <col min="5087" max="5087" width="11.42578125" style="145" customWidth="1"/>
    <col min="5088" max="5088" width="17.85546875" style="145" customWidth="1"/>
    <col min="5089" max="5089" width="8.5703125" style="145" customWidth="1"/>
    <col min="5090" max="5090" width="19.42578125" style="145" customWidth="1"/>
    <col min="5091" max="5091" width="12.42578125" style="145" customWidth="1"/>
    <col min="5092" max="5092" width="18.7109375" style="145" customWidth="1"/>
    <col min="5093" max="5093" width="11.42578125" style="145" customWidth="1"/>
    <col min="5094" max="5094" width="17.5703125" style="145" customWidth="1"/>
    <col min="5095" max="5095" width="12.140625" style="145" customWidth="1"/>
    <col min="5096" max="5096" width="18.85546875" style="145" customWidth="1"/>
    <col min="5097" max="5097" width="9.5703125" style="145" customWidth="1"/>
    <col min="5098" max="5098" width="13.28515625" style="145" customWidth="1"/>
    <col min="5099" max="5338" width="9.140625" style="145"/>
    <col min="5339" max="5339" width="11.7109375" style="145" customWidth="1"/>
    <col min="5340" max="5340" width="30" style="145" customWidth="1"/>
    <col min="5341" max="5341" width="17.5703125" style="145" customWidth="1"/>
    <col min="5342" max="5342" width="11" style="145" customWidth="1"/>
    <col min="5343" max="5343" width="11.42578125" style="145" customWidth="1"/>
    <col min="5344" max="5344" width="17.85546875" style="145" customWidth="1"/>
    <col min="5345" max="5345" width="8.5703125" style="145" customWidth="1"/>
    <col min="5346" max="5346" width="19.42578125" style="145" customWidth="1"/>
    <col min="5347" max="5347" width="12.42578125" style="145" customWidth="1"/>
    <col min="5348" max="5348" width="18.7109375" style="145" customWidth="1"/>
    <col min="5349" max="5349" width="11.42578125" style="145" customWidth="1"/>
    <col min="5350" max="5350" width="17.5703125" style="145" customWidth="1"/>
    <col min="5351" max="5351" width="12.140625" style="145" customWidth="1"/>
    <col min="5352" max="5352" width="18.85546875" style="145" customWidth="1"/>
    <col min="5353" max="5353" width="9.5703125" style="145" customWidth="1"/>
    <col min="5354" max="5354" width="13.28515625" style="145" customWidth="1"/>
    <col min="5355" max="5594" width="9.140625" style="145"/>
    <col min="5595" max="5595" width="11.7109375" style="145" customWidth="1"/>
    <col min="5596" max="5596" width="30" style="145" customWidth="1"/>
    <col min="5597" max="5597" width="17.5703125" style="145" customWidth="1"/>
    <col min="5598" max="5598" width="11" style="145" customWidth="1"/>
    <col min="5599" max="5599" width="11.42578125" style="145" customWidth="1"/>
    <col min="5600" max="5600" width="17.85546875" style="145" customWidth="1"/>
    <col min="5601" max="5601" width="8.5703125" style="145" customWidth="1"/>
    <col min="5602" max="5602" width="19.42578125" style="145" customWidth="1"/>
    <col min="5603" max="5603" width="12.42578125" style="145" customWidth="1"/>
    <col min="5604" max="5604" width="18.7109375" style="145" customWidth="1"/>
    <col min="5605" max="5605" width="11.42578125" style="145" customWidth="1"/>
    <col min="5606" max="5606" width="17.5703125" style="145" customWidth="1"/>
    <col min="5607" max="5607" width="12.140625" style="145" customWidth="1"/>
    <col min="5608" max="5608" width="18.85546875" style="145" customWidth="1"/>
    <col min="5609" max="5609" width="9.5703125" style="145" customWidth="1"/>
    <col min="5610" max="5610" width="13.28515625" style="145" customWidth="1"/>
    <col min="5611" max="5850" width="9.140625" style="145"/>
    <col min="5851" max="5851" width="11.7109375" style="145" customWidth="1"/>
    <col min="5852" max="5852" width="30" style="145" customWidth="1"/>
    <col min="5853" max="5853" width="17.5703125" style="145" customWidth="1"/>
    <col min="5854" max="5854" width="11" style="145" customWidth="1"/>
    <col min="5855" max="5855" width="11.42578125" style="145" customWidth="1"/>
    <col min="5856" max="5856" width="17.85546875" style="145" customWidth="1"/>
    <col min="5857" max="5857" width="8.5703125" style="145" customWidth="1"/>
    <col min="5858" max="5858" width="19.42578125" style="145" customWidth="1"/>
    <col min="5859" max="5859" width="12.42578125" style="145" customWidth="1"/>
    <col min="5860" max="5860" width="18.7109375" style="145" customWidth="1"/>
    <col min="5861" max="5861" width="11.42578125" style="145" customWidth="1"/>
    <col min="5862" max="5862" width="17.5703125" style="145" customWidth="1"/>
    <col min="5863" max="5863" width="12.140625" style="145" customWidth="1"/>
    <col min="5864" max="5864" width="18.85546875" style="145" customWidth="1"/>
    <col min="5865" max="5865" width="9.5703125" style="145" customWidth="1"/>
    <col min="5866" max="5866" width="13.28515625" style="145" customWidth="1"/>
    <col min="5867" max="6106" width="9.140625" style="145"/>
    <col min="6107" max="6107" width="11.7109375" style="145" customWidth="1"/>
    <col min="6108" max="6108" width="30" style="145" customWidth="1"/>
    <col min="6109" max="6109" width="17.5703125" style="145" customWidth="1"/>
    <col min="6110" max="6110" width="11" style="145" customWidth="1"/>
    <col min="6111" max="6111" width="11.42578125" style="145" customWidth="1"/>
    <col min="6112" max="6112" width="17.85546875" style="145" customWidth="1"/>
    <col min="6113" max="6113" width="8.5703125" style="145" customWidth="1"/>
    <col min="6114" max="6114" width="19.42578125" style="145" customWidth="1"/>
    <col min="6115" max="6115" width="12.42578125" style="145" customWidth="1"/>
    <col min="6116" max="6116" width="18.7109375" style="145" customWidth="1"/>
    <col min="6117" max="6117" width="11.42578125" style="145" customWidth="1"/>
    <col min="6118" max="6118" width="17.5703125" style="145" customWidth="1"/>
    <col min="6119" max="6119" width="12.140625" style="145" customWidth="1"/>
    <col min="6120" max="6120" width="18.85546875" style="145" customWidth="1"/>
    <col min="6121" max="6121" width="9.5703125" style="145" customWidth="1"/>
    <col min="6122" max="6122" width="13.28515625" style="145" customWidth="1"/>
    <col min="6123" max="6362" width="9.140625" style="145"/>
    <col min="6363" max="6363" width="11.7109375" style="145" customWidth="1"/>
    <col min="6364" max="6364" width="30" style="145" customWidth="1"/>
    <col min="6365" max="6365" width="17.5703125" style="145" customWidth="1"/>
    <col min="6366" max="6366" width="11" style="145" customWidth="1"/>
    <col min="6367" max="6367" width="11.42578125" style="145" customWidth="1"/>
    <col min="6368" max="6368" width="17.85546875" style="145" customWidth="1"/>
    <col min="6369" max="6369" width="8.5703125" style="145" customWidth="1"/>
    <col min="6370" max="6370" width="19.42578125" style="145" customWidth="1"/>
    <col min="6371" max="6371" width="12.42578125" style="145" customWidth="1"/>
    <col min="6372" max="6372" width="18.7109375" style="145" customWidth="1"/>
    <col min="6373" max="6373" width="11.42578125" style="145" customWidth="1"/>
    <col min="6374" max="6374" width="17.5703125" style="145" customWidth="1"/>
    <col min="6375" max="6375" width="12.140625" style="145" customWidth="1"/>
    <col min="6376" max="6376" width="18.85546875" style="145" customWidth="1"/>
    <col min="6377" max="6377" width="9.5703125" style="145" customWidth="1"/>
    <col min="6378" max="6378" width="13.28515625" style="145" customWidth="1"/>
    <col min="6379" max="6618" width="9.140625" style="145"/>
    <col min="6619" max="6619" width="11.7109375" style="145" customWidth="1"/>
    <col min="6620" max="6620" width="30" style="145" customWidth="1"/>
    <col min="6621" max="6621" width="17.5703125" style="145" customWidth="1"/>
    <col min="6622" max="6622" width="11" style="145" customWidth="1"/>
    <col min="6623" max="6623" width="11.42578125" style="145" customWidth="1"/>
    <col min="6624" max="6624" width="17.85546875" style="145" customWidth="1"/>
    <col min="6625" max="6625" width="8.5703125" style="145" customWidth="1"/>
    <col min="6626" max="6626" width="19.42578125" style="145" customWidth="1"/>
    <col min="6627" max="6627" width="12.42578125" style="145" customWidth="1"/>
    <col min="6628" max="6628" width="18.7109375" style="145" customWidth="1"/>
    <col min="6629" max="6629" width="11.42578125" style="145" customWidth="1"/>
    <col min="6630" max="6630" width="17.5703125" style="145" customWidth="1"/>
    <col min="6631" max="6631" width="12.140625" style="145" customWidth="1"/>
    <col min="6632" max="6632" width="18.85546875" style="145" customWidth="1"/>
    <col min="6633" max="6633" width="9.5703125" style="145" customWidth="1"/>
    <col min="6634" max="6634" width="13.28515625" style="145" customWidth="1"/>
    <col min="6635" max="6874" width="9.140625" style="145"/>
    <col min="6875" max="6875" width="11.7109375" style="145" customWidth="1"/>
    <col min="6876" max="6876" width="30" style="145" customWidth="1"/>
    <col min="6877" max="6877" width="17.5703125" style="145" customWidth="1"/>
    <col min="6878" max="6878" width="11" style="145" customWidth="1"/>
    <col min="6879" max="6879" width="11.42578125" style="145" customWidth="1"/>
    <col min="6880" max="6880" width="17.85546875" style="145" customWidth="1"/>
    <col min="6881" max="6881" width="8.5703125" style="145" customWidth="1"/>
    <col min="6882" max="6882" width="19.42578125" style="145" customWidth="1"/>
    <col min="6883" max="6883" width="12.42578125" style="145" customWidth="1"/>
    <col min="6884" max="6884" width="18.7109375" style="145" customWidth="1"/>
    <col min="6885" max="6885" width="11.42578125" style="145" customWidth="1"/>
    <col min="6886" max="6886" width="17.5703125" style="145" customWidth="1"/>
    <col min="6887" max="6887" width="12.140625" style="145" customWidth="1"/>
    <col min="6888" max="6888" width="18.85546875" style="145" customWidth="1"/>
    <col min="6889" max="6889" width="9.5703125" style="145" customWidth="1"/>
    <col min="6890" max="6890" width="13.28515625" style="145" customWidth="1"/>
    <col min="6891" max="7130" width="9.140625" style="145"/>
    <col min="7131" max="7131" width="11.7109375" style="145" customWidth="1"/>
    <col min="7132" max="7132" width="30" style="145" customWidth="1"/>
    <col min="7133" max="7133" width="17.5703125" style="145" customWidth="1"/>
    <col min="7134" max="7134" width="11" style="145" customWidth="1"/>
    <col min="7135" max="7135" width="11.42578125" style="145" customWidth="1"/>
    <col min="7136" max="7136" width="17.85546875" style="145" customWidth="1"/>
    <col min="7137" max="7137" width="8.5703125" style="145" customWidth="1"/>
    <col min="7138" max="7138" width="19.42578125" style="145" customWidth="1"/>
    <col min="7139" max="7139" width="12.42578125" style="145" customWidth="1"/>
    <col min="7140" max="7140" width="18.7109375" style="145" customWidth="1"/>
    <col min="7141" max="7141" width="11.42578125" style="145" customWidth="1"/>
    <col min="7142" max="7142" width="17.5703125" style="145" customWidth="1"/>
    <col min="7143" max="7143" width="12.140625" style="145" customWidth="1"/>
    <col min="7144" max="7144" width="18.85546875" style="145" customWidth="1"/>
    <col min="7145" max="7145" width="9.5703125" style="145" customWidth="1"/>
    <col min="7146" max="7146" width="13.28515625" style="145" customWidth="1"/>
    <col min="7147" max="7386" width="9.140625" style="145"/>
    <col min="7387" max="7387" width="11.7109375" style="145" customWidth="1"/>
    <col min="7388" max="7388" width="30" style="145" customWidth="1"/>
    <col min="7389" max="7389" width="17.5703125" style="145" customWidth="1"/>
    <col min="7390" max="7390" width="11" style="145" customWidth="1"/>
    <col min="7391" max="7391" width="11.42578125" style="145" customWidth="1"/>
    <col min="7392" max="7392" width="17.85546875" style="145" customWidth="1"/>
    <col min="7393" max="7393" width="8.5703125" style="145" customWidth="1"/>
    <col min="7394" max="7394" width="19.42578125" style="145" customWidth="1"/>
    <col min="7395" max="7395" width="12.42578125" style="145" customWidth="1"/>
    <col min="7396" max="7396" width="18.7109375" style="145" customWidth="1"/>
    <col min="7397" max="7397" width="11.42578125" style="145" customWidth="1"/>
    <col min="7398" max="7398" width="17.5703125" style="145" customWidth="1"/>
    <col min="7399" max="7399" width="12.140625" style="145" customWidth="1"/>
    <col min="7400" max="7400" width="18.85546875" style="145" customWidth="1"/>
    <col min="7401" max="7401" width="9.5703125" style="145" customWidth="1"/>
    <col min="7402" max="7402" width="13.28515625" style="145" customWidth="1"/>
    <col min="7403" max="7642" width="9.140625" style="145"/>
    <col min="7643" max="7643" width="11.7109375" style="145" customWidth="1"/>
    <col min="7644" max="7644" width="30" style="145" customWidth="1"/>
    <col min="7645" max="7645" width="17.5703125" style="145" customWidth="1"/>
    <col min="7646" max="7646" width="11" style="145" customWidth="1"/>
    <col min="7647" max="7647" width="11.42578125" style="145" customWidth="1"/>
    <col min="7648" max="7648" width="17.85546875" style="145" customWidth="1"/>
    <col min="7649" max="7649" width="8.5703125" style="145" customWidth="1"/>
    <col min="7650" max="7650" width="19.42578125" style="145" customWidth="1"/>
    <col min="7651" max="7651" width="12.42578125" style="145" customWidth="1"/>
    <col min="7652" max="7652" width="18.7109375" style="145" customWidth="1"/>
    <col min="7653" max="7653" width="11.42578125" style="145" customWidth="1"/>
    <col min="7654" max="7654" width="17.5703125" style="145" customWidth="1"/>
    <col min="7655" max="7655" width="12.140625" style="145" customWidth="1"/>
    <col min="7656" max="7656" width="18.85546875" style="145" customWidth="1"/>
    <col min="7657" max="7657" width="9.5703125" style="145" customWidth="1"/>
    <col min="7658" max="7658" width="13.28515625" style="145" customWidth="1"/>
    <col min="7659" max="7898" width="9.140625" style="145"/>
    <col min="7899" max="7899" width="11.7109375" style="145" customWidth="1"/>
    <col min="7900" max="7900" width="30" style="145" customWidth="1"/>
    <col min="7901" max="7901" width="17.5703125" style="145" customWidth="1"/>
    <col min="7902" max="7902" width="11" style="145" customWidth="1"/>
    <col min="7903" max="7903" width="11.42578125" style="145" customWidth="1"/>
    <col min="7904" max="7904" width="17.85546875" style="145" customWidth="1"/>
    <col min="7905" max="7905" width="8.5703125" style="145" customWidth="1"/>
    <col min="7906" max="7906" width="19.42578125" style="145" customWidth="1"/>
    <col min="7907" max="7907" width="12.42578125" style="145" customWidth="1"/>
    <col min="7908" max="7908" width="18.7109375" style="145" customWidth="1"/>
    <col min="7909" max="7909" width="11.42578125" style="145" customWidth="1"/>
    <col min="7910" max="7910" width="17.5703125" style="145" customWidth="1"/>
    <col min="7911" max="7911" width="12.140625" style="145" customWidth="1"/>
    <col min="7912" max="7912" width="18.85546875" style="145" customWidth="1"/>
    <col min="7913" max="7913" width="9.5703125" style="145" customWidth="1"/>
    <col min="7914" max="7914" width="13.28515625" style="145" customWidth="1"/>
    <col min="7915" max="8154" width="9.140625" style="145"/>
    <col min="8155" max="8155" width="11.7109375" style="145" customWidth="1"/>
    <col min="8156" max="8156" width="30" style="145" customWidth="1"/>
    <col min="8157" max="8157" width="17.5703125" style="145" customWidth="1"/>
    <col min="8158" max="8158" width="11" style="145" customWidth="1"/>
    <col min="8159" max="8159" width="11.42578125" style="145" customWidth="1"/>
    <col min="8160" max="8160" width="17.85546875" style="145" customWidth="1"/>
    <col min="8161" max="8161" width="8.5703125" style="145" customWidth="1"/>
    <col min="8162" max="8162" width="19.42578125" style="145" customWidth="1"/>
    <col min="8163" max="8163" width="12.42578125" style="145" customWidth="1"/>
    <col min="8164" max="8164" width="18.7109375" style="145" customWidth="1"/>
    <col min="8165" max="8165" width="11.42578125" style="145" customWidth="1"/>
    <col min="8166" max="8166" width="17.5703125" style="145" customWidth="1"/>
    <col min="8167" max="8167" width="12.140625" style="145" customWidth="1"/>
    <col min="8168" max="8168" width="18.85546875" style="145" customWidth="1"/>
    <col min="8169" max="8169" width="9.5703125" style="145" customWidth="1"/>
    <col min="8170" max="8170" width="13.28515625" style="145" customWidth="1"/>
    <col min="8171" max="8410" width="9.140625" style="145"/>
    <col min="8411" max="8411" width="11.7109375" style="145" customWidth="1"/>
    <col min="8412" max="8412" width="30" style="145" customWidth="1"/>
    <col min="8413" max="8413" width="17.5703125" style="145" customWidth="1"/>
    <col min="8414" max="8414" width="11" style="145" customWidth="1"/>
    <col min="8415" max="8415" width="11.42578125" style="145" customWidth="1"/>
    <col min="8416" max="8416" width="17.85546875" style="145" customWidth="1"/>
    <col min="8417" max="8417" width="8.5703125" style="145" customWidth="1"/>
    <col min="8418" max="8418" width="19.42578125" style="145" customWidth="1"/>
    <col min="8419" max="8419" width="12.42578125" style="145" customWidth="1"/>
    <col min="8420" max="8420" width="18.7109375" style="145" customWidth="1"/>
    <col min="8421" max="8421" width="11.42578125" style="145" customWidth="1"/>
    <col min="8422" max="8422" width="17.5703125" style="145" customWidth="1"/>
    <col min="8423" max="8423" width="12.140625" style="145" customWidth="1"/>
    <col min="8424" max="8424" width="18.85546875" style="145" customWidth="1"/>
    <col min="8425" max="8425" width="9.5703125" style="145" customWidth="1"/>
    <col min="8426" max="8426" width="13.28515625" style="145" customWidth="1"/>
    <col min="8427" max="8666" width="9.140625" style="145"/>
    <col min="8667" max="8667" width="11.7109375" style="145" customWidth="1"/>
    <col min="8668" max="8668" width="30" style="145" customWidth="1"/>
    <col min="8669" max="8669" width="17.5703125" style="145" customWidth="1"/>
    <col min="8670" max="8670" width="11" style="145" customWidth="1"/>
    <col min="8671" max="8671" width="11.42578125" style="145" customWidth="1"/>
    <col min="8672" max="8672" width="17.85546875" style="145" customWidth="1"/>
    <col min="8673" max="8673" width="8.5703125" style="145" customWidth="1"/>
    <col min="8674" max="8674" width="19.42578125" style="145" customWidth="1"/>
    <col min="8675" max="8675" width="12.42578125" style="145" customWidth="1"/>
    <col min="8676" max="8676" width="18.7109375" style="145" customWidth="1"/>
    <col min="8677" max="8677" width="11.42578125" style="145" customWidth="1"/>
    <col min="8678" max="8678" width="17.5703125" style="145" customWidth="1"/>
    <col min="8679" max="8679" width="12.140625" style="145" customWidth="1"/>
    <col min="8680" max="8680" width="18.85546875" style="145" customWidth="1"/>
    <col min="8681" max="8681" width="9.5703125" style="145" customWidth="1"/>
    <col min="8682" max="8682" width="13.28515625" style="145" customWidth="1"/>
    <col min="8683" max="8922" width="9.140625" style="145"/>
    <col min="8923" max="8923" width="11.7109375" style="145" customWidth="1"/>
    <col min="8924" max="8924" width="30" style="145" customWidth="1"/>
    <col min="8925" max="8925" width="17.5703125" style="145" customWidth="1"/>
    <col min="8926" max="8926" width="11" style="145" customWidth="1"/>
    <col min="8927" max="8927" width="11.42578125" style="145" customWidth="1"/>
    <col min="8928" max="8928" width="17.85546875" style="145" customWidth="1"/>
    <col min="8929" max="8929" width="8.5703125" style="145" customWidth="1"/>
    <col min="8930" max="8930" width="19.42578125" style="145" customWidth="1"/>
    <col min="8931" max="8931" width="12.42578125" style="145" customWidth="1"/>
    <col min="8932" max="8932" width="18.7109375" style="145" customWidth="1"/>
    <col min="8933" max="8933" width="11.42578125" style="145" customWidth="1"/>
    <col min="8934" max="8934" width="17.5703125" style="145" customWidth="1"/>
    <col min="8935" max="8935" width="12.140625" style="145" customWidth="1"/>
    <col min="8936" max="8936" width="18.85546875" style="145" customWidth="1"/>
    <col min="8937" max="8937" width="9.5703125" style="145" customWidth="1"/>
    <col min="8938" max="8938" width="13.28515625" style="145" customWidth="1"/>
    <col min="8939" max="9178" width="9.140625" style="145"/>
    <col min="9179" max="9179" width="11.7109375" style="145" customWidth="1"/>
    <col min="9180" max="9180" width="30" style="145" customWidth="1"/>
    <col min="9181" max="9181" width="17.5703125" style="145" customWidth="1"/>
    <col min="9182" max="9182" width="11" style="145" customWidth="1"/>
    <col min="9183" max="9183" width="11.42578125" style="145" customWidth="1"/>
    <col min="9184" max="9184" width="17.85546875" style="145" customWidth="1"/>
    <col min="9185" max="9185" width="8.5703125" style="145" customWidth="1"/>
    <col min="9186" max="9186" width="19.42578125" style="145" customWidth="1"/>
    <col min="9187" max="9187" width="12.42578125" style="145" customWidth="1"/>
    <col min="9188" max="9188" width="18.7109375" style="145" customWidth="1"/>
    <col min="9189" max="9189" width="11.42578125" style="145" customWidth="1"/>
    <col min="9190" max="9190" width="17.5703125" style="145" customWidth="1"/>
    <col min="9191" max="9191" width="12.140625" style="145" customWidth="1"/>
    <col min="9192" max="9192" width="18.85546875" style="145" customWidth="1"/>
    <col min="9193" max="9193" width="9.5703125" style="145" customWidth="1"/>
    <col min="9194" max="9194" width="13.28515625" style="145" customWidth="1"/>
    <col min="9195" max="9434" width="9.140625" style="145"/>
    <col min="9435" max="9435" width="11.7109375" style="145" customWidth="1"/>
    <col min="9436" max="9436" width="30" style="145" customWidth="1"/>
    <col min="9437" max="9437" width="17.5703125" style="145" customWidth="1"/>
    <col min="9438" max="9438" width="11" style="145" customWidth="1"/>
    <col min="9439" max="9439" width="11.42578125" style="145" customWidth="1"/>
    <col min="9440" max="9440" width="17.85546875" style="145" customWidth="1"/>
    <col min="9441" max="9441" width="8.5703125" style="145" customWidth="1"/>
    <col min="9442" max="9442" width="19.42578125" style="145" customWidth="1"/>
    <col min="9443" max="9443" width="12.42578125" style="145" customWidth="1"/>
    <col min="9444" max="9444" width="18.7109375" style="145" customWidth="1"/>
    <col min="9445" max="9445" width="11.42578125" style="145" customWidth="1"/>
    <col min="9446" max="9446" width="17.5703125" style="145" customWidth="1"/>
    <col min="9447" max="9447" width="12.140625" style="145" customWidth="1"/>
    <col min="9448" max="9448" width="18.85546875" style="145" customWidth="1"/>
    <col min="9449" max="9449" width="9.5703125" style="145" customWidth="1"/>
    <col min="9450" max="9450" width="13.28515625" style="145" customWidth="1"/>
    <col min="9451" max="9690" width="9.140625" style="145"/>
    <col min="9691" max="9691" width="11.7109375" style="145" customWidth="1"/>
    <col min="9692" max="9692" width="30" style="145" customWidth="1"/>
    <col min="9693" max="9693" width="17.5703125" style="145" customWidth="1"/>
    <col min="9694" max="9694" width="11" style="145" customWidth="1"/>
    <col min="9695" max="9695" width="11.42578125" style="145" customWidth="1"/>
    <col min="9696" max="9696" width="17.85546875" style="145" customWidth="1"/>
    <col min="9697" max="9697" width="8.5703125" style="145" customWidth="1"/>
    <col min="9698" max="9698" width="19.42578125" style="145" customWidth="1"/>
    <col min="9699" max="9699" width="12.42578125" style="145" customWidth="1"/>
    <col min="9700" max="9700" width="18.7109375" style="145" customWidth="1"/>
    <col min="9701" max="9701" width="11.42578125" style="145" customWidth="1"/>
    <col min="9702" max="9702" width="17.5703125" style="145" customWidth="1"/>
    <col min="9703" max="9703" width="12.140625" style="145" customWidth="1"/>
    <col min="9704" max="9704" width="18.85546875" style="145" customWidth="1"/>
    <col min="9705" max="9705" width="9.5703125" style="145" customWidth="1"/>
    <col min="9706" max="9706" width="13.28515625" style="145" customWidth="1"/>
    <col min="9707" max="9946" width="9.140625" style="145"/>
    <col min="9947" max="9947" width="11.7109375" style="145" customWidth="1"/>
    <col min="9948" max="9948" width="30" style="145" customWidth="1"/>
    <col min="9949" max="9949" width="17.5703125" style="145" customWidth="1"/>
    <col min="9950" max="9950" width="11" style="145" customWidth="1"/>
    <col min="9951" max="9951" width="11.42578125" style="145" customWidth="1"/>
    <col min="9952" max="9952" width="17.85546875" style="145" customWidth="1"/>
    <col min="9953" max="9953" width="8.5703125" style="145" customWidth="1"/>
    <col min="9954" max="9954" width="19.42578125" style="145" customWidth="1"/>
    <col min="9955" max="9955" width="12.42578125" style="145" customWidth="1"/>
    <col min="9956" max="9956" width="18.7109375" style="145" customWidth="1"/>
    <col min="9957" max="9957" width="11.42578125" style="145" customWidth="1"/>
    <col min="9958" max="9958" width="17.5703125" style="145" customWidth="1"/>
    <col min="9959" max="9959" width="12.140625" style="145" customWidth="1"/>
    <col min="9960" max="9960" width="18.85546875" style="145" customWidth="1"/>
    <col min="9961" max="9961" width="9.5703125" style="145" customWidth="1"/>
    <col min="9962" max="9962" width="13.28515625" style="145" customWidth="1"/>
    <col min="9963" max="10202" width="9.140625" style="145"/>
    <col min="10203" max="10203" width="11.7109375" style="145" customWidth="1"/>
    <col min="10204" max="10204" width="30" style="145" customWidth="1"/>
    <col min="10205" max="10205" width="17.5703125" style="145" customWidth="1"/>
    <col min="10206" max="10206" width="11" style="145" customWidth="1"/>
    <col min="10207" max="10207" width="11.42578125" style="145" customWidth="1"/>
    <col min="10208" max="10208" width="17.85546875" style="145" customWidth="1"/>
    <col min="10209" max="10209" width="8.5703125" style="145" customWidth="1"/>
    <col min="10210" max="10210" width="19.42578125" style="145" customWidth="1"/>
    <col min="10211" max="10211" width="12.42578125" style="145" customWidth="1"/>
    <col min="10212" max="10212" width="18.7109375" style="145" customWidth="1"/>
    <col min="10213" max="10213" width="11.42578125" style="145" customWidth="1"/>
    <col min="10214" max="10214" width="17.5703125" style="145" customWidth="1"/>
    <col min="10215" max="10215" width="12.140625" style="145" customWidth="1"/>
    <col min="10216" max="10216" width="18.85546875" style="145" customWidth="1"/>
    <col min="10217" max="10217" width="9.5703125" style="145" customWidth="1"/>
    <col min="10218" max="10218" width="13.28515625" style="145" customWidth="1"/>
    <col min="10219" max="10458" width="9.140625" style="145"/>
    <col min="10459" max="10459" width="11.7109375" style="145" customWidth="1"/>
    <col min="10460" max="10460" width="30" style="145" customWidth="1"/>
    <col min="10461" max="10461" width="17.5703125" style="145" customWidth="1"/>
    <col min="10462" max="10462" width="11" style="145" customWidth="1"/>
    <col min="10463" max="10463" width="11.42578125" style="145" customWidth="1"/>
    <col min="10464" max="10464" width="17.85546875" style="145" customWidth="1"/>
    <col min="10465" max="10465" width="8.5703125" style="145" customWidth="1"/>
    <col min="10466" max="10466" width="19.42578125" style="145" customWidth="1"/>
    <col min="10467" max="10467" width="12.42578125" style="145" customWidth="1"/>
    <col min="10468" max="10468" width="18.7109375" style="145" customWidth="1"/>
    <col min="10469" max="10469" width="11.42578125" style="145" customWidth="1"/>
    <col min="10470" max="10470" width="17.5703125" style="145" customWidth="1"/>
    <col min="10471" max="10471" width="12.140625" style="145" customWidth="1"/>
    <col min="10472" max="10472" width="18.85546875" style="145" customWidth="1"/>
    <col min="10473" max="10473" width="9.5703125" style="145" customWidth="1"/>
    <col min="10474" max="10474" width="13.28515625" style="145" customWidth="1"/>
    <col min="10475" max="10714" width="9.140625" style="145"/>
    <col min="10715" max="10715" width="11.7109375" style="145" customWidth="1"/>
    <col min="10716" max="10716" width="30" style="145" customWidth="1"/>
    <col min="10717" max="10717" width="17.5703125" style="145" customWidth="1"/>
    <col min="10718" max="10718" width="11" style="145" customWidth="1"/>
    <col min="10719" max="10719" width="11.42578125" style="145" customWidth="1"/>
    <col min="10720" max="10720" width="17.85546875" style="145" customWidth="1"/>
    <col min="10721" max="10721" width="8.5703125" style="145" customWidth="1"/>
    <col min="10722" max="10722" width="19.42578125" style="145" customWidth="1"/>
    <col min="10723" max="10723" width="12.42578125" style="145" customWidth="1"/>
    <col min="10724" max="10724" width="18.7109375" style="145" customWidth="1"/>
    <col min="10725" max="10725" width="11.42578125" style="145" customWidth="1"/>
    <col min="10726" max="10726" width="17.5703125" style="145" customWidth="1"/>
    <col min="10727" max="10727" width="12.140625" style="145" customWidth="1"/>
    <col min="10728" max="10728" width="18.85546875" style="145" customWidth="1"/>
    <col min="10729" max="10729" width="9.5703125" style="145" customWidth="1"/>
    <col min="10730" max="10730" width="13.28515625" style="145" customWidth="1"/>
    <col min="10731" max="10970" width="9.140625" style="145"/>
    <col min="10971" max="10971" width="11.7109375" style="145" customWidth="1"/>
    <col min="10972" max="10972" width="30" style="145" customWidth="1"/>
    <col min="10973" max="10973" width="17.5703125" style="145" customWidth="1"/>
    <col min="10974" max="10974" width="11" style="145" customWidth="1"/>
    <col min="10975" max="10975" width="11.42578125" style="145" customWidth="1"/>
    <col min="10976" max="10976" width="17.85546875" style="145" customWidth="1"/>
    <col min="10977" max="10977" width="8.5703125" style="145" customWidth="1"/>
    <col min="10978" max="10978" width="19.42578125" style="145" customWidth="1"/>
    <col min="10979" max="10979" width="12.42578125" style="145" customWidth="1"/>
    <col min="10980" max="10980" width="18.7109375" style="145" customWidth="1"/>
    <col min="10981" max="10981" width="11.42578125" style="145" customWidth="1"/>
    <col min="10982" max="10982" width="17.5703125" style="145" customWidth="1"/>
    <col min="10983" max="10983" width="12.140625" style="145" customWidth="1"/>
    <col min="10984" max="10984" width="18.85546875" style="145" customWidth="1"/>
    <col min="10985" max="10985" width="9.5703125" style="145" customWidth="1"/>
    <col min="10986" max="10986" width="13.28515625" style="145" customWidth="1"/>
    <col min="10987" max="11226" width="9.140625" style="145"/>
    <col min="11227" max="11227" width="11.7109375" style="145" customWidth="1"/>
    <col min="11228" max="11228" width="30" style="145" customWidth="1"/>
    <col min="11229" max="11229" width="17.5703125" style="145" customWidth="1"/>
    <col min="11230" max="11230" width="11" style="145" customWidth="1"/>
    <col min="11231" max="11231" width="11.42578125" style="145" customWidth="1"/>
    <col min="11232" max="11232" width="17.85546875" style="145" customWidth="1"/>
    <col min="11233" max="11233" width="8.5703125" style="145" customWidth="1"/>
    <col min="11234" max="11234" width="19.42578125" style="145" customWidth="1"/>
    <col min="11235" max="11235" width="12.42578125" style="145" customWidth="1"/>
    <col min="11236" max="11236" width="18.7109375" style="145" customWidth="1"/>
    <col min="11237" max="11237" width="11.42578125" style="145" customWidth="1"/>
    <col min="11238" max="11238" width="17.5703125" style="145" customWidth="1"/>
    <col min="11239" max="11239" width="12.140625" style="145" customWidth="1"/>
    <col min="11240" max="11240" width="18.85546875" style="145" customWidth="1"/>
    <col min="11241" max="11241" width="9.5703125" style="145" customWidth="1"/>
    <col min="11242" max="11242" width="13.28515625" style="145" customWidth="1"/>
    <col min="11243" max="11482" width="9.140625" style="145"/>
    <col min="11483" max="11483" width="11.7109375" style="145" customWidth="1"/>
    <col min="11484" max="11484" width="30" style="145" customWidth="1"/>
    <col min="11485" max="11485" width="17.5703125" style="145" customWidth="1"/>
    <col min="11486" max="11486" width="11" style="145" customWidth="1"/>
    <col min="11487" max="11487" width="11.42578125" style="145" customWidth="1"/>
    <col min="11488" max="11488" width="17.85546875" style="145" customWidth="1"/>
    <col min="11489" max="11489" width="8.5703125" style="145" customWidth="1"/>
    <col min="11490" max="11490" width="19.42578125" style="145" customWidth="1"/>
    <col min="11491" max="11491" width="12.42578125" style="145" customWidth="1"/>
    <col min="11492" max="11492" width="18.7109375" style="145" customWidth="1"/>
    <col min="11493" max="11493" width="11.42578125" style="145" customWidth="1"/>
    <col min="11494" max="11494" width="17.5703125" style="145" customWidth="1"/>
    <col min="11495" max="11495" width="12.140625" style="145" customWidth="1"/>
    <col min="11496" max="11496" width="18.85546875" style="145" customWidth="1"/>
    <col min="11497" max="11497" width="9.5703125" style="145" customWidth="1"/>
    <col min="11498" max="11498" width="13.28515625" style="145" customWidth="1"/>
    <col min="11499" max="11738" width="9.140625" style="145"/>
    <col min="11739" max="11739" width="11.7109375" style="145" customWidth="1"/>
    <col min="11740" max="11740" width="30" style="145" customWidth="1"/>
    <col min="11741" max="11741" width="17.5703125" style="145" customWidth="1"/>
    <col min="11742" max="11742" width="11" style="145" customWidth="1"/>
    <col min="11743" max="11743" width="11.42578125" style="145" customWidth="1"/>
    <col min="11744" max="11744" width="17.85546875" style="145" customWidth="1"/>
    <col min="11745" max="11745" width="8.5703125" style="145" customWidth="1"/>
    <col min="11746" max="11746" width="19.42578125" style="145" customWidth="1"/>
    <col min="11747" max="11747" width="12.42578125" style="145" customWidth="1"/>
    <col min="11748" max="11748" width="18.7109375" style="145" customWidth="1"/>
    <col min="11749" max="11749" width="11.42578125" style="145" customWidth="1"/>
    <col min="11750" max="11750" width="17.5703125" style="145" customWidth="1"/>
    <col min="11751" max="11751" width="12.140625" style="145" customWidth="1"/>
    <col min="11752" max="11752" width="18.85546875" style="145" customWidth="1"/>
    <col min="11753" max="11753" width="9.5703125" style="145" customWidth="1"/>
    <col min="11754" max="11754" width="13.28515625" style="145" customWidth="1"/>
    <col min="11755" max="11994" width="9.140625" style="145"/>
    <col min="11995" max="11995" width="11.7109375" style="145" customWidth="1"/>
    <col min="11996" max="11996" width="30" style="145" customWidth="1"/>
    <col min="11997" max="11997" width="17.5703125" style="145" customWidth="1"/>
    <col min="11998" max="11998" width="11" style="145" customWidth="1"/>
    <col min="11999" max="11999" width="11.42578125" style="145" customWidth="1"/>
    <col min="12000" max="12000" width="17.85546875" style="145" customWidth="1"/>
    <col min="12001" max="12001" width="8.5703125" style="145" customWidth="1"/>
    <col min="12002" max="12002" width="19.42578125" style="145" customWidth="1"/>
    <col min="12003" max="12003" width="12.42578125" style="145" customWidth="1"/>
    <col min="12004" max="12004" width="18.7109375" style="145" customWidth="1"/>
    <col min="12005" max="12005" width="11.42578125" style="145" customWidth="1"/>
    <col min="12006" max="12006" width="17.5703125" style="145" customWidth="1"/>
    <col min="12007" max="12007" width="12.140625" style="145" customWidth="1"/>
    <col min="12008" max="12008" width="18.85546875" style="145" customWidth="1"/>
    <col min="12009" max="12009" width="9.5703125" style="145" customWidth="1"/>
    <col min="12010" max="12010" width="13.28515625" style="145" customWidth="1"/>
    <col min="12011" max="12250" width="9.140625" style="145"/>
    <col min="12251" max="12251" width="11.7109375" style="145" customWidth="1"/>
    <col min="12252" max="12252" width="30" style="145" customWidth="1"/>
    <col min="12253" max="12253" width="17.5703125" style="145" customWidth="1"/>
    <col min="12254" max="12254" width="11" style="145" customWidth="1"/>
    <col min="12255" max="12255" width="11.42578125" style="145" customWidth="1"/>
    <col min="12256" max="12256" width="17.85546875" style="145" customWidth="1"/>
    <col min="12257" max="12257" width="8.5703125" style="145" customWidth="1"/>
    <col min="12258" max="12258" width="19.42578125" style="145" customWidth="1"/>
    <col min="12259" max="12259" width="12.42578125" style="145" customWidth="1"/>
    <col min="12260" max="12260" width="18.7109375" style="145" customWidth="1"/>
    <col min="12261" max="12261" width="11.42578125" style="145" customWidth="1"/>
    <col min="12262" max="12262" width="17.5703125" style="145" customWidth="1"/>
    <col min="12263" max="12263" width="12.140625" style="145" customWidth="1"/>
    <col min="12264" max="12264" width="18.85546875" style="145" customWidth="1"/>
    <col min="12265" max="12265" width="9.5703125" style="145" customWidth="1"/>
    <col min="12266" max="12266" width="13.28515625" style="145" customWidth="1"/>
    <col min="12267" max="12506" width="9.140625" style="145"/>
    <col min="12507" max="12507" width="11.7109375" style="145" customWidth="1"/>
    <col min="12508" max="12508" width="30" style="145" customWidth="1"/>
    <col min="12509" max="12509" width="17.5703125" style="145" customWidth="1"/>
    <col min="12510" max="12510" width="11" style="145" customWidth="1"/>
    <col min="12511" max="12511" width="11.42578125" style="145" customWidth="1"/>
    <col min="12512" max="12512" width="17.85546875" style="145" customWidth="1"/>
    <col min="12513" max="12513" width="8.5703125" style="145" customWidth="1"/>
    <col min="12514" max="12514" width="19.42578125" style="145" customWidth="1"/>
    <col min="12515" max="12515" width="12.42578125" style="145" customWidth="1"/>
    <col min="12516" max="12516" width="18.7109375" style="145" customWidth="1"/>
    <col min="12517" max="12517" width="11.42578125" style="145" customWidth="1"/>
    <col min="12518" max="12518" width="17.5703125" style="145" customWidth="1"/>
    <col min="12519" max="12519" width="12.140625" style="145" customWidth="1"/>
    <col min="12520" max="12520" width="18.85546875" style="145" customWidth="1"/>
    <col min="12521" max="12521" width="9.5703125" style="145" customWidth="1"/>
    <col min="12522" max="12522" width="13.28515625" style="145" customWidth="1"/>
    <col min="12523" max="12762" width="9.140625" style="145"/>
    <col min="12763" max="12763" width="11.7109375" style="145" customWidth="1"/>
    <col min="12764" max="12764" width="30" style="145" customWidth="1"/>
    <col min="12765" max="12765" width="17.5703125" style="145" customWidth="1"/>
    <col min="12766" max="12766" width="11" style="145" customWidth="1"/>
    <col min="12767" max="12767" width="11.42578125" style="145" customWidth="1"/>
    <col min="12768" max="12768" width="17.85546875" style="145" customWidth="1"/>
    <col min="12769" max="12769" width="8.5703125" style="145" customWidth="1"/>
    <col min="12770" max="12770" width="19.42578125" style="145" customWidth="1"/>
    <col min="12771" max="12771" width="12.42578125" style="145" customWidth="1"/>
    <col min="12772" max="12772" width="18.7109375" style="145" customWidth="1"/>
    <col min="12773" max="12773" width="11.42578125" style="145" customWidth="1"/>
    <col min="12774" max="12774" width="17.5703125" style="145" customWidth="1"/>
    <col min="12775" max="12775" width="12.140625" style="145" customWidth="1"/>
    <col min="12776" max="12776" width="18.85546875" style="145" customWidth="1"/>
    <col min="12777" max="12777" width="9.5703125" style="145" customWidth="1"/>
    <col min="12778" max="12778" width="13.28515625" style="145" customWidth="1"/>
    <col min="12779" max="13018" width="9.140625" style="145"/>
    <col min="13019" max="13019" width="11.7109375" style="145" customWidth="1"/>
    <col min="13020" max="13020" width="30" style="145" customWidth="1"/>
    <col min="13021" max="13021" width="17.5703125" style="145" customWidth="1"/>
    <col min="13022" max="13022" width="11" style="145" customWidth="1"/>
    <col min="13023" max="13023" width="11.42578125" style="145" customWidth="1"/>
    <col min="13024" max="13024" width="17.85546875" style="145" customWidth="1"/>
    <col min="13025" max="13025" width="8.5703125" style="145" customWidth="1"/>
    <col min="13026" max="13026" width="19.42578125" style="145" customWidth="1"/>
    <col min="13027" max="13027" width="12.42578125" style="145" customWidth="1"/>
    <col min="13028" max="13028" width="18.7109375" style="145" customWidth="1"/>
    <col min="13029" max="13029" width="11.42578125" style="145" customWidth="1"/>
    <col min="13030" max="13030" width="17.5703125" style="145" customWidth="1"/>
    <col min="13031" max="13031" width="12.140625" style="145" customWidth="1"/>
    <col min="13032" max="13032" width="18.85546875" style="145" customWidth="1"/>
    <col min="13033" max="13033" width="9.5703125" style="145" customWidth="1"/>
    <col min="13034" max="13034" width="13.28515625" style="145" customWidth="1"/>
    <col min="13035" max="13274" width="9.140625" style="145"/>
    <col min="13275" max="13275" width="11.7109375" style="145" customWidth="1"/>
    <col min="13276" max="13276" width="30" style="145" customWidth="1"/>
    <col min="13277" max="13277" width="17.5703125" style="145" customWidth="1"/>
    <col min="13278" max="13278" width="11" style="145" customWidth="1"/>
    <col min="13279" max="13279" width="11.42578125" style="145" customWidth="1"/>
    <col min="13280" max="13280" width="17.85546875" style="145" customWidth="1"/>
    <col min="13281" max="13281" width="8.5703125" style="145" customWidth="1"/>
    <col min="13282" max="13282" width="19.42578125" style="145" customWidth="1"/>
    <col min="13283" max="13283" width="12.42578125" style="145" customWidth="1"/>
    <col min="13284" max="13284" width="18.7109375" style="145" customWidth="1"/>
    <col min="13285" max="13285" width="11.42578125" style="145" customWidth="1"/>
    <col min="13286" max="13286" width="17.5703125" style="145" customWidth="1"/>
    <col min="13287" max="13287" width="12.140625" style="145" customWidth="1"/>
    <col min="13288" max="13288" width="18.85546875" style="145" customWidth="1"/>
    <col min="13289" max="13289" width="9.5703125" style="145" customWidth="1"/>
    <col min="13290" max="13290" width="13.28515625" style="145" customWidth="1"/>
    <col min="13291" max="13530" width="9.140625" style="145"/>
    <col min="13531" max="13531" width="11.7109375" style="145" customWidth="1"/>
    <col min="13532" max="13532" width="30" style="145" customWidth="1"/>
    <col min="13533" max="13533" width="17.5703125" style="145" customWidth="1"/>
    <col min="13534" max="13534" width="11" style="145" customWidth="1"/>
    <col min="13535" max="13535" width="11.42578125" style="145" customWidth="1"/>
    <col min="13536" max="13536" width="17.85546875" style="145" customWidth="1"/>
    <col min="13537" max="13537" width="8.5703125" style="145" customWidth="1"/>
    <col min="13538" max="13538" width="19.42578125" style="145" customWidth="1"/>
    <col min="13539" max="13539" width="12.42578125" style="145" customWidth="1"/>
    <col min="13540" max="13540" width="18.7109375" style="145" customWidth="1"/>
    <col min="13541" max="13541" width="11.42578125" style="145" customWidth="1"/>
    <col min="13542" max="13542" width="17.5703125" style="145" customWidth="1"/>
    <col min="13543" max="13543" width="12.140625" style="145" customWidth="1"/>
    <col min="13544" max="13544" width="18.85546875" style="145" customWidth="1"/>
    <col min="13545" max="13545" width="9.5703125" style="145" customWidth="1"/>
    <col min="13546" max="13546" width="13.28515625" style="145" customWidth="1"/>
    <col min="13547" max="13786" width="9.140625" style="145"/>
    <col min="13787" max="13787" width="11.7109375" style="145" customWidth="1"/>
    <col min="13788" max="13788" width="30" style="145" customWidth="1"/>
    <col min="13789" max="13789" width="17.5703125" style="145" customWidth="1"/>
    <col min="13790" max="13790" width="11" style="145" customWidth="1"/>
    <col min="13791" max="13791" width="11.42578125" style="145" customWidth="1"/>
    <col min="13792" max="13792" width="17.85546875" style="145" customWidth="1"/>
    <col min="13793" max="13793" width="8.5703125" style="145" customWidth="1"/>
    <col min="13794" max="13794" width="19.42578125" style="145" customWidth="1"/>
    <col min="13795" max="13795" width="12.42578125" style="145" customWidth="1"/>
    <col min="13796" max="13796" width="18.7109375" style="145" customWidth="1"/>
    <col min="13797" max="13797" width="11.42578125" style="145" customWidth="1"/>
    <col min="13798" max="13798" width="17.5703125" style="145" customWidth="1"/>
    <col min="13799" max="13799" width="12.140625" style="145" customWidth="1"/>
    <col min="13800" max="13800" width="18.85546875" style="145" customWidth="1"/>
    <col min="13801" max="13801" width="9.5703125" style="145" customWidth="1"/>
    <col min="13802" max="13802" width="13.28515625" style="145" customWidth="1"/>
    <col min="13803" max="14042" width="9.140625" style="145"/>
    <col min="14043" max="14043" width="11.7109375" style="145" customWidth="1"/>
    <col min="14044" max="14044" width="30" style="145" customWidth="1"/>
    <col min="14045" max="14045" width="17.5703125" style="145" customWidth="1"/>
    <col min="14046" max="14046" width="11" style="145" customWidth="1"/>
    <col min="14047" max="14047" width="11.42578125" style="145" customWidth="1"/>
    <col min="14048" max="14048" width="17.85546875" style="145" customWidth="1"/>
    <col min="14049" max="14049" width="8.5703125" style="145" customWidth="1"/>
    <col min="14050" max="14050" width="19.42578125" style="145" customWidth="1"/>
    <col min="14051" max="14051" width="12.42578125" style="145" customWidth="1"/>
    <col min="14052" max="14052" width="18.7109375" style="145" customWidth="1"/>
    <col min="14053" max="14053" width="11.42578125" style="145" customWidth="1"/>
    <col min="14054" max="14054" width="17.5703125" style="145" customWidth="1"/>
    <col min="14055" max="14055" width="12.140625" style="145" customWidth="1"/>
    <col min="14056" max="14056" width="18.85546875" style="145" customWidth="1"/>
    <col min="14057" max="14057" width="9.5703125" style="145" customWidth="1"/>
    <col min="14058" max="14058" width="13.28515625" style="145" customWidth="1"/>
    <col min="14059" max="14298" width="9.140625" style="145"/>
    <col min="14299" max="14299" width="11.7109375" style="145" customWidth="1"/>
    <col min="14300" max="14300" width="30" style="145" customWidth="1"/>
    <col min="14301" max="14301" width="17.5703125" style="145" customWidth="1"/>
    <col min="14302" max="14302" width="11" style="145" customWidth="1"/>
    <col min="14303" max="14303" width="11.42578125" style="145" customWidth="1"/>
    <col min="14304" max="14304" width="17.85546875" style="145" customWidth="1"/>
    <col min="14305" max="14305" width="8.5703125" style="145" customWidth="1"/>
    <col min="14306" max="14306" width="19.42578125" style="145" customWidth="1"/>
    <col min="14307" max="14307" width="12.42578125" style="145" customWidth="1"/>
    <col min="14308" max="14308" width="18.7109375" style="145" customWidth="1"/>
    <col min="14309" max="14309" width="11.42578125" style="145" customWidth="1"/>
    <col min="14310" max="14310" width="17.5703125" style="145" customWidth="1"/>
    <col min="14311" max="14311" width="12.140625" style="145" customWidth="1"/>
    <col min="14312" max="14312" width="18.85546875" style="145" customWidth="1"/>
    <col min="14313" max="14313" width="9.5703125" style="145" customWidth="1"/>
    <col min="14314" max="14314" width="13.28515625" style="145" customWidth="1"/>
    <col min="14315" max="14554" width="9.140625" style="145"/>
    <col min="14555" max="14555" width="11.7109375" style="145" customWidth="1"/>
    <col min="14556" max="14556" width="30" style="145" customWidth="1"/>
    <col min="14557" max="14557" width="17.5703125" style="145" customWidth="1"/>
    <col min="14558" max="14558" width="11" style="145" customWidth="1"/>
    <col min="14559" max="14559" width="11.42578125" style="145" customWidth="1"/>
    <col min="14560" max="14560" width="17.85546875" style="145" customWidth="1"/>
    <col min="14561" max="14561" width="8.5703125" style="145" customWidth="1"/>
    <col min="14562" max="14562" width="19.42578125" style="145" customWidth="1"/>
    <col min="14563" max="14563" width="12.42578125" style="145" customWidth="1"/>
    <col min="14564" max="14564" width="18.7109375" style="145" customWidth="1"/>
    <col min="14565" max="14565" width="11.42578125" style="145" customWidth="1"/>
    <col min="14566" max="14566" width="17.5703125" style="145" customWidth="1"/>
    <col min="14567" max="14567" width="12.140625" style="145" customWidth="1"/>
    <col min="14568" max="14568" width="18.85546875" style="145" customWidth="1"/>
    <col min="14569" max="14569" width="9.5703125" style="145" customWidth="1"/>
    <col min="14570" max="14570" width="13.28515625" style="145" customWidth="1"/>
    <col min="14571" max="14810" width="9.140625" style="145"/>
    <col min="14811" max="14811" width="11.7109375" style="145" customWidth="1"/>
    <col min="14812" max="14812" width="30" style="145" customWidth="1"/>
    <col min="14813" max="14813" width="17.5703125" style="145" customWidth="1"/>
    <col min="14814" max="14814" width="11" style="145" customWidth="1"/>
    <col min="14815" max="14815" width="11.42578125" style="145" customWidth="1"/>
    <col min="14816" max="14816" width="17.85546875" style="145" customWidth="1"/>
    <col min="14817" max="14817" width="8.5703125" style="145" customWidth="1"/>
    <col min="14818" max="14818" width="19.42578125" style="145" customWidth="1"/>
    <col min="14819" max="14819" width="12.42578125" style="145" customWidth="1"/>
    <col min="14820" max="14820" width="18.7109375" style="145" customWidth="1"/>
    <col min="14821" max="14821" width="11.42578125" style="145" customWidth="1"/>
    <col min="14822" max="14822" width="17.5703125" style="145" customWidth="1"/>
    <col min="14823" max="14823" width="12.140625" style="145" customWidth="1"/>
    <col min="14824" max="14824" width="18.85546875" style="145" customWidth="1"/>
    <col min="14825" max="14825" width="9.5703125" style="145" customWidth="1"/>
    <col min="14826" max="14826" width="13.28515625" style="145" customWidth="1"/>
    <col min="14827" max="15066" width="9.140625" style="145"/>
    <col min="15067" max="15067" width="11.7109375" style="145" customWidth="1"/>
    <col min="15068" max="15068" width="30" style="145" customWidth="1"/>
    <col min="15069" max="15069" width="17.5703125" style="145" customWidth="1"/>
    <col min="15070" max="15070" width="11" style="145" customWidth="1"/>
    <col min="15071" max="15071" width="11.42578125" style="145" customWidth="1"/>
    <col min="15072" max="15072" width="17.85546875" style="145" customWidth="1"/>
    <col min="15073" max="15073" width="8.5703125" style="145" customWidth="1"/>
    <col min="15074" max="15074" width="19.42578125" style="145" customWidth="1"/>
    <col min="15075" max="15075" width="12.42578125" style="145" customWidth="1"/>
    <col min="15076" max="15076" width="18.7109375" style="145" customWidth="1"/>
    <col min="15077" max="15077" width="11.42578125" style="145" customWidth="1"/>
    <col min="15078" max="15078" width="17.5703125" style="145" customWidth="1"/>
    <col min="15079" max="15079" width="12.140625" style="145" customWidth="1"/>
    <col min="15080" max="15080" width="18.85546875" style="145" customWidth="1"/>
    <col min="15081" max="15081" width="9.5703125" style="145" customWidth="1"/>
    <col min="15082" max="15082" width="13.28515625" style="145" customWidth="1"/>
    <col min="15083" max="15322" width="9.140625" style="145"/>
    <col min="15323" max="15323" width="11.7109375" style="145" customWidth="1"/>
    <col min="15324" max="15324" width="30" style="145" customWidth="1"/>
    <col min="15325" max="15325" width="17.5703125" style="145" customWidth="1"/>
    <col min="15326" max="15326" width="11" style="145" customWidth="1"/>
    <col min="15327" max="15327" width="11.42578125" style="145" customWidth="1"/>
    <col min="15328" max="15328" width="17.85546875" style="145" customWidth="1"/>
    <col min="15329" max="15329" width="8.5703125" style="145" customWidth="1"/>
    <col min="15330" max="15330" width="19.42578125" style="145" customWidth="1"/>
    <col min="15331" max="15331" width="12.42578125" style="145" customWidth="1"/>
    <col min="15332" max="15332" width="18.7109375" style="145" customWidth="1"/>
    <col min="15333" max="15333" width="11.42578125" style="145" customWidth="1"/>
    <col min="15334" max="15334" width="17.5703125" style="145" customWidth="1"/>
    <col min="15335" max="15335" width="12.140625" style="145" customWidth="1"/>
    <col min="15336" max="15336" width="18.85546875" style="145" customWidth="1"/>
    <col min="15337" max="15337" width="9.5703125" style="145" customWidth="1"/>
    <col min="15338" max="15338" width="13.28515625" style="145" customWidth="1"/>
    <col min="15339" max="15578" width="9.140625" style="145"/>
    <col min="15579" max="15579" width="11.7109375" style="145" customWidth="1"/>
    <col min="15580" max="15580" width="30" style="145" customWidth="1"/>
    <col min="15581" max="15581" width="17.5703125" style="145" customWidth="1"/>
    <col min="15582" max="15582" width="11" style="145" customWidth="1"/>
    <col min="15583" max="15583" width="11.42578125" style="145" customWidth="1"/>
    <col min="15584" max="15584" width="17.85546875" style="145" customWidth="1"/>
    <col min="15585" max="15585" width="8.5703125" style="145" customWidth="1"/>
    <col min="15586" max="15586" width="19.42578125" style="145" customWidth="1"/>
    <col min="15587" max="15587" width="12.42578125" style="145" customWidth="1"/>
    <col min="15588" max="15588" width="18.7109375" style="145" customWidth="1"/>
    <col min="15589" max="15589" width="11.42578125" style="145" customWidth="1"/>
    <col min="15590" max="15590" width="17.5703125" style="145" customWidth="1"/>
    <col min="15591" max="15591" width="12.140625" style="145" customWidth="1"/>
    <col min="15592" max="15592" width="18.85546875" style="145" customWidth="1"/>
    <col min="15593" max="15593" width="9.5703125" style="145" customWidth="1"/>
    <col min="15594" max="15594" width="13.28515625" style="145" customWidth="1"/>
    <col min="15595" max="15834" width="9.140625" style="145"/>
    <col min="15835" max="15835" width="11.7109375" style="145" customWidth="1"/>
    <col min="15836" max="15836" width="30" style="145" customWidth="1"/>
    <col min="15837" max="15837" width="17.5703125" style="145" customWidth="1"/>
    <col min="15838" max="15838" width="11" style="145" customWidth="1"/>
    <col min="15839" max="15839" width="11.42578125" style="145" customWidth="1"/>
    <col min="15840" max="15840" width="17.85546875" style="145" customWidth="1"/>
    <col min="15841" max="15841" width="8.5703125" style="145" customWidth="1"/>
    <col min="15842" max="15842" width="19.42578125" style="145" customWidth="1"/>
    <col min="15843" max="15843" width="12.42578125" style="145" customWidth="1"/>
    <col min="15844" max="15844" width="18.7109375" style="145" customWidth="1"/>
    <col min="15845" max="15845" width="11.42578125" style="145" customWidth="1"/>
    <col min="15846" max="15846" width="17.5703125" style="145" customWidth="1"/>
    <col min="15847" max="15847" width="12.140625" style="145" customWidth="1"/>
    <col min="15848" max="15848" width="18.85546875" style="145" customWidth="1"/>
    <col min="15849" max="15849" width="9.5703125" style="145" customWidth="1"/>
    <col min="15850" max="15850" width="13.28515625" style="145" customWidth="1"/>
    <col min="15851" max="16090" width="9.140625" style="145"/>
    <col min="16091" max="16091" width="11.7109375" style="145" customWidth="1"/>
    <col min="16092" max="16092" width="30" style="145" customWidth="1"/>
    <col min="16093" max="16093" width="17.5703125" style="145" customWidth="1"/>
    <col min="16094" max="16094" width="11" style="145" customWidth="1"/>
    <col min="16095" max="16095" width="11.42578125" style="145" customWidth="1"/>
    <col min="16096" max="16096" width="17.85546875" style="145" customWidth="1"/>
    <col min="16097" max="16097" width="8.5703125" style="145" customWidth="1"/>
    <col min="16098" max="16098" width="19.42578125" style="145" customWidth="1"/>
    <col min="16099" max="16099" width="12.42578125" style="145" customWidth="1"/>
    <col min="16100" max="16100" width="18.7109375" style="145" customWidth="1"/>
    <col min="16101" max="16101" width="11.42578125" style="145" customWidth="1"/>
    <col min="16102" max="16102" width="17.5703125" style="145" customWidth="1"/>
    <col min="16103" max="16103" width="12.140625" style="145" customWidth="1"/>
    <col min="16104" max="16104" width="18.85546875" style="145" customWidth="1"/>
    <col min="16105" max="16105" width="9.5703125" style="145" customWidth="1"/>
    <col min="16106" max="16106" width="13.28515625" style="145" customWidth="1"/>
    <col min="16107" max="16384" width="9.140625" style="145"/>
  </cols>
  <sheetData>
    <row r="1" spans="2:31" ht="15" customHeight="1" x14ac:dyDescent="0.2">
      <c r="B1" s="420"/>
      <c r="C1" s="414"/>
      <c r="D1" s="414"/>
      <c r="E1" s="414"/>
      <c r="F1" s="414"/>
      <c r="G1" s="414"/>
      <c r="H1" s="414"/>
      <c r="I1" s="414"/>
      <c r="J1" s="414"/>
      <c r="K1" s="414"/>
      <c r="L1" s="414"/>
      <c r="M1" s="414"/>
      <c r="N1" s="414"/>
      <c r="O1" s="414"/>
      <c r="P1" s="414"/>
      <c r="Q1" s="414"/>
    </row>
    <row r="2" spans="2:31" ht="15.75" customHeight="1" thickBot="1" x14ac:dyDescent="0.25">
      <c r="B2" s="414"/>
      <c r="C2" s="414"/>
      <c r="D2" s="414"/>
      <c r="E2" s="414"/>
      <c r="F2" s="414"/>
      <c r="G2" s="414"/>
      <c r="H2" s="414"/>
      <c r="I2" s="414"/>
      <c r="J2" s="414"/>
      <c r="K2" s="414"/>
      <c r="L2" s="414"/>
      <c r="M2" s="414"/>
      <c r="N2" s="414"/>
      <c r="O2" s="414"/>
      <c r="P2" s="414"/>
      <c r="Q2" s="414"/>
    </row>
    <row r="3" spans="2:31" ht="23.25" x14ac:dyDescent="0.35">
      <c r="B3" s="665" t="s">
        <v>489</v>
      </c>
      <c r="C3" s="666"/>
      <c r="D3" s="666"/>
      <c r="E3" s="666"/>
      <c r="F3" s="666"/>
      <c r="G3" s="666"/>
      <c r="H3" s="666"/>
      <c r="I3" s="666"/>
      <c r="J3" s="666"/>
      <c r="K3" s="666"/>
      <c r="L3" s="666"/>
      <c r="M3" s="666"/>
      <c r="N3" s="666"/>
      <c r="O3" s="666"/>
      <c r="P3" s="666"/>
      <c r="Q3" s="667"/>
    </row>
    <row r="4" spans="2:31" ht="34.5" customHeight="1" x14ac:dyDescent="0.2">
      <c r="B4" s="147" t="s">
        <v>526</v>
      </c>
      <c r="C4" s="421" t="s">
        <v>527</v>
      </c>
      <c r="D4" s="421"/>
      <c r="E4" s="421"/>
      <c r="F4" s="148"/>
      <c r="G4" s="149"/>
      <c r="H4" s="149"/>
      <c r="I4" s="415"/>
      <c r="J4" s="677"/>
      <c r="K4" s="677"/>
      <c r="L4" s="678"/>
      <c r="M4" s="668" t="s">
        <v>525</v>
      </c>
      <c r="N4" s="669"/>
      <c r="O4" s="669"/>
      <c r="P4" s="669"/>
      <c r="Q4" s="670"/>
    </row>
    <row r="5" spans="2:31" ht="24.75" customHeight="1" x14ac:dyDescent="0.2">
      <c r="B5" s="150" t="s">
        <v>338</v>
      </c>
      <c r="C5" s="151" t="s">
        <v>524</v>
      </c>
      <c r="D5" s="151"/>
      <c r="E5" s="151"/>
      <c r="F5" s="151"/>
      <c r="G5" s="152"/>
      <c r="H5" s="152"/>
      <c r="I5" s="683"/>
      <c r="J5" s="683"/>
      <c r="K5" s="683"/>
      <c r="L5" s="684"/>
      <c r="M5" s="671"/>
      <c r="N5" s="672"/>
      <c r="O5" s="672"/>
      <c r="P5" s="672"/>
      <c r="Q5" s="673"/>
    </row>
    <row r="6" spans="2:31" ht="20.25" customHeight="1" x14ac:dyDescent="0.2">
      <c r="B6" s="153" t="s">
        <v>340</v>
      </c>
      <c r="C6" s="154" t="s">
        <v>490</v>
      </c>
      <c r="D6" s="155"/>
      <c r="E6" s="155"/>
      <c r="F6" s="155"/>
      <c r="G6" s="152"/>
      <c r="H6" s="152"/>
      <c r="I6" s="151"/>
      <c r="J6" s="156"/>
      <c r="K6" s="679"/>
      <c r="L6" s="680"/>
      <c r="M6" s="671"/>
      <c r="N6" s="672"/>
      <c r="O6" s="672"/>
      <c r="P6" s="672"/>
      <c r="Q6" s="673"/>
    </row>
    <row r="7" spans="2:31" ht="27" customHeight="1" x14ac:dyDescent="0.2">
      <c r="B7" s="157" t="s">
        <v>339</v>
      </c>
      <c r="C7" s="158"/>
      <c r="D7" s="159"/>
      <c r="E7" s="159"/>
      <c r="F7" s="159"/>
      <c r="G7" s="160"/>
      <c r="H7" s="160"/>
      <c r="I7" s="416"/>
      <c r="J7" s="681"/>
      <c r="K7" s="681"/>
      <c r="L7" s="682"/>
      <c r="M7" s="674"/>
      <c r="N7" s="675"/>
      <c r="O7" s="675"/>
      <c r="P7" s="675"/>
      <c r="Q7" s="676"/>
    </row>
    <row r="8" spans="2:31" ht="18" customHeight="1" x14ac:dyDescent="0.2">
      <c r="B8" s="161"/>
      <c r="C8" s="162"/>
      <c r="D8" s="162"/>
      <c r="E8" s="162"/>
      <c r="F8" s="162"/>
      <c r="G8" s="146"/>
      <c r="H8" s="146"/>
      <c r="I8" s="146"/>
      <c r="J8" s="163"/>
      <c r="K8" s="164"/>
      <c r="L8" s="146"/>
      <c r="M8" s="146"/>
      <c r="N8" s="146"/>
      <c r="O8" s="146"/>
      <c r="P8" s="146"/>
      <c r="Q8" s="165"/>
    </row>
    <row r="9" spans="2:31" ht="25.5" customHeight="1" thickBot="1" x14ac:dyDescent="0.25">
      <c r="B9" s="166"/>
      <c r="C9" s="167"/>
      <c r="D9" s="167"/>
      <c r="E9" s="167"/>
      <c r="F9" s="167"/>
      <c r="G9" s="167"/>
      <c r="H9" s="168"/>
      <c r="I9" s="168"/>
      <c r="J9" s="168"/>
      <c r="K9" s="168"/>
      <c r="L9" s="169"/>
      <c r="M9" s="169"/>
      <c r="N9" s="170"/>
      <c r="O9" s="169"/>
      <c r="P9" s="169"/>
      <c r="Q9" s="171"/>
    </row>
    <row r="10" spans="2:31" ht="30" customHeight="1" x14ac:dyDescent="0.2">
      <c r="B10" s="657" t="s">
        <v>80</v>
      </c>
      <c r="C10" s="659" t="s">
        <v>341</v>
      </c>
      <c r="D10" s="376" t="s">
        <v>17</v>
      </c>
      <c r="E10" s="657" t="s">
        <v>503</v>
      </c>
      <c r="F10" s="661" t="s">
        <v>465</v>
      </c>
      <c r="G10" s="662"/>
      <c r="H10" s="663" t="s">
        <v>466</v>
      </c>
      <c r="I10" s="656"/>
      <c r="J10" s="663" t="s">
        <v>467</v>
      </c>
      <c r="K10" s="656"/>
      <c r="L10" s="663" t="s">
        <v>468</v>
      </c>
      <c r="M10" s="656"/>
      <c r="N10" s="663" t="s">
        <v>469</v>
      </c>
      <c r="O10" s="663"/>
      <c r="P10" s="655" t="s">
        <v>470</v>
      </c>
      <c r="Q10" s="656"/>
      <c r="R10" s="664"/>
      <c r="S10" s="664"/>
      <c r="T10" s="664"/>
      <c r="U10" s="664"/>
      <c r="V10" s="664"/>
      <c r="W10" s="664"/>
      <c r="X10" s="664"/>
      <c r="Y10" s="664"/>
      <c r="Z10" s="664"/>
      <c r="AA10" s="664"/>
      <c r="AB10" s="664"/>
      <c r="AC10" s="664"/>
      <c r="AD10" s="664"/>
      <c r="AE10" s="664"/>
    </row>
    <row r="11" spans="2:31" ht="30" customHeight="1" thickBot="1" x14ac:dyDescent="0.3">
      <c r="B11" s="658"/>
      <c r="C11" s="660"/>
      <c r="D11" s="377" t="s">
        <v>263</v>
      </c>
      <c r="E11" s="658"/>
      <c r="F11" s="218" t="s">
        <v>82</v>
      </c>
      <c r="G11" s="219" t="s">
        <v>342</v>
      </c>
      <c r="H11" s="220" t="s">
        <v>82</v>
      </c>
      <c r="I11" s="219" t="s">
        <v>342</v>
      </c>
      <c r="J11" s="220" t="s">
        <v>82</v>
      </c>
      <c r="K11" s="219" t="s">
        <v>342</v>
      </c>
      <c r="L11" s="220" t="s">
        <v>82</v>
      </c>
      <c r="M11" s="219" t="s">
        <v>342</v>
      </c>
      <c r="N11" s="220" t="s">
        <v>82</v>
      </c>
      <c r="O11" s="361" t="s">
        <v>342</v>
      </c>
      <c r="P11" s="218" t="s">
        <v>82</v>
      </c>
      <c r="Q11" s="219" t="s">
        <v>342</v>
      </c>
      <c r="R11" s="172"/>
      <c r="S11" s="242"/>
      <c r="T11" s="172"/>
      <c r="U11" s="172"/>
      <c r="V11" s="172"/>
      <c r="W11" s="172"/>
      <c r="X11" s="172"/>
      <c r="Y11" s="172"/>
      <c r="Z11" s="172"/>
      <c r="AA11" s="172"/>
      <c r="AB11" s="172"/>
      <c r="AC11" s="172"/>
      <c r="AD11" s="172"/>
      <c r="AE11" s="172"/>
    </row>
    <row r="12" spans="2:31" ht="30" customHeight="1" x14ac:dyDescent="0.2">
      <c r="B12" s="175">
        <v>1</v>
      </c>
      <c r="C12" s="347" t="s">
        <v>343</v>
      </c>
      <c r="D12" s="176">
        <f>'9 - Manutenção'!I16</f>
        <v>2466.62</v>
      </c>
      <c r="E12" s="177">
        <f>(D12/$D$24)</f>
        <v>2.1155124045373758E-3</v>
      </c>
      <c r="F12" s="348">
        <f>G12/$D$12</f>
        <v>8.3333333333333329E-2</v>
      </c>
      <c r="G12" s="179">
        <f>D12/12</f>
        <v>205.55166666666665</v>
      </c>
      <c r="H12" s="348">
        <f>I12/$D$12</f>
        <v>8.3333333333333329E-2</v>
      </c>
      <c r="I12" s="179">
        <f>G12</f>
        <v>205.55166666666665</v>
      </c>
      <c r="J12" s="348">
        <f>K12/$D$12</f>
        <v>8.3333333333333329E-2</v>
      </c>
      <c r="K12" s="179">
        <f t="shared" ref="K12:K23" si="0">I12</f>
        <v>205.55166666666665</v>
      </c>
      <c r="L12" s="178">
        <f>M12/$D$12</f>
        <v>8.3333333333333329E-2</v>
      </c>
      <c r="M12" s="179">
        <f t="shared" ref="M12:M23" si="1">K12</f>
        <v>205.55166666666665</v>
      </c>
      <c r="N12" s="348">
        <f>O12/$D$12</f>
        <v>8.3333333333333329E-2</v>
      </c>
      <c r="O12" s="180">
        <f t="shared" ref="O12:O23" si="2">M12</f>
        <v>205.55166666666665</v>
      </c>
      <c r="P12" s="348">
        <f>Q12/$D$12</f>
        <v>8.3333333333333329E-2</v>
      </c>
      <c r="Q12" s="179">
        <f t="shared" ref="Q12:Q23" si="3">O12</f>
        <v>205.55166666666665</v>
      </c>
      <c r="R12" s="173"/>
      <c r="S12" s="243"/>
      <c r="T12" s="243"/>
      <c r="U12" s="174"/>
      <c r="V12" s="173"/>
      <c r="W12" s="174"/>
      <c r="X12" s="173"/>
      <c r="Y12" s="174"/>
      <c r="Z12" s="173"/>
      <c r="AA12" s="174"/>
      <c r="AB12" s="173"/>
      <c r="AC12" s="174"/>
      <c r="AD12" s="173"/>
      <c r="AE12" s="174"/>
    </row>
    <row r="13" spans="2:31" ht="30" customHeight="1" x14ac:dyDescent="0.2">
      <c r="B13" s="181">
        <v>2</v>
      </c>
      <c r="C13" s="182" t="s">
        <v>154</v>
      </c>
      <c r="D13" s="183">
        <f>'9 - Manutenção'!I22</f>
        <v>47744.32</v>
      </c>
      <c r="E13" s="177">
        <f t="shared" ref="E13:E23" si="4">(D13/$D$24)</f>
        <v>4.0948221131022179E-2</v>
      </c>
      <c r="F13" s="184">
        <f>G13/$D$13</f>
        <v>8.3333333333333329E-2</v>
      </c>
      <c r="G13" s="179">
        <f t="shared" ref="G13:G22" si="5">D13/12</f>
        <v>3978.6933333333332</v>
      </c>
      <c r="H13" s="184">
        <f>I13/$D$13</f>
        <v>8.3333333333333329E-2</v>
      </c>
      <c r="I13" s="179">
        <f>G13</f>
        <v>3978.6933333333332</v>
      </c>
      <c r="J13" s="184">
        <f>K13/$D$13</f>
        <v>8.3333333333333329E-2</v>
      </c>
      <c r="K13" s="185">
        <f t="shared" si="0"/>
        <v>3978.6933333333332</v>
      </c>
      <c r="L13" s="184">
        <f>M13/$D$13</f>
        <v>8.3333333333333329E-2</v>
      </c>
      <c r="M13" s="185">
        <f t="shared" si="1"/>
        <v>3978.6933333333332</v>
      </c>
      <c r="N13" s="184">
        <f>O13/$D$13</f>
        <v>8.3333333333333329E-2</v>
      </c>
      <c r="O13" s="186">
        <f t="shared" si="2"/>
        <v>3978.6933333333332</v>
      </c>
      <c r="P13" s="184">
        <f>Q13/$D$13</f>
        <v>8.3333333333333329E-2</v>
      </c>
      <c r="Q13" s="185">
        <f t="shared" si="3"/>
        <v>3978.6933333333332</v>
      </c>
      <c r="S13" s="244"/>
      <c r="T13" s="244"/>
      <c r="U13" s="174"/>
      <c r="V13" s="173"/>
      <c r="W13" s="174"/>
      <c r="X13" s="173"/>
      <c r="Y13" s="174"/>
      <c r="Z13" s="173"/>
      <c r="AA13" s="174"/>
      <c r="AB13" s="173"/>
      <c r="AC13" s="174"/>
      <c r="AD13" s="173"/>
      <c r="AE13" s="174"/>
    </row>
    <row r="14" spans="2:31" ht="30" customHeight="1" x14ac:dyDescent="0.2">
      <c r="B14" s="181">
        <v>3</v>
      </c>
      <c r="C14" s="182" t="s">
        <v>159</v>
      </c>
      <c r="D14" s="183">
        <f>'9 - Manutenção'!I36</f>
        <v>63789.489999999991</v>
      </c>
      <c r="E14" s="177">
        <f t="shared" si="4"/>
        <v>5.4709463709088912E-2</v>
      </c>
      <c r="F14" s="184">
        <f>G14/$D$14</f>
        <v>8.3333333333333329E-2</v>
      </c>
      <c r="G14" s="179">
        <f t="shared" si="5"/>
        <v>5315.7908333333326</v>
      </c>
      <c r="H14" s="184">
        <f>I14/$D$14</f>
        <v>8.3333333333333329E-2</v>
      </c>
      <c r="I14" s="179">
        <f t="shared" ref="I14:I22" si="6">G14</f>
        <v>5315.7908333333326</v>
      </c>
      <c r="J14" s="184">
        <f>K14/$D$14</f>
        <v>8.3333333333333329E-2</v>
      </c>
      <c r="K14" s="185">
        <f t="shared" si="0"/>
        <v>5315.7908333333326</v>
      </c>
      <c r="L14" s="184">
        <f>M14/$D$14</f>
        <v>8.3333333333333329E-2</v>
      </c>
      <c r="M14" s="185">
        <f t="shared" si="1"/>
        <v>5315.7908333333326</v>
      </c>
      <c r="N14" s="184">
        <f>O14/$D$14</f>
        <v>8.3333333333333329E-2</v>
      </c>
      <c r="O14" s="186">
        <f t="shared" si="2"/>
        <v>5315.7908333333326</v>
      </c>
      <c r="P14" s="184">
        <f>Q14/$D$14</f>
        <v>8.3333333333333329E-2</v>
      </c>
      <c r="Q14" s="185">
        <f t="shared" si="3"/>
        <v>5315.7908333333326</v>
      </c>
      <c r="R14" s="173"/>
      <c r="S14" s="246"/>
      <c r="T14" s="245"/>
      <c r="U14" s="174"/>
      <c r="V14" s="173"/>
      <c r="W14" s="174"/>
      <c r="X14" s="173"/>
      <c r="Y14" s="174"/>
      <c r="Z14" s="173"/>
      <c r="AA14" s="174"/>
      <c r="AB14" s="173"/>
      <c r="AC14" s="174"/>
      <c r="AD14" s="173"/>
      <c r="AE14" s="174"/>
    </row>
    <row r="15" spans="2:31" ht="30" customHeight="1" x14ac:dyDescent="0.2">
      <c r="B15" s="181">
        <v>4</v>
      </c>
      <c r="C15" s="182" t="s">
        <v>160</v>
      </c>
      <c r="D15" s="183">
        <f>'9 - Manutenção'!I54</f>
        <v>208223.49</v>
      </c>
      <c r="E15" s="177">
        <f t="shared" si="4"/>
        <v>0.17858420673272099</v>
      </c>
      <c r="F15" s="184">
        <f>G15/$D$15</f>
        <v>8.3333333333333343E-2</v>
      </c>
      <c r="G15" s="179">
        <f t="shared" si="5"/>
        <v>17351.9575</v>
      </c>
      <c r="H15" s="184">
        <f>I15/$D$15</f>
        <v>8.3333333333333343E-2</v>
      </c>
      <c r="I15" s="179">
        <f t="shared" si="6"/>
        <v>17351.9575</v>
      </c>
      <c r="J15" s="184">
        <f>K15/$D$15</f>
        <v>8.3333333333333343E-2</v>
      </c>
      <c r="K15" s="185">
        <f t="shared" si="0"/>
        <v>17351.9575</v>
      </c>
      <c r="L15" s="184">
        <f>M15/$D$15</f>
        <v>8.3333333333333343E-2</v>
      </c>
      <c r="M15" s="185">
        <f t="shared" si="1"/>
        <v>17351.9575</v>
      </c>
      <c r="N15" s="184">
        <f>O15/$D$15</f>
        <v>8.3333333333333343E-2</v>
      </c>
      <c r="O15" s="186">
        <f t="shared" si="2"/>
        <v>17351.9575</v>
      </c>
      <c r="P15" s="184">
        <f>Q15/$D$15</f>
        <v>8.3333333333333343E-2</v>
      </c>
      <c r="Q15" s="185">
        <f t="shared" si="3"/>
        <v>17351.9575</v>
      </c>
      <c r="R15" s="173"/>
      <c r="S15" s="174"/>
      <c r="T15" s="245"/>
      <c r="U15" s="174"/>
      <c r="V15" s="173"/>
      <c r="W15" s="174"/>
      <c r="X15" s="173"/>
      <c r="Y15" s="174"/>
      <c r="Z15" s="173"/>
      <c r="AA15" s="174"/>
      <c r="AB15" s="173"/>
      <c r="AC15" s="174"/>
      <c r="AD15" s="173"/>
      <c r="AE15" s="174"/>
    </row>
    <row r="16" spans="2:31" ht="30" customHeight="1" x14ac:dyDescent="0.2">
      <c r="B16" s="181">
        <v>5</v>
      </c>
      <c r="C16" s="182" t="s">
        <v>161</v>
      </c>
      <c r="D16" s="183">
        <f>'9 - Manutenção'!I62</f>
        <v>64985.74</v>
      </c>
      <c r="E16" s="177">
        <f t="shared" si="4"/>
        <v>5.5735435165546673E-2</v>
      </c>
      <c r="F16" s="184">
        <f>G16/$D$16</f>
        <v>8.3333333333333343E-2</v>
      </c>
      <c r="G16" s="179">
        <f t="shared" si="5"/>
        <v>5415.4783333333335</v>
      </c>
      <c r="H16" s="184">
        <f>I16/$D$16</f>
        <v>8.3333333333333343E-2</v>
      </c>
      <c r="I16" s="179">
        <f t="shared" si="6"/>
        <v>5415.4783333333335</v>
      </c>
      <c r="J16" s="184">
        <f>K16/$D$16</f>
        <v>8.3333333333333343E-2</v>
      </c>
      <c r="K16" s="185">
        <f t="shared" si="0"/>
        <v>5415.4783333333335</v>
      </c>
      <c r="L16" s="184">
        <f>M16/$D$16</f>
        <v>8.3333333333333343E-2</v>
      </c>
      <c r="M16" s="185">
        <f t="shared" si="1"/>
        <v>5415.4783333333335</v>
      </c>
      <c r="N16" s="184">
        <f>O16/$D$16</f>
        <v>8.3333333333333343E-2</v>
      </c>
      <c r="O16" s="186">
        <f t="shared" si="2"/>
        <v>5415.4783333333335</v>
      </c>
      <c r="P16" s="184">
        <f>Q16/$D$16</f>
        <v>8.3333333333333343E-2</v>
      </c>
      <c r="Q16" s="185">
        <f t="shared" si="3"/>
        <v>5415.4783333333335</v>
      </c>
      <c r="R16" s="173"/>
      <c r="S16" s="248"/>
      <c r="T16" s="245"/>
      <c r="U16" s="174"/>
      <c r="V16" s="173"/>
      <c r="W16" s="174"/>
      <c r="X16" s="173"/>
      <c r="Y16" s="174"/>
      <c r="Z16" s="173"/>
      <c r="AA16" s="174"/>
      <c r="AB16" s="173"/>
      <c r="AC16" s="174"/>
      <c r="AD16" s="173"/>
      <c r="AE16" s="174"/>
    </row>
    <row r="17" spans="2:32" ht="30" customHeight="1" x14ac:dyDescent="0.2">
      <c r="B17" s="181">
        <v>6</v>
      </c>
      <c r="C17" s="182" t="s">
        <v>165</v>
      </c>
      <c r="D17" s="183">
        <f>'9 - Manutenção'!I68</f>
        <v>160275.82</v>
      </c>
      <c r="E17" s="177">
        <f t="shared" si="4"/>
        <v>0.13746158117480589</v>
      </c>
      <c r="F17" s="184">
        <f>G17/$D$17</f>
        <v>8.3333333333333343E-2</v>
      </c>
      <c r="G17" s="179">
        <f t="shared" si="5"/>
        <v>13356.318333333335</v>
      </c>
      <c r="H17" s="184">
        <f>I17/$D$17</f>
        <v>8.3333333333333343E-2</v>
      </c>
      <c r="I17" s="179">
        <f t="shared" si="6"/>
        <v>13356.318333333335</v>
      </c>
      <c r="J17" s="184">
        <f>K17/$D$17</f>
        <v>8.3333333333333343E-2</v>
      </c>
      <c r="K17" s="185">
        <f t="shared" si="0"/>
        <v>13356.318333333335</v>
      </c>
      <c r="L17" s="184">
        <f>M17/$D$17</f>
        <v>8.3333333333333343E-2</v>
      </c>
      <c r="M17" s="185">
        <f t="shared" si="1"/>
        <v>13356.318333333335</v>
      </c>
      <c r="N17" s="184">
        <f>O17/$D$17</f>
        <v>8.3333333333333343E-2</v>
      </c>
      <c r="O17" s="186">
        <f t="shared" si="2"/>
        <v>13356.318333333335</v>
      </c>
      <c r="P17" s="184">
        <f>Q17/$D$17</f>
        <v>8.3333333333333343E-2</v>
      </c>
      <c r="Q17" s="185">
        <f t="shared" si="3"/>
        <v>13356.318333333335</v>
      </c>
      <c r="R17" s="173"/>
      <c r="S17" s="174"/>
      <c r="T17" s="245"/>
      <c r="U17" s="174"/>
      <c r="V17" s="173"/>
      <c r="W17" s="174"/>
      <c r="X17" s="173"/>
      <c r="Y17" s="174"/>
      <c r="Z17" s="173"/>
      <c r="AA17" s="174"/>
      <c r="AB17" s="173"/>
      <c r="AC17" s="174"/>
      <c r="AD17" s="173"/>
      <c r="AE17" s="174"/>
    </row>
    <row r="18" spans="2:32" ht="30" customHeight="1" x14ac:dyDescent="0.2">
      <c r="B18" s="181">
        <v>7</v>
      </c>
      <c r="C18" s="182" t="s">
        <v>169</v>
      </c>
      <c r="D18" s="183">
        <f>'9 - Manutenção'!I77</f>
        <v>46487.7</v>
      </c>
      <c r="E18" s="177">
        <f t="shared" si="4"/>
        <v>3.9870472958304148E-2</v>
      </c>
      <c r="F18" s="184">
        <f>G18/$D$18</f>
        <v>8.3333333333333343E-2</v>
      </c>
      <c r="G18" s="179">
        <f t="shared" si="5"/>
        <v>3873.9749999999999</v>
      </c>
      <c r="H18" s="184">
        <f>I18/$D$18</f>
        <v>8.3333333333333343E-2</v>
      </c>
      <c r="I18" s="179">
        <f t="shared" si="6"/>
        <v>3873.9749999999999</v>
      </c>
      <c r="J18" s="184">
        <f>K18/$D$18</f>
        <v>8.3333333333333343E-2</v>
      </c>
      <c r="K18" s="185">
        <f t="shared" si="0"/>
        <v>3873.9749999999999</v>
      </c>
      <c r="L18" s="184">
        <f>M18/$D$18</f>
        <v>8.3333333333333343E-2</v>
      </c>
      <c r="M18" s="185">
        <f t="shared" si="1"/>
        <v>3873.9749999999999</v>
      </c>
      <c r="N18" s="184">
        <f>O18/$D$18</f>
        <v>8.3333333333333343E-2</v>
      </c>
      <c r="O18" s="186">
        <f t="shared" si="2"/>
        <v>3873.9749999999999</v>
      </c>
      <c r="P18" s="184">
        <f>Q18/$D$18</f>
        <v>8.3333333333333343E-2</v>
      </c>
      <c r="Q18" s="185">
        <f t="shared" si="3"/>
        <v>3873.9749999999999</v>
      </c>
      <c r="R18" s="173"/>
      <c r="S18" s="174"/>
      <c r="T18" s="247"/>
      <c r="U18" s="174"/>
      <c r="V18" s="173"/>
      <c r="W18" s="174"/>
      <c r="X18" s="173"/>
      <c r="Y18" s="174"/>
      <c r="Z18" s="173"/>
      <c r="AA18" s="174"/>
      <c r="AB18" s="173"/>
      <c r="AC18" s="174"/>
      <c r="AD18" s="173"/>
      <c r="AE18" s="174"/>
    </row>
    <row r="19" spans="2:32" ht="30" customHeight="1" x14ac:dyDescent="0.2">
      <c r="B19" s="181">
        <v>8</v>
      </c>
      <c r="C19" s="182" t="s">
        <v>171</v>
      </c>
      <c r="D19" s="183">
        <f>'9 - Manutenção'!I85</f>
        <v>76966.060000000012</v>
      </c>
      <c r="E19" s="177">
        <f t="shared" si="4"/>
        <v>6.6010433166992885E-2</v>
      </c>
      <c r="F19" s="184">
        <f>G19/$D$19</f>
        <v>8.3333333333333329E-2</v>
      </c>
      <c r="G19" s="179">
        <f t="shared" si="5"/>
        <v>6413.838333333334</v>
      </c>
      <c r="H19" s="184">
        <f>I19/$D$19</f>
        <v>8.3333333333333329E-2</v>
      </c>
      <c r="I19" s="179">
        <f t="shared" si="6"/>
        <v>6413.838333333334</v>
      </c>
      <c r="J19" s="184">
        <f>K19/$D$19</f>
        <v>8.3333333333333329E-2</v>
      </c>
      <c r="K19" s="185">
        <f t="shared" si="0"/>
        <v>6413.838333333334</v>
      </c>
      <c r="L19" s="184">
        <f>M19/$D$19</f>
        <v>8.3333333333333329E-2</v>
      </c>
      <c r="M19" s="185">
        <f t="shared" si="1"/>
        <v>6413.838333333334</v>
      </c>
      <c r="N19" s="184">
        <f>O19/$D$19</f>
        <v>8.3333333333333329E-2</v>
      </c>
      <c r="O19" s="186">
        <f t="shared" si="2"/>
        <v>6413.838333333334</v>
      </c>
      <c r="P19" s="184">
        <f>Q19/$D$19</f>
        <v>8.3333333333333329E-2</v>
      </c>
      <c r="Q19" s="185">
        <f t="shared" si="3"/>
        <v>6413.838333333334</v>
      </c>
      <c r="R19" s="173"/>
      <c r="S19" s="174"/>
      <c r="T19" s="249"/>
      <c r="U19" s="174"/>
      <c r="V19" s="173"/>
      <c r="W19" s="174"/>
      <c r="X19" s="173"/>
      <c r="Y19" s="174"/>
      <c r="Z19" s="173"/>
      <c r="AA19" s="174"/>
      <c r="AB19" s="173"/>
      <c r="AC19" s="174"/>
      <c r="AD19" s="173"/>
      <c r="AE19" s="174"/>
    </row>
    <row r="20" spans="2:32" ht="30" customHeight="1" x14ac:dyDescent="0.2">
      <c r="B20" s="181">
        <v>9</v>
      </c>
      <c r="C20" s="182" t="s">
        <v>173</v>
      </c>
      <c r="D20" s="183">
        <f>'9 - Manutenção'!I93</f>
        <v>101650.22</v>
      </c>
      <c r="E20" s="177">
        <f t="shared" si="4"/>
        <v>8.7180960721129838E-2</v>
      </c>
      <c r="F20" s="184">
        <f>G20/$D$20</f>
        <v>8.3333333333333343E-2</v>
      </c>
      <c r="G20" s="179">
        <f t="shared" si="5"/>
        <v>8470.8516666666674</v>
      </c>
      <c r="H20" s="184">
        <f>I20/$D$20</f>
        <v>8.3333333333333343E-2</v>
      </c>
      <c r="I20" s="179">
        <f t="shared" si="6"/>
        <v>8470.8516666666674</v>
      </c>
      <c r="J20" s="184">
        <f>K20/$D$20</f>
        <v>8.3333333333333343E-2</v>
      </c>
      <c r="K20" s="185">
        <f t="shared" si="0"/>
        <v>8470.8516666666674</v>
      </c>
      <c r="L20" s="184">
        <f>M20/$D$20</f>
        <v>8.3333333333333343E-2</v>
      </c>
      <c r="M20" s="185">
        <f t="shared" si="1"/>
        <v>8470.8516666666674</v>
      </c>
      <c r="N20" s="184">
        <f>O20/$D$20</f>
        <v>8.3333333333333343E-2</v>
      </c>
      <c r="O20" s="186">
        <f t="shared" si="2"/>
        <v>8470.8516666666674</v>
      </c>
      <c r="P20" s="184">
        <f>Q20/$D$20</f>
        <v>8.3333333333333343E-2</v>
      </c>
      <c r="Q20" s="185">
        <f t="shared" si="3"/>
        <v>8470.8516666666674</v>
      </c>
      <c r="R20" s="173"/>
      <c r="S20" s="174"/>
      <c r="T20" s="173"/>
      <c r="U20" s="174"/>
      <c r="V20" s="173"/>
      <c r="W20" s="174"/>
      <c r="X20" s="173"/>
      <c r="Y20" s="174"/>
      <c r="Z20" s="173"/>
      <c r="AA20" s="174"/>
      <c r="AB20" s="173"/>
      <c r="AC20" s="174"/>
      <c r="AD20" s="173"/>
      <c r="AE20" s="174"/>
    </row>
    <row r="21" spans="2:32" ht="30" customHeight="1" x14ac:dyDescent="0.2">
      <c r="B21" s="181">
        <v>10</v>
      </c>
      <c r="C21" s="182" t="s">
        <v>179</v>
      </c>
      <c r="D21" s="183">
        <f>'9 - Manutenção'!I97</f>
        <v>111602.48</v>
      </c>
      <c r="E21" s="177">
        <f t="shared" si="4"/>
        <v>9.5716580104407811E-2</v>
      </c>
      <c r="F21" s="184">
        <f>G21/$D$21</f>
        <v>8.3333333333333343E-2</v>
      </c>
      <c r="G21" s="179">
        <f t="shared" si="5"/>
        <v>9300.2066666666669</v>
      </c>
      <c r="H21" s="184">
        <f>I21/$D$21</f>
        <v>8.3333333333333343E-2</v>
      </c>
      <c r="I21" s="179">
        <f t="shared" si="6"/>
        <v>9300.2066666666669</v>
      </c>
      <c r="J21" s="184">
        <f>K21/$D$21</f>
        <v>8.3333333333333343E-2</v>
      </c>
      <c r="K21" s="185">
        <f t="shared" si="0"/>
        <v>9300.2066666666669</v>
      </c>
      <c r="L21" s="184">
        <f>M21/$D$21</f>
        <v>8.3333333333333343E-2</v>
      </c>
      <c r="M21" s="185">
        <f t="shared" si="1"/>
        <v>9300.2066666666669</v>
      </c>
      <c r="N21" s="184">
        <f>O21/$D$21</f>
        <v>8.3333333333333343E-2</v>
      </c>
      <c r="O21" s="186">
        <f t="shared" si="2"/>
        <v>9300.2066666666669</v>
      </c>
      <c r="P21" s="184">
        <f>Q21/$D$21</f>
        <v>8.3333333333333343E-2</v>
      </c>
      <c r="Q21" s="185">
        <f t="shared" si="3"/>
        <v>9300.2066666666669</v>
      </c>
      <c r="R21" s="173"/>
      <c r="S21" s="174"/>
      <c r="T21" s="173"/>
      <c r="U21" s="174"/>
      <c r="V21" s="173"/>
      <c r="W21" s="174"/>
      <c r="X21" s="173"/>
      <c r="Y21" s="174"/>
      <c r="Z21" s="173"/>
      <c r="AA21" s="174"/>
      <c r="AB21" s="173"/>
      <c r="AC21" s="174"/>
      <c r="AD21" s="173"/>
      <c r="AE21" s="174"/>
    </row>
    <row r="22" spans="2:32" ht="30" customHeight="1" x14ac:dyDescent="0.2">
      <c r="B22" s="181">
        <v>11</v>
      </c>
      <c r="C22" s="182" t="s">
        <v>344</v>
      </c>
      <c r="D22" s="183">
        <f>'9 - Manutenção'!I101</f>
        <v>266434.56</v>
      </c>
      <c r="E22" s="177">
        <f t="shared" si="4"/>
        <v>0.22850930288307797</v>
      </c>
      <c r="F22" s="184">
        <f>G22/$D$22</f>
        <v>8.3333333333333343E-2</v>
      </c>
      <c r="G22" s="179">
        <f t="shared" si="5"/>
        <v>22202.880000000001</v>
      </c>
      <c r="H22" s="184">
        <f>I22/$D$22</f>
        <v>8.3333333333333343E-2</v>
      </c>
      <c r="I22" s="179">
        <f t="shared" si="6"/>
        <v>22202.880000000001</v>
      </c>
      <c r="J22" s="184">
        <f>K22/$D$22</f>
        <v>8.3333333333333343E-2</v>
      </c>
      <c r="K22" s="185">
        <f t="shared" si="0"/>
        <v>22202.880000000001</v>
      </c>
      <c r="L22" s="184">
        <f>M22/$D$22</f>
        <v>8.3333333333333343E-2</v>
      </c>
      <c r="M22" s="185">
        <f t="shared" si="1"/>
        <v>22202.880000000001</v>
      </c>
      <c r="N22" s="184">
        <f>O22/$D$22</f>
        <v>8.3333333333333343E-2</v>
      </c>
      <c r="O22" s="186">
        <f t="shared" si="2"/>
        <v>22202.880000000001</v>
      </c>
      <c r="P22" s="184">
        <f>Q22/$D$22</f>
        <v>8.3333333333333343E-2</v>
      </c>
      <c r="Q22" s="185">
        <f t="shared" si="3"/>
        <v>22202.880000000001</v>
      </c>
      <c r="R22" s="173"/>
      <c r="S22" s="174"/>
      <c r="T22" s="173"/>
      <c r="U22" s="174"/>
      <c r="V22" s="173"/>
      <c r="W22" s="174"/>
      <c r="X22" s="173"/>
      <c r="Y22" s="174"/>
      <c r="Z22" s="173"/>
      <c r="AA22" s="174"/>
      <c r="AB22" s="173"/>
      <c r="AC22" s="174"/>
      <c r="AD22" s="173"/>
      <c r="AE22" s="174"/>
    </row>
    <row r="23" spans="2:32" ht="30" customHeight="1" thickBot="1" x14ac:dyDescent="0.25">
      <c r="B23" s="187">
        <v>12</v>
      </c>
      <c r="C23" s="188" t="s">
        <v>345</v>
      </c>
      <c r="D23" s="189">
        <f>'9 - Manutenção'!I107</f>
        <v>15341.61</v>
      </c>
      <c r="E23" s="177">
        <f t="shared" si="4"/>
        <v>1.3157829848365235E-2</v>
      </c>
      <c r="F23" s="184">
        <f>G23/$D$23</f>
        <v>0.5</v>
      </c>
      <c r="G23" s="179">
        <f>D23/2</f>
        <v>7670.8050000000003</v>
      </c>
      <c r="H23" s="184">
        <f>I23/$D$23</f>
        <v>0</v>
      </c>
      <c r="I23" s="179">
        <v>0</v>
      </c>
      <c r="J23" s="184">
        <f>K23/$D$23</f>
        <v>0</v>
      </c>
      <c r="K23" s="222">
        <f t="shared" si="0"/>
        <v>0</v>
      </c>
      <c r="L23" s="184">
        <f>M23/$D$23</f>
        <v>0</v>
      </c>
      <c r="M23" s="190">
        <f t="shared" si="1"/>
        <v>0</v>
      </c>
      <c r="N23" s="184">
        <f>O23/$D$23</f>
        <v>0</v>
      </c>
      <c r="O23" s="191">
        <f t="shared" si="2"/>
        <v>0</v>
      </c>
      <c r="P23" s="184">
        <f>Q23/$D$23</f>
        <v>0</v>
      </c>
      <c r="Q23" s="190">
        <f t="shared" si="3"/>
        <v>0</v>
      </c>
      <c r="R23" s="192"/>
      <c r="S23" s="193"/>
      <c r="T23" s="192"/>
      <c r="U23" s="194"/>
      <c r="V23" s="192"/>
      <c r="W23" s="194"/>
      <c r="X23" s="192"/>
      <c r="Y23" s="193"/>
      <c r="Z23" s="192"/>
      <c r="AA23" s="194"/>
      <c r="AB23" s="192"/>
      <c r="AC23" s="194"/>
      <c r="AD23" s="192"/>
      <c r="AE23" s="194"/>
      <c r="AF23" s="146"/>
    </row>
    <row r="24" spans="2:32" s="199" customFormat="1" ht="30" customHeight="1" thickBot="1" x14ac:dyDescent="0.3">
      <c r="B24" s="195"/>
      <c r="C24" s="377" t="s">
        <v>346</v>
      </c>
      <c r="D24" s="439">
        <f>SUM(D12:D23)</f>
        <v>1165968.1100000001</v>
      </c>
      <c r="E24" s="260">
        <f>SUM(E12:E23)</f>
        <v>0.99999999999999978</v>
      </c>
      <c r="F24" s="252">
        <f>G24/D24</f>
        <v>8.8815762436818851E-2</v>
      </c>
      <c r="G24" s="224">
        <f>SUM(G12:G23)</f>
        <v>103556.34666666668</v>
      </c>
      <c r="H24" s="252">
        <f>I24/D24</f>
        <v>8.2236847512636227E-2</v>
      </c>
      <c r="I24" s="224">
        <f>SUM(I12:I23)</f>
        <v>95885.541666666672</v>
      </c>
      <c r="J24" s="252">
        <f>K24/D24</f>
        <v>8.2236847512636227E-2</v>
      </c>
      <c r="K24" s="224">
        <f>SUM(K12:K23)</f>
        <v>95885.541666666672</v>
      </c>
      <c r="L24" s="252">
        <f>M24/D24</f>
        <v>8.2236847512636227E-2</v>
      </c>
      <c r="M24" s="224">
        <f>SUM(M12:M23)</f>
        <v>95885.541666666672</v>
      </c>
      <c r="N24" s="252">
        <f>O24/D24</f>
        <v>8.2236847512636227E-2</v>
      </c>
      <c r="O24" s="224">
        <f>SUM(O12:O23)</f>
        <v>95885.541666666672</v>
      </c>
      <c r="P24" s="252">
        <f>Q24/D24</f>
        <v>8.2236847512636227E-2</v>
      </c>
      <c r="Q24" s="224">
        <f>SUM(Q12:Q23)</f>
        <v>95885.541666666672</v>
      </c>
      <c r="R24" s="196"/>
      <c r="S24" s="197"/>
      <c r="T24" s="196"/>
      <c r="U24" s="197"/>
      <c r="V24" s="196"/>
      <c r="W24" s="197"/>
      <c r="X24" s="196"/>
      <c r="Y24" s="197"/>
      <c r="Z24" s="196"/>
      <c r="AA24" s="197"/>
      <c r="AB24" s="196"/>
      <c r="AC24" s="197"/>
      <c r="AD24" s="196"/>
      <c r="AE24" s="197"/>
      <c r="AF24" s="198"/>
    </row>
    <row r="25" spans="2:32" s="199" customFormat="1" ht="30" customHeight="1" thickBot="1" x14ac:dyDescent="0.3">
      <c r="B25" s="200"/>
      <c r="C25" s="201" t="s">
        <v>347</v>
      </c>
      <c r="D25" s="256"/>
      <c r="E25" s="257"/>
      <c r="F25" s="251">
        <f>G25/D24</f>
        <v>8.8815762436818851E-2</v>
      </c>
      <c r="G25" s="258">
        <f>G24</f>
        <v>103556.34666666668</v>
      </c>
      <c r="H25" s="251">
        <f>I25/D24</f>
        <v>0.17105260994945509</v>
      </c>
      <c r="I25" s="227">
        <f>G25+I24</f>
        <v>199441.88833333337</v>
      </c>
      <c r="J25" s="251">
        <f>K25/D24</f>
        <v>0.25328945746209131</v>
      </c>
      <c r="K25" s="227">
        <f>I25+K24</f>
        <v>295327.43000000005</v>
      </c>
      <c r="L25" s="251">
        <f>M25/D24</f>
        <v>0.33552630497472757</v>
      </c>
      <c r="M25" s="227">
        <f>K25+M24</f>
        <v>391212.97166666674</v>
      </c>
      <c r="N25" s="251">
        <f>O25/D24</f>
        <v>0.41776315248736379</v>
      </c>
      <c r="O25" s="227">
        <f>M25+O24</f>
        <v>487098.51333333342</v>
      </c>
      <c r="P25" s="251">
        <f>Q25/D24</f>
        <v>0.5</v>
      </c>
      <c r="Q25" s="227">
        <f>Q24+O25</f>
        <v>582984.05500000005</v>
      </c>
      <c r="R25" s="202"/>
      <c r="S25" s="203"/>
      <c r="T25" s="204"/>
      <c r="U25" s="203"/>
      <c r="V25" s="204"/>
      <c r="W25" s="203"/>
      <c r="X25" s="202"/>
      <c r="Y25" s="203"/>
      <c r="Z25" s="204"/>
      <c r="AA25" s="203"/>
      <c r="AB25" s="204"/>
      <c r="AC25" s="203"/>
      <c r="AD25" s="204"/>
      <c r="AE25" s="203"/>
    </row>
    <row r="26" spans="2:32" s="199" customFormat="1" ht="18.75" customHeight="1" x14ac:dyDescent="0.25">
      <c r="B26" s="205"/>
      <c r="C26" s="206"/>
      <c r="D26" s="206"/>
      <c r="E26" s="207"/>
      <c r="F26" s="207"/>
      <c r="G26" s="208"/>
      <c r="H26" s="207"/>
      <c r="I26" s="208"/>
      <c r="J26" s="207"/>
      <c r="K26" s="208"/>
      <c r="L26" s="206"/>
      <c r="M26" s="208"/>
      <c r="N26" s="206"/>
      <c r="O26" s="208"/>
      <c r="P26" s="207"/>
      <c r="Q26" s="209"/>
      <c r="R26" s="202"/>
      <c r="S26" s="203"/>
      <c r="T26" s="204"/>
      <c r="U26" s="203"/>
      <c r="V26" s="204"/>
      <c r="W26" s="203"/>
      <c r="X26" s="202"/>
      <c r="Y26" s="203"/>
      <c r="Z26" s="204"/>
      <c r="AA26" s="203"/>
      <c r="AB26" s="204"/>
      <c r="AC26" s="203"/>
      <c r="AD26" s="204"/>
      <c r="AE26" s="203"/>
    </row>
    <row r="27" spans="2:32" s="199" customFormat="1" ht="19.5" thickBot="1" x14ac:dyDescent="0.3">
      <c r="B27" s="210"/>
      <c r="C27" s="211"/>
      <c r="D27" s="211"/>
      <c r="E27" s="212"/>
      <c r="F27" s="212"/>
      <c r="G27" s="213"/>
      <c r="H27" s="214"/>
      <c r="I27" s="214"/>
      <c r="J27" s="215"/>
      <c r="K27" s="214"/>
      <c r="L27" s="216"/>
      <c r="M27" s="213"/>
      <c r="N27" s="211"/>
      <c r="O27" s="213"/>
      <c r="P27" s="212"/>
      <c r="Q27" s="217"/>
      <c r="R27" s="202"/>
      <c r="S27" s="203"/>
      <c r="T27" s="204"/>
      <c r="U27" s="203"/>
      <c r="V27" s="204"/>
      <c r="W27" s="203"/>
      <c r="X27" s="202"/>
      <c r="Y27" s="203"/>
      <c r="Z27" s="204"/>
      <c r="AA27" s="203"/>
      <c r="AB27" s="204"/>
      <c r="AC27" s="203"/>
      <c r="AD27" s="204"/>
      <c r="AE27" s="203"/>
    </row>
    <row r="28" spans="2:32" s="199" customFormat="1" ht="34.5" customHeight="1" x14ac:dyDescent="0.25">
      <c r="B28" s="657" t="s">
        <v>80</v>
      </c>
      <c r="C28" s="659" t="s">
        <v>341</v>
      </c>
      <c r="D28" s="376" t="s">
        <v>17</v>
      </c>
      <c r="E28" s="657" t="str">
        <f>E10</f>
        <v>Peso (%)</v>
      </c>
      <c r="F28" s="655" t="s">
        <v>471</v>
      </c>
      <c r="G28" s="656"/>
      <c r="H28" s="655" t="s">
        <v>472</v>
      </c>
      <c r="I28" s="656"/>
      <c r="J28" s="655" t="s">
        <v>473</v>
      </c>
      <c r="K28" s="656"/>
      <c r="L28" s="655" t="s">
        <v>474</v>
      </c>
      <c r="M28" s="656"/>
      <c r="N28" s="655" t="s">
        <v>475</v>
      </c>
      <c r="O28" s="656"/>
      <c r="P28" s="655" t="s">
        <v>476</v>
      </c>
      <c r="Q28" s="656"/>
    </row>
    <row r="29" spans="2:32" s="199" customFormat="1" ht="34.5" customHeight="1" thickBot="1" x14ac:dyDescent="0.3">
      <c r="B29" s="658"/>
      <c r="C29" s="660"/>
      <c r="D29" s="377" t="s">
        <v>263</v>
      </c>
      <c r="E29" s="658"/>
      <c r="F29" s="218" t="s">
        <v>82</v>
      </c>
      <c r="G29" s="219" t="s">
        <v>342</v>
      </c>
      <c r="H29" s="220" t="s">
        <v>82</v>
      </c>
      <c r="I29" s="219" t="s">
        <v>342</v>
      </c>
      <c r="J29" s="220" t="s">
        <v>82</v>
      </c>
      <c r="K29" s="219" t="s">
        <v>342</v>
      </c>
      <c r="L29" s="220" t="s">
        <v>82</v>
      </c>
      <c r="M29" s="219" t="s">
        <v>342</v>
      </c>
      <c r="N29" s="220" t="s">
        <v>82</v>
      </c>
      <c r="O29" s="219" t="s">
        <v>342</v>
      </c>
      <c r="P29" s="220" t="s">
        <v>82</v>
      </c>
      <c r="Q29" s="219" t="s">
        <v>342</v>
      </c>
    </row>
    <row r="30" spans="2:32" s="199" customFormat="1" ht="34.5" customHeight="1" x14ac:dyDescent="0.25">
      <c r="B30" s="175">
        <v>1</v>
      </c>
      <c r="C30" s="372" t="s">
        <v>343</v>
      </c>
      <c r="D30" s="176">
        <f>D12</f>
        <v>2466.62</v>
      </c>
      <c r="E30" s="177">
        <f>E12</f>
        <v>2.1155124045373758E-3</v>
      </c>
      <c r="F30" s="348">
        <f>G30/$D$12</f>
        <v>8.3333333333333329E-2</v>
      </c>
      <c r="G30" s="179">
        <f t="shared" ref="G30:G41" si="7">Q12</f>
        <v>205.55166666666665</v>
      </c>
      <c r="H30" s="348">
        <f>I30/$D$12</f>
        <v>8.3333333333333329E-2</v>
      </c>
      <c r="I30" s="179">
        <f t="shared" ref="I30:I40" si="8">G30</f>
        <v>205.55166666666665</v>
      </c>
      <c r="J30" s="348">
        <f>K30/$D$12</f>
        <v>8.3333333333333329E-2</v>
      </c>
      <c r="K30" s="179">
        <f t="shared" ref="K30:K40" si="9">I30</f>
        <v>205.55166666666665</v>
      </c>
      <c r="L30" s="348">
        <f>M30/$D$12</f>
        <v>8.3333333333333329E-2</v>
      </c>
      <c r="M30" s="179">
        <f t="shared" ref="M30:M40" si="10">K30</f>
        <v>205.55166666666665</v>
      </c>
      <c r="N30" s="348">
        <f>O30/$D$12</f>
        <v>8.3333333333333329E-2</v>
      </c>
      <c r="O30" s="179">
        <f t="shared" ref="O30:O40" si="11">M30</f>
        <v>205.55166666666665</v>
      </c>
      <c r="P30" s="348">
        <f>Q30/$D$12</f>
        <v>8.3333333333333329E-2</v>
      </c>
      <c r="Q30" s="179">
        <f t="shared" ref="Q30:Q40" si="12">O30</f>
        <v>205.55166666666665</v>
      </c>
    </row>
    <row r="31" spans="2:32" s="199" customFormat="1" ht="34.5" customHeight="1" x14ac:dyDescent="0.25">
      <c r="B31" s="181">
        <v>2</v>
      </c>
      <c r="C31" s="182" t="s">
        <v>154</v>
      </c>
      <c r="D31" s="176">
        <f t="shared" ref="D31:E41" si="13">D13</f>
        <v>47744.32</v>
      </c>
      <c r="E31" s="177">
        <f t="shared" si="13"/>
        <v>4.0948221131022179E-2</v>
      </c>
      <c r="F31" s="184">
        <f>G31/$D$13</f>
        <v>8.3333333333333329E-2</v>
      </c>
      <c r="G31" s="179">
        <f t="shared" si="7"/>
        <v>3978.6933333333332</v>
      </c>
      <c r="H31" s="184">
        <f>I31/$D$13</f>
        <v>8.3333333333333329E-2</v>
      </c>
      <c r="I31" s="185">
        <f t="shared" si="8"/>
        <v>3978.6933333333332</v>
      </c>
      <c r="J31" s="184">
        <f>K31/$D$13</f>
        <v>8.3333333333333329E-2</v>
      </c>
      <c r="K31" s="185">
        <f t="shared" si="9"/>
        <v>3978.6933333333332</v>
      </c>
      <c r="L31" s="184">
        <f>M31/$D$13</f>
        <v>8.3333333333333329E-2</v>
      </c>
      <c r="M31" s="185">
        <f t="shared" si="10"/>
        <v>3978.6933333333332</v>
      </c>
      <c r="N31" s="184">
        <f>O31/$D$13</f>
        <v>8.3333333333333329E-2</v>
      </c>
      <c r="O31" s="185">
        <f t="shared" si="11"/>
        <v>3978.6933333333332</v>
      </c>
      <c r="P31" s="184">
        <f>Q31/$D$13</f>
        <v>8.3333333333333329E-2</v>
      </c>
      <c r="Q31" s="185">
        <f t="shared" si="12"/>
        <v>3978.6933333333332</v>
      </c>
    </row>
    <row r="32" spans="2:32" s="199" customFormat="1" ht="34.5" customHeight="1" x14ac:dyDescent="0.25">
      <c r="B32" s="181">
        <v>3</v>
      </c>
      <c r="C32" s="182" t="s">
        <v>159</v>
      </c>
      <c r="D32" s="176">
        <f t="shared" si="13"/>
        <v>63789.489999999991</v>
      </c>
      <c r="E32" s="177">
        <f t="shared" si="13"/>
        <v>5.4709463709088912E-2</v>
      </c>
      <c r="F32" s="184">
        <f>G32/$D$14</f>
        <v>8.3333333333333329E-2</v>
      </c>
      <c r="G32" s="179">
        <f t="shared" si="7"/>
        <v>5315.7908333333326</v>
      </c>
      <c r="H32" s="184">
        <f>I32/$D$14</f>
        <v>8.3333333333333329E-2</v>
      </c>
      <c r="I32" s="185">
        <f t="shared" si="8"/>
        <v>5315.7908333333326</v>
      </c>
      <c r="J32" s="184">
        <f>K32/$D$14</f>
        <v>8.3333333333333329E-2</v>
      </c>
      <c r="K32" s="185">
        <f t="shared" si="9"/>
        <v>5315.7908333333326</v>
      </c>
      <c r="L32" s="184">
        <f>M32/$D$14</f>
        <v>8.3333333333333329E-2</v>
      </c>
      <c r="M32" s="185">
        <f t="shared" si="10"/>
        <v>5315.7908333333326</v>
      </c>
      <c r="N32" s="184">
        <f>O32/$D$14</f>
        <v>8.3333333333333329E-2</v>
      </c>
      <c r="O32" s="185">
        <f t="shared" si="11"/>
        <v>5315.7908333333326</v>
      </c>
      <c r="P32" s="184">
        <f>Q32/$D$14</f>
        <v>8.3333333333333329E-2</v>
      </c>
      <c r="Q32" s="185">
        <f t="shared" si="12"/>
        <v>5315.7908333333326</v>
      </c>
    </row>
    <row r="33" spans="2:17" s="199" customFormat="1" ht="34.5" customHeight="1" x14ac:dyDescent="0.25">
      <c r="B33" s="181">
        <v>4</v>
      </c>
      <c r="C33" s="182" t="s">
        <v>160</v>
      </c>
      <c r="D33" s="176">
        <f t="shared" si="13"/>
        <v>208223.49</v>
      </c>
      <c r="E33" s="177">
        <f t="shared" si="13"/>
        <v>0.17858420673272099</v>
      </c>
      <c r="F33" s="184">
        <f>G33/$D$15</f>
        <v>8.3333333333333343E-2</v>
      </c>
      <c r="G33" s="179">
        <f t="shared" si="7"/>
        <v>17351.9575</v>
      </c>
      <c r="H33" s="184">
        <f>I33/$D$15</f>
        <v>8.3333333333333343E-2</v>
      </c>
      <c r="I33" s="185">
        <f t="shared" si="8"/>
        <v>17351.9575</v>
      </c>
      <c r="J33" s="184">
        <f>K33/$D$15</f>
        <v>8.3333333333333343E-2</v>
      </c>
      <c r="K33" s="185">
        <f t="shared" si="9"/>
        <v>17351.9575</v>
      </c>
      <c r="L33" s="184">
        <f>M33/$D$15</f>
        <v>8.3333333333333343E-2</v>
      </c>
      <c r="M33" s="185">
        <f t="shared" si="10"/>
        <v>17351.9575</v>
      </c>
      <c r="N33" s="184">
        <f>O33/$D$15</f>
        <v>8.3333333333333343E-2</v>
      </c>
      <c r="O33" s="185">
        <f t="shared" si="11"/>
        <v>17351.9575</v>
      </c>
      <c r="P33" s="184">
        <f>Q33/$D$15</f>
        <v>8.3333333333333343E-2</v>
      </c>
      <c r="Q33" s="185">
        <f t="shared" si="12"/>
        <v>17351.9575</v>
      </c>
    </row>
    <row r="34" spans="2:17" s="199" customFormat="1" ht="34.5" customHeight="1" x14ac:dyDescent="0.25">
      <c r="B34" s="181">
        <v>5</v>
      </c>
      <c r="C34" s="182" t="s">
        <v>161</v>
      </c>
      <c r="D34" s="176">
        <f t="shared" si="13"/>
        <v>64985.74</v>
      </c>
      <c r="E34" s="177">
        <f t="shared" si="13"/>
        <v>5.5735435165546673E-2</v>
      </c>
      <c r="F34" s="184">
        <f>G34/$D$16</f>
        <v>8.3333333333333343E-2</v>
      </c>
      <c r="G34" s="179">
        <f t="shared" si="7"/>
        <v>5415.4783333333335</v>
      </c>
      <c r="H34" s="184">
        <f>I34/$D$16</f>
        <v>8.3333333333333343E-2</v>
      </c>
      <c r="I34" s="185">
        <f t="shared" si="8"/>
        <v>5415.4783333333335</v>
      </c>
      <c r="J34" s="184">
        <f>K34/$D$16</f>
        <v>8.3333333333333343E-2</v>
      </c>
      <c r="K34" s="185">
        <f t="shared" si="9"/>
        <v>5415.4783333333335</v>
      </c>
      <c r="L34" s="184">
        <f>M34/$D$16</f>
        <v>8.3333333333333343E-2</v>
      </c>
      <c r="M34" s="185">
        <f t="shared" si="10"/>
        <v>5415.4783333333335</v>
      </c>
      <c r="N34" s="184">
        <f>O34/$D$16</f>
        <v>8.3333333333333343E-2</v>
      </c>
      <c r="O34" s="185">
        <f t="shared" si="11"/>
        <v>5415.4783333333335</v>
      </c>
      <c r="P34" s="184">
        <f>Q34/$D$16</f>
        <v>8.3333333333333343E-2</v>
      </c>
      <c r="Q34" s="185">
        <f t="shared" si="12"/>
        <v>5415.4783333333335</v>
      </c>
    </row>
    <row r="35" spans="2:17" s="199" customFormat="1" ht="34.5" customHeight="1" x14ac:dyDescent="0.25">
      <c r="B35" s="181">
        <v>6</v>
      </c>
      <c r="C35" s="182" t="s">
        <v>165</v>
      </c>
      <c r="D35" s="176">
        <f t="shared" si="13"/>
        <v>160275.82</v>
      </c>
      <c r="E35" s="177">
        <f t="shared" si="13"/>
        <v>0.13746158117480589</v>
      </c>
      <c r="F35" s="184">
        <f>G35/$D$17</f>
        <v>8.3333333333333343E-2</v>
      </c>
      <c r="G35" s="179">
        <f t="shared" si="7"/>
        <v>13356.318333333335</v>
      </c>
      <c r="H35" s="184">
        <f>I35/$D$17</f>
        <v>8.3333333333333343E-2</v>
      </c>
      <c r="I35" s="185">
        <f t="shared" si="8"/>
        <v>13356.318333333335</v>
      </c>
      <c r="J35" s="184">
        <f>K35/$D$17</f>
        <v>8.3333333333333343E-2</v>
      </c>
      <c r="K35" s="185">
        <f t="shared" si="9"/>
        <v>13356.318333333335</v>
      </c>
      <c r="L35" s="184">
        <f>M35/$D$17</f>
        <v>8.3333333333333343E-2</v>
      </c>
      <c r="M35" s="185">
        <f t="shared" si="10"/>
        <v>13356.318333333335</v>
      </c>
      <c r="N35" s="184">
        <f>O35/$D$17</f>
        <v>8.3333333333333343E-2</v>
      </c>
      <c r="O35" s="185">
        <f t="shared" si="11"/>
        <v>13356.318333333335</v>
      </c>
      <c r="P35" s="184">
        <f>Q35/$D$17</f>
        <v>8.3333333333333343E-2</v>
      </c>
      <c r="Q35" s="185">
        <f t="shared" si="12"/>
        <v>13356.318333333335</v>
      </c>
    </row>
    <row r="36" spans="2:17" s="199" customFormat="1" ht="34.5" customHeight="1" x14ac:dyDescent="0.25">
      <c r="B36" s="181">
        <v>7</v>
      </c>
      <c r="C36" s="182" t="s">
        <v>169</v>
      </c>
      <c r="D36" s="176">
        <f t="shared" si="13"/>
        <v>46487.7</v>
      </c>
      <c r="E36" s="177">
        <f t="shared" si="13"/>
        <v>3.9870472958304148E-2</v>
      </c>
      <c r="F36" s="184">
        <f>G36/$D$18</f>
        <v>8.3333333333333343E-2</v>
      </c>
      <c r="G36" s="179">
        <f t="shared" si="7"/>
        <v>3873.9749999999999</v>
      </c>
      <c r="H36" s="184">
        <f>I36/$D$18</f>
        <v>8.3333333333333343E-2</v>
      </c>
      <c r="I36" s="185">
        <f t="shared" si="8"/>
        <v>3873.9749999999999</v>
      </c>
      <c r="J36" s="184">
        <f>K36/$D$18</f>
        <v>8.3333333333333343E-2</v>
      </c>
      <c r="K36" s="185">
        <f t="shared" si="9"/>
        <v>3873.9749999999999</v>
      </c>
      <c r="L36" s="184">
        <f>M36/$D$18</f>
        <v>8.3333333333333343E-2</v>
      </c>
      <c r="M36" s="185">
        <f t="shared" si="10"/>
        <v>3873.9749999999999</v>
      </c>
      <c r="N36" s="184">
        <f>O36/$D$18</f>
        <v>8.3333333333333343E-2</v>
      </c>
      <c r="O36" s="185">
        <f t="shared" si="11"/>
        <v>3873.9749999999999</v>
      </c>
      <c r="P36" s="184">
        <f>Q36/$D$18</f>
        <v>8.3333333333333343E-2</v>
      </c>
      <c r="Q36" s="185">
        <f t="shared" si="12"/>
        <v>3873.9749999999999</v>
      </c>
    </row>
    <row r="37" spans="2:17" s="199" customFormat="1" ht="34.5" customHeight="1" x14ac:dyDescent="0.25">
      <c r="B37" s="181">
        <v>8</v>
      </c>
      <c r="C37" s="182" t="s">
        <v>171</v>
      </c>
      <c r="D37" s="176">
        <f t="shared" si="13"/>
        <v>76966.060000000012</v>
      </c>
      <c r="E37" s="177">
        <f t="shared" si="13"/>
        <v>6.6010433166992885E-2</v>
      </c>
      <c r="F37" s="184">
        <f>G37/$D$19</f>
        <v>8.3333333333333329E-2</v>
      </c>
      <c r="G37" s="179">
        <f t="shared" si="7"/>
        <v>6413.838333333334</v>
      </c>
      <c r="H37" s="184">
        <f>I37/$D$19</f>
        <v>8.3333333333333329E-2</v>
      </c>
      <c r="I37" s="185">
        <f t="shared" si="8"/>
        <v>6413.838333333334</v>
      </c>
      <c r="J37" s="184">
        <f>K37/$D$19</f>
        <v>8.3333333333333329E-2</v>
      </c>
      <c r="K37" s="185">
        <f t="shared" si="9"/>
        <v>6413.838333333334</v>
      </c>
      <c r="L37" s="184">
        <f>M37/$D$19</f>
        <v>8.3333333333333329E-2</v>
      </c>
      <c r="M37" s="185">
        <f t="shared" si="10"/>
        <v>6413.838333333334</v>
      </c>
      <c r="N37" s="184">
        <f>O37/$D$19</f>
        <v>8.3333333333333329E-2</v>
      </c>
      <c r="O37" s="185">
        <f t="shared" si="11"/>
        <v>6413.838333333334</v>
      </c>
      <c r="P37" s="184">
        <f>Q37/$D$19</f>
        <v>8.3333333333333329E-2</v>
      </c>
      <c r="Q37" s="185">
        <f t="shared" si="12"/>
        <v>6413.838333333334</v>
      </c>
    </row>
    <row r="38" spans="2:17" s="199" customFormat="1" ht="34.5" customHeight="1" x14ac:dyDescent="0.25">
      <c r="B38" s="181">
        <v>9</v>
      </c>
      <c r="C38" s="182" t="s">
        <v>173</v>
      </c>
      <c r="D38" s="176">
        <f t="shared" si="13"/>
        <v>101650.22</v>
      </c>
      <c r="E38" s="177">
        <f t="shared" si="13"/>
        <v>8.7180960721129838E-2</v>
      </c>
      <c r="F38" s="184">
        <f>G38/$D$20</f>
        <v>8.3333333333333343E-2</v>
      </c>
      <c r="G38" s="179">
        <f t="shared" si="7"/>
        <v>8470.8516666666674</v>
      </c>
      <c r="H38" s="184">
        <f>I38/$D$20</f>
        <v>8.3333333333333343E-2</v>
      </c>
      <c r="I38" s="186">
        <f t="shared" si="8"/>
        <v>8470.8516666666674</v>
      </c>
      <c r="J38" s="184">
        <f>K38/$D$20</f>
        <v>8.3333333333333343E-2</v>
      </c>
      <c r="K38" s="186">
        <f t="shared" si="9"/>
        <v>8470.8516666666674</v>
      </c>
      <c r="L38" s="184">
        <f>M38/$D$20</f>
        <v>8.3333333333333343E-2</v>
      </c>
      <c r="M38" s="186">
        <f t="shared" si="10"/>
        <v>8470.8516666666674</v>
      </c>
      <c r="N38" s="184">
        <f>O38/$D$20</f>
        <v>8.3333333333333343E-2</v>
      </c>
      <c r="O38" s="186">
        <f t="shared" si="11"/>
        <v>8470.8516666666674</v>
      </c>
      <c r="P38" s="184">
        <f>Q38/$D$20</f>
        <v>8.3333333333333343E-2</v>
      </c>
      <c r="Q38" s="185">
        <f t="shared" si="12"/>
        <v>8470.8516666666674</v>
      </c>
    </row>
    <row r="39" spans="2:17" s="199" customFormat="1" ht="34.5" customHeight="1" x14ac:dyDescent="0.25">
      <c r="B39" s="181">
        <v>10</v>
      </c>
      <c r="C39" s="182" t="s">
        <v>179</v>
      </c>
      <c r="D39" s="176">
        <f t="shared" si="13"/>
        <v>111602.48</v>
      </c>
      <c r="E39" s="177">
        <f t="shared" si="13"/>
        <v>9.5716580104407811E-2</v>
      </c>
      <c r="F39" s="184">
        <f>G39/$D$21</f>
        <v>8.3333333333333343E-2</v>
      </c>
      <c r="G39" s="179">
        <f t="shared" si="7"/>
        <v>9300.2066666666669</v>
      </c>
      <c r="H39" s="184">
        <f>I39/$D$21</f>
        <v>8.3333333333333343E-2</v>
      </c>
      <c r="I39" s="186">
        <f t="shared" si="8"/>
        <v>9300.2066666666669</v>
      </c>
      <c r="J39" s="184">
        <f>K39/$D$21</f>
        <v>8.3333333333333343E-2</v>
      </c>
      <c r="K39" s="186">
        <f t="shared" si="9"/>
        <v>9300.2066666666669</v>
      </c>
      <c r="L39" s="184">
        <f>M39/$D$21</f>
        <v>8.3333333333333343E-2</v>
      </c>
      <c r="M39" s="186">
        <f t="shared" si="10"/>
        <v>9300.2066666666669</v>
      </c>
      <c r="N39" s="184">
        <f>O39/$D$21</f>
        <v>8.3333333333333343E-2</v>
      </c>
      <c r="O39" s="186">
        <f t="shared" si="11"/>
        <v>9300.2066666666669</v>
      </c>
      <c r="P39" s="184">
        <f>Q39/$D$21</f>
        <v>8.3333333333333343E-2</v>
      </c>
      <c r="Q39" s="185">
        <f t="shared" si="12"/>
        <v>9300.2066666666669</v>
      </c>
    </row>
    <row r="40" spans="2:17" s="199" customFormat="1" ht="34.5" customHeight="1" x14ac:dyDescent="0.25">
      <c r="B40" s="181">
        <v>11</v>
      </c>
      <c r="C40" s="182" t="s">
        <v>344</v>
      </c>
      <c r="D40" s="176">
        <f t="shared" si="13"/>
        <v>266434.56</v>
      </c>
      <c r="E40" s="177">
        <f t="shared" si="13"/>
        <v>0.22850930288307797</v>
      </c>
      <c r="F40" s="184">
        <f>G40/$D$22</f>
        <v>8.3333333333333343E-2</v>
      </c>
      <c r="G40" s="179">
        <f t="shared" si="7"/>
        <v>22202.880000000001</v>
      </c>
      <c r="H40" s="184">
        <f>I40/$D$22</f>
        <v>8.3333333333333343E-2</v>
      </c>
      <c r="I40" s="186">
        <f t="shared" si="8"/>
        <v>22202.880000000001</v>
      </c>
      <c r="J40" s="184">
        <f>K40/$D$22</f>
        <v>8.3333333333333343E-2</v>
      </c>
      <c r="K40" s="186">
        <f t="shared" si="9"/>
        <v>22202.880000000001</v>
      </c>
      <c r="L40" s="184">
        <f>M40/$D$22</f>
        <v>8.3333333333333343E-2</v>
      </c>
      <c r="M40" s="186">
        <f t="shared" si="10"/>
        <v>22202.880000000001</v>
      </c>
      <c r="N40" s="184">
        <f>O40/$D$22</f>
        <v>8.3333333333333343E-2</v>
      </c>
      <c r="O40" s="186">
        <f t="shared" si="11"/>
        <v>22202.880000000001</v>
      </c>
      <c r="P40" s="184">
        <f>Q40/$D$22</f>
        <v>8.3333333333333343E-2</v>
      </c>
      <c r="Q40" s="185">
        <f t="shared" si="12"/>
        <v>22202.880000000001</v>
      </c>
    </row>
    <row r="41" spans="2:17" s="199" customFormat="1" ht="34.5" customHeight="1" thickBot="1" x14ac:dyDescent="0.3">
      <c r="B41" s="187">
        <v>12</v>
      </c>
      <c r="C41" s="188" t="s">
        <v>345</v>
      </c>
      <c r="D41" s="176">
        <f t="shared" si="13"/>
        <v>15341.61</v>
      </c>
      <c r="E41" s="177">
        <f t="shared" si="13"/>
        <v>1.3157829848365235E-2</v>
      </c>
      <c r="F41" s="184">
        <f>G41/$D$23</f>
        <v>0</v>
      </c>
      <c r="G41" s="179">
        <f t="shared" si="7"/>
        <v>0</v>
      </c>
      <c r="H41" s="184">
        <f>I41/$D$23</f>
        <v>0</v>
      </c>
      <c r="I41" s="221">
        <v>0</v>
      </c>
      <c r="J41" s="184">
        <f>K41/$D$23</f>
        <v>0</v>
      </c>
      <c r="K41" s="221">
        <f>I23</f>
        <v>0</v>
      </c>
      <c r="L41" s="184">
        <f>M41/$D$23</f>
        <v>0</v>
      </c>
      <c r="M41" s="221">
        <f>K23</f>
        <v>0</v>
      </c>
      <c r="N41" s="184">
        <f>O41/$D$23</f>
        <v>0</v>
      </c>
      <c r="O41" s="221">
        <f>M23</f>
        <v>0</v>
      </c>
      <c r="P41" s="184">
        <f>Q41/$D$23</f>
        <v>0.5</v>
      </c>
      <c r="Q41" s="185">
        <f>G23</f>
        <v>7670.8050000000003</v>
      </c>
    </row>
    <row r="42" spans="2:17" s="199" customFormat="1" ht="34.5" customHeight="1" thickBot="1" x14ac:dyDescent="0.3">
      <c r="B42" s="223"/>
      <c r="C42" s="377" t="s">
        <v>346</v>
      </c>
      <c r="D42" s="259">
        <f>SUM(D30:D41)</f>
        <v>1165968.1100000001</v>
      </c>
      <c r="E42" s="260">
        <f>SUM(E30:E41)</f>
        <v>0.99999999999999978</v>
      </c>
      <c r="F42" s="252">
        <f>G42/$D$24</f>
        <v>8.2236847512636227E-2</v>
      </c>
      <c r="G42" s="224">
        <f>SUM(G30:G41)</f>
        <v>95885.541666666672</v>
      </c>
      <c r="H42" s="252">
        <f>I42/$D$24</f>
        <v>8.2236847512636227E-2</v>
      </c>
      <c r="I42" s="224">
        <f>SUM(I30:I41)</f>
        <v>95885.541666666672</v>
      </c>
      <c r="J42" s="252">
        <f>K42/$D$24</f>
        <v>8.2236847512636227E-2</v>
      </c>
      <c r="K42" s="224">
        <f>SUM(K30:K41)</f>
        <v>95885.541666666672</v>
      </c>
      <c r="L42" s="252">
        <f>M42/$D$24</f>
        <v>8.2236847512636227E-2</v>
      </c>
      <c r="M42" s="224">
        <f>SUM(M30:M41)</f>
        <v>95885.541666666672</v>
      </c>
      <c r="N42" s="252">
        <f>O42/$D$24</f>
        <v>8.2236847512636227E-2</v>
      </c>
      <c r="O42" s="224">
        <f>SUM(O30:O41)</f>
        <v>95885.541666666672</v>
      </c>
      <c r="P42" s="252">
        <f>Q42/$D$24</f>
        <v>8.8815762436818851E-2</v>
      </c>
      <c r="Q42" s="224">
        <f>SUM(Q30:Q41)</f>
        <v>103556.34666666668</v>
      </c>
    </row>
    <row r="43" spans="2:17" s="199" customFormat="1" ht="34.5" customHeight="1" thickBot="1" x14ac:dyDescent="0.3">
      <c r="B43" s="225"/>
      <c r="C43" s="226" t="s">
        <v>347</v>
      </c>
      <c r="D43" s="256"/>
      <c r="E43" s="257"/>
      <c r="F43" s="253">
        <f>G43/$D$24</f>
        <v>0.58223684751263616</v>
      </c>
      <c r="G43" s="254">
        <f>G42+Q25</f>
        <v>678869.59666666668</v>
      </c>
      <c r="H43" s="253">
        <f>I43/D24</f>
        <v>0.66447369502527243</v>
      </c>
      <c r="I43" s="254">
        <f>I42+G43</f>
        <v>774755.13833333331</v>
      </c>
      <c r="J43" s="255">
        <f>K43/$D$24</f>
        <v>0.74671054253790858</v>
      </c>
      <c r="K43" s="254">
        <f>K42+I43</f>
        <v>870640.67999999993</v>
      </c>
      <c r="L43" s="255">
        <f>M43/$D$24</f>
        <v>0.82894739005054474</v>
      </c>
      <c r="M43" s="254">
        <f>M42+K43</f>
        <v>966526.22166666656</v>
      </c>
      <c r="N43" s="255">
        <f>O43/$D$24</f>
        <v>0.9111842375631809</v>
      </c>
      <c r="O43" s="254">
        <f>O42+M43</f>
        <v>1062411.7633333332</v>
      </c>
      <c r="P43" s="255">
        <f>Q43/$D$24</f>
        <v>0.99999999999999978</v>
      </c>
      <c r="Q43" s="440">
        <f>Q42+O43</f>
        <v>1165968.1099999999</v>
      </c>
    </row>
    <row r="44" spans="2:17" s="199" customFormat="1" ht="20.25" customHeight="1" x14ac:dyDescent="0.25">
      <c r="B44" s="228"/>
      <c r="D44" s="229"/>
      <c r="E44" s="230"/>
      <c r="F44" s="235"/>
      <c r="G44" s="234"/>
      <c r="H44" s="235"/>
      <c r="I44" s="234"/>
      <c r="J44" s="235"/>
      <c r="K44" s="234"/>
      <c r="L44" s="230"/>
      <c r="M44" s="232"/>
      <c r="N44" s="231"/>
      <c r="O44" s="232"/>
      <c r="P44" s="231"/>
      <c r="Q44" s="233"/>
    </row>
    <row r="45" spans="2:17" s="236" customFormat="1" ht="19.5" thickBot="1" x14ac:dyDescent="0.3">
      <c r="B45" s="237"/>
      <c r="C45" s="214"/>
      <c r="D45" s="214"/>
      <c r="E45" s="214"/>
      <c r="F45" s="214"/>
      <c r="G45" s="214"/>
      <c r="H45" s="214"/>
      <c r="I45" s="214"/>
      <c r="J45" s="215"/>
      <c r="K45" s="214"/>
      <c r="L45" s="216"/>
      <c r="M45" s="216"/>
      <c r="N45" s="238"/>
      <c r="O45" s="214"/>
      <c r="P45" s="214"/>
      <c r="Q45" s="239"/>
    </row>
    <row r="46" spans="2:17" x14ac:dyDescent="0.2">
      <c r="G46" s="240"/>
      <c r="H46" s="240"/>
    </row>
    <row r="47" spans="2:17" ht="12.75" x14ac:dyDescent="0.2">
      <c r="D47" s="273"/>
      <c r="G47" s="241"/>
      <c r="H47" s="241"/>
    </row>
    <row r="48" spans="2:17" x14ac:dyDescent="0.2">
      <c r="G48" s="240"/>
      <c r="H48" s="240"/>
    </row>
    <row r="49" spans="7:8" x14ac:dyDescent="0.2">
      <c r="G49" s="240"/>
      <c r="H49" s="240"/>
    </row>
    <row r="50" spans="7:8" x14ac:dyDescent="0.2">
      <c r="G50" s="240"/>
      <c r="H50" s="240"/>
    </row>
    <row r="51" spans="7:8" x14ac:dyDescent="0.2">
      <c r="G51" s="240"/>
      <c r="H51" s="240"/>
    </row>
    <row r="52" spans="7:8" x14ac:dyDescent="0.2">
      <c r="G52" s="240"/>
      <c r="H52" s="240"/>
    </row>
    <row r="53" spans="7:8" x14ac:dyDescent="0.2">
      <c r="G53" s="241"/>
      <c r="H53" s="241"/>
    </row>
    <row r="54" spans="7:8" x14ac:dyDescent="0.2">
      <c r="G54" s="240"/>
      <c r="H54" s="240"/>
    </row>
    <row r="55" spans="7:8" x14ac:dyDescent="0.2">
      <c r="G55" s="241"/>
      <c r="H55" s="241"/>
    </row>
    <row r="56" spans="7:8" x14ac:dyDescent="0.2">
      <c r="G56" s="241"/>
      <c r="H56" s="241"/>
    </row>
    <row r="57" spans="7:8" x14ac:dyDescent="0.2">
      <c r="G57" s="241"/>
      <c r="H57" s="241"/>
    </row>
    <row r="58" spans="7:8" x14ac:dyDescent="0.2">
      <c r="G58" s="240"/>
      <c r="H58" s="240"/>
    </row>
  </sheetData>
  <mergeCells count="31">
    <mergeCell ref="AD10:AE10"/>
    <mergeCell ref="T10:U10"/>
    <mergeCell ref="V10:W10"/>
    <mergeCell ref="X10:Y10"/>
    <mergeCell ref="R10:S10"/>
    <mergeCell ref="Z10:AA10"/>
    <mergeCell ref="P10:Q10"/>
    <mergeCell ref="P28:Q28"/>
    <mergeCell ref="AB10:AC10"/>
    <mergeCell ref="B3:Q3"/>
    <mergeCell ref="M4:Q7"/>
    <mergeCell ref="J4:L4"/>
    <mergeCell ref="K6:L6"/>
    <mergeCell ref="J7:L7"/>
    <mergeCell ref="I5:L5"/>
    <mergeCell ref="B28:B29"/>
    <mergeCell ref="C28:C29"/>
    <mergeCell ref="L28:M28"/>
    <mergeCell ref="N28:O28"/>
    <mergeCell ref="N10:O10"/>
    <mergeCell ref="J10:K10"/>
    <mergeCell ref="L10:M10"/>
    <mergeCell ref="J28:K28"/>
    <mergeCell ref="B10:B11"/>
    <mergeCell ref="C10:C11"/>
    <mergeCell ref="E10:E11"/>
    <mergeCell ref="F10:G10"/>
    <mergeCell ref="H10:I10"/>
    <mergeCell ref="H28:I28"/>
    <mergeCell ref="F28:G28"/>
    <mergeCell ref="E28:E29"/>
  </mergeCells>
  <printOptions horizontalCentered="1"/>
  <pageMargins left="0.39370078740157483" right="0.39370078740157483" top="0.59055118110236227" bottom="0.78740157480314965" header="0.31496062992125984" footer="0.31496062992125984"/>
  <pageSetup paperSize="9" scale="37" orientation="landscape" r:id="rId1"/>
  <ignoredErrors>
    <ignoredError sqref="F24 H24 J24:J25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10</vt:i4>
      </vt:variant>
      <vt:variant>
        <vt:lpstr>Intervalos Nomeados</vt:lpstr>
      </vt:variant>
      <vt:variant>
        <vt:i4>18</vt:i4>
      </vt:variant>
    </vt:vector>
  </HeadingPairs>
  <TitlesOfParts>
    <vt:vector size="28" baseType="lpstr">
      <vt:lpstr>1 - Inventário</vt:lpstr>
      <vt:lpstr>2 - Serviços</vt:lpstr>
      <vt:lpstr>3 - Memoria de Cálculo</vt:lpstr>
      <vt:lpstr>4 - Resumo de Ferragem</vt:lpstr>
      <vt:lpstr>Ferragem - Simples</vt:lpstr>
      <vt:lpstr>5 - Pintura de Ponte</vt:lpstr>
      <vt:lpstr>6 - Sinalização</vt:lpstr>
      <vt:lpstr>8 - Quantitativo - Final</vt:lpstr>
      <vt:lpstr>9 - Manutenção</vt:lpstr>
      <vt:lpstr>10 - Cronograma</vt:lpstr>
      <vt:lpstr>'1 - Inventário'!Area_de_impressao</vt:lpstr>
      <vt:lpstr>'10 - Cronograma'!Area_de_impressao</vt:lpstr>
      <vt:lpstr>'2 - Serviços'!Area_de_impressao</vt:lpstr>
      <vt:lpstr>'3 - Memoria de Cálculo'!Area_de_impressao</vt:lpstr>
      <vt:lpstr>'4 - Resumo de Ferragem'!Area_de_impressao</vt:lpstr>
      <vt:lpstr>'5 - Pintura de Ponte'!Area_de_impressao</vt:lpstr>
      <vt:lpstr>'6 - Sinalização'!Area_de_impressao</vt:lpstr>
      <vt:lpstr>'8 - Quantitativo - Final'!Area_de_impressao</vt:lpstr>
      <vt:lpstr>'9 - Manutenção'!Area_de_impressao</vt:lpstr>
      <vt:lpstr>'Ferragem - Simples'!Area_de_impressao</vt:lpstr>
      <vt:lpstr>'1 - Inventário'!Titulos_de_impressao</vt:lpstr>
      <vt:lpstr>'10 - Cronograma'!Titulos_de_impressao</vt:lpstr>
      <vt:lpstr>'2 - Serviços'!Titulos_de_impressao</vt:lpstr>
      <vt:lpstr>'3 - Memoria de Cálculo'!Titulos_de_impressao</vt:lpstr>
      <vt:lpstr>'5 - Pintura de Ponte'!Titulos_de_impressao</vt:lpstr>
      <vt:lpstr>'8 - Quantitativo - Final'!Titulos_de_impressao</vt:lpstr>
      <vt:lpstr>'9 - Manutenção'!Titulos_de_impressao</vt:lpstr>
      <vt:lpstr>'Ferragem - Simples'!Titulos_de_impressao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2024-02-03T12:52:05Z</dcterms:modified>
</cp:coreProperties>
</file>