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0"/>
  <workbookPr codeName="EstaPasta_de_trabalho" defaultThemeVersion="124226"/>
  <mc:AlternateContent xmlns:mc="http://schemas.openxmlformats.org/markup-compatibility/2006">
    <mc:Choice Requires="x15">
      <x15ac:absPath xmlns:x15ac="http://schemas.microsoft.com/office/spreadsheetml/2010/11/ac" url="\\192.168.2.2\licitacao\LICITAÇÃO 2026\CONCORRÊNCIA ELETRÔNICA\Concorrência Eletrônica n° 001.2026 - Praça Pública\Documentos e-Sfinge\"/>
    </mc:Choice>
  </mc:AlternateContent>
  <xr:revisionPtr revIDLastSave="0" documentId="8_{9E147FAF-23BB-458C-8DFE-09CAC7B9C2C8}" xr6:coauthVersionLast="47" xr6:coauthVersionMax="47" xr10:uidLastSave="{00000000-0000-0000-0000-000000000000}"/>
  <bookViews>
    <workbookView xWindow="-28920" yWindow="-120" windowWidth="29040" windowHeight="15720" tabRatio="947" firstSheet="2" activeTab="2" xr2:uid="{00000000-000D-0000-FFFF-FFFF00000000}"/>
  </bookViews>
  <sheets>
    <sheet name="DADOS" sheetId="102" r:id="rId1"/>
    <sheet name="Resumo DMT's" sheetId="151" r:id="rId2"/>
    <sheet name="Orçamento" sheetId="1" r:id="rId3"/>
    <sheet name="BDI SERVIÇO" sheetId="153" r:id="rId4"/>
    <sheet name="Tabela Resumo" sheetId="51" r:id="rId5"/>
    <sheet name="Cronograma" sheetId="53" r:id="rId6"/>
    <sheet name="Serv. Preliminares" sheetId="62" r:id="rId7"/>
    <sheet name="Cubação - TopoGRAPH" sheetId="52" r:id="rId8"/>
    <sheet name="Pav-Terrapl" sheetId="67" r:id="rId9"/>
    <sheet name="Pav-Pavimento" sheetId="66" r:id="rId10"/>
    <sheet name="Serv. Complementares" sheetId="65" r:id="rId11"/>
    <sheet name="Passeio com Acessibilidade" sheetId="64" r:id="rId12"/>
    <sheet name="Sinalização" sheetId="154" r:id="rId13"/>
    <sheet name="SV-04 - Comp. Pintura" sheetId="155" r:id="rId14"/>
  </sheets>
  <definedNames>
    <definedName name="_xlnm.Print_Area" localSheetId="3">'BDI SERVIÇO'!$B$2:$H$67</definedName>
    <definedName name="_xlnm.Print_Area" localSheetId="5">Cronograma!$B$2:$L$32</definedName>
    <definedName name="_xlnm.Print_Area" localSheetId="7">'Cubação - TopoGRAPH'!$B$2:$G$15</definedName>
    <definedName name="_xlnm.Print_Area" localSheetId="0">DADOS!$B$2:$C$24</definedName>
    <definedName name="_xlnm.Print_Area" localSheetId="2">Orçamento!$B$2:$L$106</definedName>
    <definedName name="_xlnm.Print_Area" localSheetId="11">'Passeio com Acessibilidade'!$B$2:$K$22</definedName>
    <definedName name="_xlnm.Print_Area" localSheetId="9">'Pav-Pavimento'!$B$2:$K$41</definedName>
    <definedName name="_xlnm.Print_Area" localSheetId="8">'Pav-Terrapl'!$B$2:$K$24</definedName>
    <definedName name="_xlnm.Print_Area" localSheetId="1">'Resumo DMT''s'!$B$2:$E$21</definedName>
    <definedName name="_xlnm.Print_Area" localSheetId="10">'Serv. Complementares'!$B$2:$I$10</definedName>
    <definedName name="_xlnm.Print_Area" localSheetId="6">'Serv. Preliminares'!$B$2:$I$18</definedName>
    <definedName name="_xlnm.Print_Area" localSheetId="12">Sinalização!$B$2:$I$12</definedName>
    <definedName name="_xlnm.Print_Area" localSheetId="13">'SV-04 - Comp. Pintura'!$B$2:$I$45</definedName>
    <definedName name="_xlnm.Print_Area" localSheetId="4">'Tabela Resumo'!$B$2:$F$17</definedName>
    <definedName name="LINHA7" localSheetId="3">#REF!</definedName>
    <definedName name="LINHA7">#REF!</definedName>
    <definedName name="Print_Area_MI">#REF!</definedName>
    <definedName name="_xlnm.Print_Titles" localSheetId="5">Cronograma!$B:$F,Cronograma!$2:$6</definedName>
    <definedName name="_xlnm.Print_Titles" localSheetId="7">'Cubação - TopoGRAPH'!$B:$B,'Cubação - TopoGRAPH'!$2:$6</definedName>
    <definedName name="_xlnm.Print_Titles" localSheetId="2">Orçamento!$2:$12</definedName>
    <definedName name="_xlnm.Print_Titles" localSheetId="11">'Passeio com Acessibilidade'!$B:$F,'Passeio com Acessibilidade'!$2:$6</definedName>
    <definedName name="_xlnm.Print_Titles" localSheetId="9">'Pav-Pavimento'!$B:$G,'Pav-Pavimento'!$2:$6</definedName>
    <definedName name="_xlnm.Print_Titles" localSheetId="8">'Pav-Terrapl'!$B:$F,'Pav-Terrapl'!$2:$6</definedName>
    <definedName name="_xlnm.Print_Titles" localSheetId="10">'Serv. Complementares'!$B:$F,'Serv. Complementares'!$2:$6</definedName>
    <definedName name="_xlnm.Print_Titles" localSheetId="6">'Serv. Preliminares'!$B:$F,'Serv. Preliminares'!$2:$6</definedName>
    <definedName name="Z_0B914F5C_7316_4563_8D6F_D6875F91F0FA_.wvu.Cols" localSheetId="3" hidden="1">'BDI SERVIÇO'!$J:$K,'BDI SERVIÇO'!$O:$AT</definedName>
    <definedName name="Z_0B914F5C_7316_4563_8D6F_D6875F91F0FA_.wvu.PrintArea" localSheetId="3" hidden="1">'BDI SERVIÇO'!$B$2:$H$61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8" i="53" l="1"/>
  <c r="I28" i="53"/>
  <c r="G28" i="53"/>
  <c r="K15" i="53"/>
  <c r="I15" i="53"/>
  <c r="G15" i="53"/>
  <c r="C28" i="53"/>
  <c r="D28" i="53"/>
  <c r="E28" i="53"/>
  <c r="F28" i="53"/>
  <c r="C15" i="53"/>
  <c r="D15" i="53"/>
  <c r="E15" i="53"/>
  <c r="F15" i="53"/>
  <c r="C14" i="51"/>
  <c r="D14" i="51"/>
  <c r="E14" i="51"/>
  <c r="F14" i="51"/>
  <c r="L114" i="1"/>
  <c r="K114" i="1"/>
  <c r="D114" i="1"/>
  <c r="C114" i="1"/>
  <c r="H90" i="1"/>
  <c r="G3" i="155"/>
  <c r="C6" i="155"/>
  <c r="B6" i="155"/>
  <c r="C5" i="155"/>
  <c r="B5" i="155"/>
  <c r="C3" i="155"/>
  <c r="B3" i="155"/>
  <c r="C2" i="155"/>
  <c r="B2" i="155"/>
  <c r="I43" i="155"/>
  <c r="I35" i="155"/>
  <c r="I34" i="155"/>
  <c r="I33" i="155"/>
  <c r="K23" i="155"/>
  <c r="I23" i="155"/>
  <c r="K22" i="155"/>
  <c r="I22" i="155"/>
  <c r="K16" i="155"/>
  <c r="I16" i="155"/>
  <c r="L15" i="155"/>
  <c r="K15" i="155"/>
  <c r="I15" i="155"/>
  <c r="G90" i="1"/>
  <c r="E92" i="1"/>
  <c r="G12" i="154"/>
  <c r="I12" i="154" s="1"/>
  <c r="I10" i="154"/>
  <c r="C6" i="154"/>
  <c r="B6" i="154"/>
  <c r="C5" i="154"/>
  <c r="B5" i="154"/>
  <c r="C3" i="154"/>
  <c r="B3" i="154"/>
  <c r="C2" i="154"/>
  <c r="B2" i="154"/>
  <c r="I37" i="155" l="1"/>
  <c r="I25" i="155"/>
  <c r="I18" i="155"/>
  <c r="I27" i="155"/>
  <c r="I29" i="155" s="1"/>
  <c r="I45" i="155" s="1"/>
  <c r="I24" i="67"/>
  <c r="H24" i="67"/>
  <c r="G24" i="67"/>
  <c r="C13" i="52"/>
  <c r="G11" i="52"/>
  <c r="G20" i="67" s="1"/>
  <c r="G21" i="67" s="1"/>
  <c r="G26" i="67"/>
  <c r="I31" i="66"/>
  <c r="I17" i="66"/>
  <c r="I16" i="66"/>
  <c r="I15" i="66"/>
  <c r="I14" i="66"/>
  <c r="I13" i="66"/>
  <c r="I12" i="66"/>
  <c r="I11" i="66"/>
  <c r="I10" i="66"/>
  <c r="I8" i="66"/>
  <c r="I18" i="67"/>
  <c r="I18" i="66" s="1"/>
  <c r="C12" i="52"/>
  <c r="I20" i="67" l="1"/>
  <c r="I21" i="67" s="1"/>
  <c r="I23" i="67" s="1"/>
  <c r="I23" i="66"/>
  <c r="I25" i="66" s="1"/>
  <c r="I26" i="66" s="1"/>
  <c r="G23" i="67"/>
  <c r="I20" i="66"/>
  <c r="I21" i="66" s="1"/>
  <c r="I30" i="66"/>
  <c r="I26" i="67" s="1"/>
  <c r="H29" i="53"/>
  <c r="J29" i="53"/>
  <c r="L29" i="53"/>
  <c r="G10" i="65"/>
  <c r="E13" i="52" l="1"/>
  <c r="G13" i="52" s="1"/>
  <c r="I32" i="66"/>
  <c r="I38" i="66"/>
  <c r="I10" i="64"/>
  <c r="H10" i="64"/>
  <c r="I39" i="66" l="1"/>
  <c r="I10" i="65"/>
  <c r="G70" i="1" s="1"/>
  <c r="G15" i="64"/>
  <c r="G10" i="64" s="1"/>
  <c r="G16" i="62" l="1"/>
  <c r="G18" i="62" s="1"/>
  <c r="P98" i="1" l="1"/>
  <c r="P99" i="1" s="1"/>
  <c r="P100" i="1" s="1"/>
  <c r="P101" i="1" s="1"/>
  <c r="P102" i="1" s="1"/>
  <c r="H18" i="67" l="1"/>
  <c r="H20" i="67" s="1"/>
  <c r="E12" i="52" s="1"/>
  <c r="G12" i="52" s="1"/>
  <c r="H21" i="67" l="1"/>
  <c r="H23" i="67"/>
  <c r="N12" i="53" l="1"/>
  <c r="N25" i="53" s="1"/>
  <c r="N13" i="53"/>
  <c r="N26" i="53" s="1"/>
  <c r="N14" i="53"/>
  <c r="N27" i="53" s="1"/>
  <c r="N11" i="53"/>
  <c r="N24" i="53" s="1"/>
  <c r="E65" i="1"/>
  <c r="C112" i="1"/>
  <c r="C12" i="51" s="1"/>
  <c r="C26" i="53" s="1"/>
  <c r="C111" i="1"/>
  <c r="C11" i="51" s="1"/>
  <c r="C25" i="53" s="1"/>
  <c r="C110" i="1"/>
  <c r="G14" i="62" l="1"/>
  <c r="I14" i="62" s="1"/>
  <c r="G17" i="1" s="1"/>
  <c r="H6" i="1"/>
  <c r="I60" i="1" l="1"/>
  <c r="I17" i="1"/>
  <c r="I17" i="64" l="1"/>
  <c r="H17" i="64"/>
  <c r="G20" i="64"/>
  <c r="H31" i="66"/>
  <c r="G15" i="52" l="1"/>
  <c r="H20" i="64"/>
  <c r="I20" i="64"/>
  <c r="G17" i="64"/>
  <c r="G102" i="1" l="1"/>
  <c r="G101" i="1"/>
  <c r="E104" i="1"/>
  <c r="E85" i="1"/>
  <c r="E72" i="1"/>
  <c r="E25" i="1"/>
  <c r="G11" i="62" l="1"/>
  <c r="I11" i="62" s="1"/>
  <c r="G16" i="1" s="1"/>
  <c r="K12" i="64"/>
  <c r="C6" i="151" l="1"/>
  <c r="B6" i="151"/>
  <c r="C5" i="151"/>
  <c r="B5" i="151"/>
  <c r="C3" i="151"/>
  <c r="B3" i="151"/>
  <c r="C2" i="151"/>
  <c r="B2" i="151"/>
  <c r="B6" i="52" l="1"/>
  <c r="B5" i="52"/>
  <c r="B3" i="52"/>
  <c r="B2" i="52"/>
  <c r="BV311" i="153" l="1"/>
  <c r="BV310" i="153"/>
  <c r="BV309" i="153"/>
  <c r="BU308" i="153"/>
  <c r="BV308" i="153" s="1"/>
  <c r="CF307" i="153"/>
  <c r="CE307" i="153"/>
  <c r="CE308" i="153" s="1"/>
  <c r="CE309" i="153" s="1"/>
  <c r="CE310" i="153" s="1"/>
  <c r="CE311" i="153" s="1"/>
  <c r="CE312" i="153" s="1"/>
  <c r="BV307" i="153"/>
  <c r="BU306" i="153"/>
  <c r="BV306" i="153" s="1"/>
  <c r="CF300" i="153"/>
  <c r="CE300" i="153"/>
  <c r="CE301" i="153" s="1"/>
  <c r="CE302" i="153" s="1"/>
  <c r="CE303" i="153" s="1"/>
  <c r="CE304" i="153" s="1"/>
  <c r="CE305" i="153" s="1"/>
  <c r="CF294" i="153"/>
  <c r="CE294" i="153"/>
  <c r="CE295" i="153" s="1"/>
  <c r="CE296" i="153" s="1"/>
  <c r="CE297" i="153" s="1"/>
  <c r="CE298" i="153" s="1"/>
  <c r="CE299" i="153" s="1"/>
  <c r="CF287" i="153"/>
  <c r="CE287" i="153"/>
  <c r="CE288" i="153" s="1"/>
  <c r="CE289" i="153" s="1"/>
  <c r="CE290" i="153" s="1"/>
  <c r="CE291" i="153" s="1"/>
  <c r="CE292" i="153" s="1"/>
  <c r="CF279" i="153"/>
  <c r="CE279" i="153"/>
  <c r="CE280" i="153" s="1"/>
  <c r="CE281" i="153" s="1"/>
  <c r="CE282" i="153" s="1"/>
  <c r="CE283" i="153" s="1"/>
  <c r="CE284" i="153" s="1"/>
  <c r="CF271" i="153"/>
  <c r="CE271" i="153"/>
  <c r="CE272" i="153" s="1"/>
  <c r="CE273" i="153" s="1"/>
  <c r="CE274" i="153" s="1"/>
  <c r="CE275" i="153" s="1"/>
  <c r="CE276" i="153" s="1"/>
  <c r="BW262" i="153"/>
  <c r="BW261" i="153"/>
  <c r="BW260" i="153"/>
  <c r="BW259" i="153"/>
  <c r="BW258" i="153"/>
  <c r="BV295" i="153" s="1"/>
  <c r="BW257" i="153"/>
  <c r="J41" i="153"/>
  <c r="J40" i="153"/>
  <c r="J39" i="153"/>
  <c r="J38" i="153"/>
  <c r="J37" i="153"/>
  <c r="D26" i="153"/>
  <c r="D21" i="153"/>
  <c r="E20" i="153"/>
  <c r="D20" i="153"/>
  <c r="L17" i="153"/>
  <c r="L9" i="153"/>
  <c r="CJ267" i="153" l="1"/>
  <c r="BX295" i="153"/>
  <c r="E54" i="153" s="1"/>
  <c r="BV296" i="153"/>
  <c r="BW295" i="153"/>
  <c r="D54" i="153" s="1"/>
  <c r="C13" i="153"/>
  <c r="BY295" i="153"/>
  <c r="F54" i="153" s="1"/>
  <c r="CJ266" i="153"/>
  <c r="G28" i="153" s="1"/>
  <c r="G60" i="153" l="1"/>
  <c r="J60" i="153" s="1"/>
  <c r="F58" i="153" s="1"/>
  <c r="G43" i="153"/>
  <c r="J43" i="153" s="1"/>
  <c r="F50" i="153" s="1"/>
  <c r="BV297" i="153"/>
  <c r="BW296" i="153"/>
  <c r="D37" i="153" s="1"/>
  <c r="BY296" i="153"/>
  <c r="F37" i="153" s="1"/>
  <c r="BX296" i="153"/>
  <c r="E37" i="153" s="1"/>
  <c r="C52" i="153" l="1"/>
  <c r="C16" i="102"/>
  <c r="J6" i="1" s="1"/>
  <c r="I90" i="1" s="1"/>
  <c r="J90" i="1" s="1"/>
  <c r="K90" i="1" s="1"/>
  <c r="K92" i="1" s="1"/>
  <c r="BY297" i="153"/>
  <c r="F38" i="153" s="1"/>
  <c r="BX297" i="153"/>
  <c r="E38" i="153" s="1"/>
  <c r="BV298" i="153"/>
  <c r="BW297" i="153"/>
  <c r="D38" i="153" s="1"/>
  <c r="I102" i="1" l="1"/>
  <c r="I44" i="1"/>
  <c r="J44" i="1" s="1"/>
  <c r="I32" i="1"/>
  <c r="I101" i="1"/>
  <c r="J101" i="1" s="1"/>
  <c r="K101" i="1" s="1"/>
  <c r="I22" i="1"/>
  <c r="I100" i="1"/>
  <c r="I62" i="1"/>
  <c r="J62" i="1" s="1"/>
  <c r="I41" i="1"/>
  <c r="I36" i="1"/>
  <c r="I99" i="1"/>
  <c r="I83" i="1"/>
  <c r="I70" i="1"/>
  <c r="I23" i="1"/>
  <c r="I54" i="1"/>
  <c r="I21" i="1"/>
  <c r="I98" i="1"/>
  <c r="I35" i="1"/>
  <c r="I97" i="1"/>
  <c r="I82" i="1"/>
  <c r="I50" i="1"/>
  <c r="I34" i="1"/>
  <c r="I81" i="1"/>
  <c r="I57" i="1"/>
  <c r="I63" i="1"/>
  <c r="J63" i="1" s="1"/>
  <c r="I80" i="1"/>
  <c r="I61" i="1"/>
  <c r="J61" i="1" s="1"/>
  <c r="I56" i="1"/>
  <c r="I33" i="1"/>
  <c r="I20" i="1"/>
  <c r="I51" i="1"/>
  <c r="I16" i="1"/>
  <c r="I77" i="1"/>
  <c r="J102" i="1"/>
  <c r="K102" i="1" s="1"/>
  <c r="I47" i="1"/>
  <c r="I55" i="1"/>
  <c r="BY298" i="153"/>
  <c r="F39" i="153" s="1"/>
  <c r="BX298" i="153"/>
  <c r="E39" i="153" s="1"/>
  <c r="BV299" i="153"/>
  <c r="BW298" i="153"/>
  <c r="D39" i="153" s="1"/>
  <c r="H3" i="1"/>
  <c r="H4" i="1"/>
  <c r="K3" i="1"/>
  <c r="BX299" i="153" l="1"/>
  <c r="E40" i="153" s="1"/>
  <c r="BV300" i="153"/>
  <c r="BW299" i="153"/>
  <c r="D40" i="153" s="1"/>
  <c r="BY299" i="153"/>
  <c r="F40" i="153" s="1"/>
  <c r="BW300" i="153" l="1"/>
  <c r="D41" i="153" s="1"/>
  <c r="BY300" i="153"/>
  <c r="F41" i="153" s="1"/>
  <c r="BX300" i="153"/>
  <c r="E41" i="153" s="1"/>
  <c r="J47" i="1" l="1"/>
  <c r="J60" i="1"/>
  <c r="E22" i="64" l="1"/>
  <c r="E21" i="64"/>
  <c r="F41" i="66"/>
  <c r="I41" i="66" s="1"/>
  <c r="F40" i="66"/>
  <c r="I40" i="66" s="1"/>
  <c r="F34" i="66"/>
  <c r="F33" i="66"/>
  <c r="F28" i="66"/>
  <c r="I28" i="66" s="1"/>
  <c r="F27" i="66"/>
  <c r="I27" i="66" s="1"/>
  <c r="E56" i="1" l="1"/>
  <c r="I33" i="66"/>
  <c r="E57" i="1"/>
  <c r="I34" i="66"/>
  <c r="E51" i="1"/>
  <c r="E62" i="1"/>
  <c r="E50" i="1"/>
  <c r="E63" i="1"/>
  <c r="E82" i="1"/>
  <c r="G21" i="64"/>
  <c r="I21" i="64"/>
  <c r="H21" i="64"/>
  <c r="E83" i="1"/>
  <c r="H22" i="64"/>
  <c r="I22" i="64"/>
  <c r="G22" i="64"/>
  <c r="G100" i="1" l="1"/>
  <c r="G99" i="1"/>
  <c r="G98" i="1"/>
  <c r="G97" i="1"/>
  <c r="C6" i="64" l="1"/>
  <c r="B6" i="64"/>
  <c r="C5" i="64"/>
  <c r="B5" i="64"/>
  <c r="C3" i="64"/>
  <c r="B3" i="64"/>
  <c r="C2" i="64"/>
  <c r="B2" i="64"/>
  <c r="C6" i="65"/>
  <c r="B6" i="65"/>
  <c r="C5" i="65"/>
  <c r="B5" i="65"/>
  <c r="C3" i="65"/>
  <c r="B3" i="65"/>
  <c r="C2" i="65"/>
  <c r="B2" i="65"/>
  <c r="C6" i="66"/>
  <c r="B6" i="66"/>
  <c r="C5" i="66"/>
  <c r="B5" i="66"/>
  <c r="C3" i="66"/>
  <c r="B3" i="66"/>
  <c r="C2" i="66"/>
  <c r="B2" i="66"/>
  <c r="C6" i="67"/>
  <c r="B6" i="67"/>
  <c r="C5" i="67"/>
  <c r="B5" i="67"/>
  <c r="C3" i="67"/>
  <c r="B3" i="67"/>
  <c r="C2" i="67"/>
  <c r="B2" i="67"/>
  <c r="C6" i="62"/>
  <c r="B6" i="62"/>
  <c r="C5" i="62"/>
  <c r="B5" i="62"/>
  <c r="C3" i="62"/>
  <c r="B3" i="62"/>
  <c r="C2" i="62"/>
  <c r="B2" i="62"/>
  <c r="C6" i="53"/>
  <c r="B6" i="53"/>
  <c r="C5" i="53"/>
  <c r="B5" i="53"/>
  <c r="C3" i="53"/>
  <c r="B3" i="53"/>
  <c r="C2" i="53"/>
  <c r="B2" i="53"/>
  <c r="C6" i="51"/>
  <c r="B6" i="51"/>
  <c r="C5" i="51"/>
  <c r="B5" i="51"/>
  <c r="C3" i="51"/>
  <c r="B3" i="51"/>
  <c r="C2" i="51"/>
  <c r="B2" i="51"/>
  <c r="C6" i="1" l="1"/>
  <c r="C5" i="1"/>
  <c r="C3" i="1"/>
  <c r="C2" i="1"/>
  <c r="B6" i="1"/>
  <c r="B5" i="1"/>
  <c r="B3" i="1"/>
  <c r="B2" i="1"/>
  <c r="D113" i="1" l="1"/>
  <c r="D13" i="51" s="1"/>
  <c r="D27" i="53" s="1"/>
  <c r="D112" i="1"/>
  <c r="D12" i="51" s="1"/>
  <c r="D26" i="53" s="1"/>
  <c r="D111" i="1"/>
  <c r="D11" i="51" s="1"/>
  <c r="D25" i="53" s="1"/>
  <c r="D115" i="1"/>
  <c r="D15" i="51" s="1"/>
  <c r="D29" i="53" s="1"/>
  <c r="D110" i="1"/>
  <c r="C113" i="1"/>
  <c r="C13" i="51" s="1"/>
  <c r="C27" i="53" s="1"/>
  <c r="C115" i="1"/>
  <c r="C15" i="51" s="1"/>
  <c r="C29" i="53" s="1"/>
  <c r="C14" i="53" l="1"/>
  <c r="D14" i="53"/>
  <c r="I16" i="62" l="1"/>
  <c r="G21" i="1" s="1"/>
  <c r="I15" i="62"/>
  <c r="G20" i="1" s="1"/>
  <c r="I18" i="62" l="1"/>
  <c r="G23" i="1" s="1"/>
  <c r="J55" i="1" l="1"/>
  <c r="J35" i="1" l="1"/>
  <c r="J34" i="1"/>
  <c r="J41" i="1"/>
  <c r="J50" i="1"/>
  <c r="J99" i="1"/>
  <c r="K99" i="1" s="1"/>
  <c r="J56" i="1"/>
  <c r="J100" i="1"/>
  <c r="K100" i="1" s="1"/>
  <c r="J83" i="1"/>
  <c r="J82" i="1"/>
  <c r="J51" i="1"/>
  <c r="J57" i="1"/>
  <c r="J97" i="1"/>
  <c r="K97" i="1" s="1"/>
  <c r="J98" i="1"/>
  <c r="K98" i="1" s="1"/>
  <c r="J36" i="1"/>
  <c r="J80" i="1"/>
  <c r="J32" i="1"/>
  <c r="J54" i="1"/>
  <c r="J33" i="1"/>
  <c r="J81" i="1"/>
  <c r="J77" i="1"/>
  <c r="K104" i="1" l="1"/>
  <c r="K115" i="1" s="1"/>
  <c r="E15" i="51" s="1"/>
  <c r="F29" i="53" s="1"/>
  <c r="G29" i="53" l="1"/>
  <c r="K29" i="53"/>
  <c r="I29" i="53"/>
  <c r="K21" i="64" l="1"/>
  <c r="G82" i="1" s="1"/>
  <c r="K82" i="1" s="1"/>
  <c r="K15" i="64" l="1"/>
  <c r="K10" i="64" l="1"/>
  <c r="K17" i="64"/>
  <c r="G80" i="1" s="1"/>
  <c r="K80" i="1" s="1"/>
  <c r="K20" i="64"/>
  <c r="G81" i="1" s="1"/>
  <c r="K81" i="1" s="1"/>
  <c r="K22" i="64"/>
  <c r="G83" i="1" s="1"/>
  <c r="K83" i="1" s="1"/>
  <c r="G77" i="1" l="1"/>
  <c r="K77" i="1" s="1"/>
  <c r="H17" i="66" l="1"/>
  <c r="H16" i="66"/>
  <c r="H15" i="66"/>
  <c r="H14" i="66"/>
  <c r="H13" i="66"/>
  <c r="H12" i="66"/>
  <c r="H11" i="66"/>
  <c r="H10" i="66"/>
  <c r="H8" i="66"/>
  <c r="K17" i="67"/>
  <c r="K15" i="67"/>
  <c r="K10" i="67"/>
  <c r="F15" i="52"/>
  <c r="E15" i="52"/>
  <c r="C6" i="52"/>
  <c r="C5" i="52"/>
  <c r="C3" i="52"/>
  <c r="C2" i="52"/>
  <c r="L16" i="53"/>
  <c r="J16" i="53"/>
  <c r="H16" i="53"/>
  <c r="N16" i="53" s="1"/>
  <c r="N29" i="53" s="1"/>
  <c r="H20" i="66" l="1"/>
  <c r="H23" i="66"/>
  <c r="G10" i="62"/>
  <c r="H18" i="66"/>
  <c r="H30" i="66" s="1"/>
  <c r="K18" i="67"/>
  <c r="K10" i="66"/>
  <c r="K15" i="66"/>
  <c r="K17" i="66"/>
  <c r="K20" i="67"/>
  <c r="G32" i="1" s="1"/>
  <c r="K32" i="1" s="1"/>
  <c r="H25" i="66" l="1"/>
  <c r="H26" i="66" s="1"/>
  <c r="H26" i="67"/>
  <c r="H38" i="66"/>
  <c r="H21" i="66"/>
  <c r="H32" i="66"/>
  <c r="K18" i="66"/>
  <c r="K24" i="67"/>
  <c r="G36" i="1" s="1"/>
  <c r="K36" i="1" s="1"/>
  <c r="K21" i="67"/>
  <c r="G33" i="1" s="1"/>
  <c r="K33" i="1" s="1"/>
  <c r="H27" i="66" l="1"/>
  <c r="H28" i="66"/>
  <c r="H39" i="66"/>
  <c r="H40" i="66"/>
  <c r="H41" i="66"/>
  <c r="H33" i="66"/>
  <c r="H34" i="66"/>
  <c r="K30" i="66"/>
  <c r="G54" i="1" s="1"/>
  <c r="K54" i="1" s="1"/>
  <c r="K26" i="66"/>
  <c r="G47" i="1" s="1"/>
  <c r="K47" i="1" s="1"/>
  <c r="K25" i="66"/>
  <c r="G44" i="1" s="1"/>
  <c r="K44" i="1" s="1"/>
  <c r="K21" i="66"/>
  <c r="G41" i="1" s="1"/>
  <c r="K41" i="1" s="1"/>
  <c r="K23" i="67"/>
  <c r="G35" i="1" s="1"/>
  <c r="K35" i="1" s="1"/>
  <c r="K38" i="66" l="1"/>
  <c r="G60" i="1" s="1"/>
  <c r="K60" i="1" s="1"/>
  <c r="K28" i="66"/>
  <c r="G51" i="1" s="1"/>
  <c r="K51" i="1" s="1"/>
  <c r="K27" i="66"/>
  <c r="G50" i="1" s="1"/>
  <c r="K50" i="1" s="1"/>
  <c r="K39" i="66" l="1"/>
  <c r="G61" i="1" s="1"/>
  <c r="K61" i="1" s="1"/>
  <c r="K40" i="66"/>
  <c r="G62" i="1" s="1"/>
  <c r="K62" i="1" s="1"/>
  <c r="K41" i="66"/>
  <c r="G63" i="1" s="1"/>
  <c r="K63" i="1" s="1"/>
  <c r="I10" i="62" l="1"/>
  <c r="K32" i="66"/>
  <c r="G55" i="1" s="1"/>
  <c r="K55" i="1" s="1"/>
  <c r="K33" i="66" l="1"/>
  <c r="G56" i="1" s="1"/>
  <c r="K56" i="1" s="1"/>
  <c r="K34" i="66"/>
  <c r="G57" i="1" s="1"/>
  <c r="K57" i="1" s="1"/>
  <c r="J70" i="1"/>
  <c r="K70" i="1" s="1"/>
  <c r="K72" i="1" l="1"/>
  <c r="K112" i="1" s="1"/>
  <c r="E12" i="51" s="1"/>
  <c r="F26" i="53" s="1"/>
  <c r="K85" i="1"/>
  <c r="K113" i="1" s="1"/>
  <c r="E13" i="51" s="1"/>
  <c r="F27" i="53" s="1"/>
  <c r="G27" i="53" l="1"/>
  <c r="I27" i="53"/>
  <c r="K27" i="53"/>
  <c r="G26" i="53"/>
  <c r="K26" i="53"/>
  <c r="I26" i="53"/>
  <c r="D13" i="53" l="1"/>
  <c r="C13" i="53"/>
  <c r="D12" i="53"/>
  <c r="C12" i="53"/>
  <c r="D16" i="53" l="1"/>
  <c r="C16" i="53"/>
  <c r="D10" i="51"/>
  <c r="D24" i="53" s="1"/>
  <c r="C10" i="51"/>
  <c r="C24" i="53" s="1"/>
  <c r="D11" i="53" l="1"/>
  <c r="C11" i="53"/>
  <c r="F16" i="53" l="1"/>
  <c r="G16" i="53" l="1"/>
  <c r="I16" i="53"/>
  <c r="K16" i="53"/>
  <c r="J16" i="1" l="1"/>
  <c r="K16" i="1" s="1"/>
  <c r="J20" i="1"/>
  <c r="K20" i="1" s="1"/>
  <c r="J21" i="1"/>
  <c r="K21" i="1" s="1"/>
  <c r="J22" i="1"/>
  <c r="J23" i="1"/>
  <c r="K23" i="1" s="1"/>
  <c r="J17" i="1"/>
  <c r="K17" i="1" s="1"/>
  <c r="F13" i="53" l="1"/>
  <c r="K13" i="53" l="1"/>
  <c r="I13" i="53"/>
  <c r="G13" i="53"/>
  <c r="E22" i="67" l="1"/>
  <c r="G22" i="67" s="1"/>
  <c r="E17" i="62"/>
  <c r="G17" i="62" s="1"/>
  <c r="H22" i="67" l="1"/>
  <c r="I22" i="67"/>
  <c r="E22" i="1"/>
  <c r="I17" i="62"/>
  <c r="E34" i="1"/>
  <c r="G22" i="1" l="1"/>
  <c r="K22" i="67"/>
  <c r="G34" i="1" s="1"/>
  <c r="K22" i="1" l="1"/>
  <c r="K25" i="1" s="1"/>
  <c r="K110" i="1" s="1"/>
  <c r="K34" i="1"/>
  <c r="K65" i="1" s="1"/>
  <c r="K111" i="1" s="1"/>
  <c r="E11" i="51" s="1"/>
  <c r="F25" i="53" s="1"/>
  <c r="G25" i="53" l="1"/>
  <c r="K25" i="53"/>
  <c r="I25" i="53"/>
  <c r="F12" i="53"/>
  <c r="K12" i="53" l="1"/>
  <c r="G12" i="53"/>
  <c r="I12" i="53"/>
  <c r="F14" i="53"/>
  <c r="E10" i="51"/>
  <c r="F24" i="53" s="1"/>
  <c r="G24" i="53" l="1"/>
  <c r="G31" i="53" s="1"/>
  <c r="I24" i="53"/>
  <c r="I31" i="53" s="1"/>
  <c r="K24" i="53"/>
  <c r="K31" i="53" s="1"/>
  <c r="F31" i="53"/>
  <c r="H31" i="53" s="1"/>
  <c r="K14" i="53"/>
  <c r="I14" i="53"/>
  <c r="G14" i="53"/>
  <c r="F11" i="53"/>
  <c r="J31" i="53" l="1"/>
  <c r="L31" i="53"/>
  <c r="K11" i="53"/>
  <c r="I11" i="53"/>
  <c r="G11" i="53"/>
  <c r="K106" i="1" l="1"/>
  <c r="L90" i="1" s="1"/>
  <c r="L92" i="1" s="1"/>
  <c r="K117" i="1" l="1"/>
  <c r="L22" i="1"/>
  <c r="L70" i="1"/>
  <c r="L33" i="1"/>
  <c r="L98" i="1"/>
  <c r="L16" i="1"/>
  <c r="L36" i="1"/>
  <c r="L102" i="1"/>
  <c r="L51" i="1"/>
  <c r="L21" i="1"/>
  <c r="L101" i="1"/>
  <c r="L47" i="1"/>
  <c r="L100" i="1"/>
  <c r="L20" i="1"/>
  <c r="L83" i="1"/>
  <c r="L35" i="1"/>
  <c r="L63" i="1"/>
  <c r="L77" i="1"/>
  <c r="L56" i="1"/>
  <c r="L81" i="1"/>
  <c r="L97" i="1"/>
  <c r="L61" i="1"/>
  <c r="L62" i="1"/>
  <c r="L50" i="1"/>
  <c r="L41" i="1"/>
  <c r="L57" i="1"/>
  <c r="L99" i="1"/>
  <c r="L32" i="1"/>
  <c r="L60" i="1"/>
  <c r="L34" i="1"/>
  <c r="L82" i="1"/>
  <c r="L54" i="1"/>
  <c r="L23" i="1"/>
  <c r="L80" i="1"/>
  <c r="L17" i="1"/>
  <c r="L55" i="1"/>
  <c r="L44" i="1"/>
  <c r="L104" i="1" l="1"/>
  <c r="L65" i="1"/>
  <c r="L25" i="1"/>
  <c r="L110" i="1" s="1"/>
  <c r="L85" i="1"/>
  <c r="L72" i="1"/>
  <c r="E17" i="51"/>
  <c r="F18" i="53" l="1"/>
  <c r="L113" i="1"/>
  <c r="L115" i="1"/>
  <c r="F15" i="51" s="1"/>
  <c r="E29" i="53" s="1"/>
  <c r="L111" i="1"/>
  <c r="L112" i="1"/>
  <c r="L106" i="1"/>
  <c r="F10" i="51"/>
  <c r="E24" i="53" s="1"/>
  <c r="F12" i="51" l="1"/>
  <c r="E26" i="53" s="1"/>
  <c r="E16" i="53"/>
  <c r="F11" i="51"/>
  <c r="E25" i="53" s="1"/>
  <c r="F13" i="51"/>
  <c r="E27" i="53" s="1"/>
  <c r="L117" i="1"/>
  <c r="E11" i="53"/>
  <c r="E31" i="53" l="1"/>
  <c r="E13" i="53"/>
  <c r="E14" i="53"/>
  <c r="E12" i="53"/>
  <c r="F17" i="51"/>
  <c r="I18" i="53"/>
  <c r="J18" i="53" s="1"/>
  <c r="G18" i="53"/>
  <c r="H18" i="53" s="1"/>
  <c r="K18" i="53"/>
  <c r="L18" i="53" s="1"/>
  <c r="E18" i="53" l="1"/>
  <c r="G19" i="53"/>
  <c r="I19" i="53" s="1"/>
  <c r="K19" i="53" s="1"/>
  <c r="G32" i="53" s="1"/>
  <c r="I32" i="53" s="1"/>
  <c r="K32" i="53" s="1"/>
  <c r="H19" i="53" l="1"/>
  <c r="J19" i="53" l="1"/>
  <c r="L19" i="53" s="1"/>
  <c r="H32" i="53" s="1"/>
  <c r="J32" i="53" s="1"/>
  <c r="L32" i="53" s="1"/>
</calcChain>
</file>

<file path=xl/sharedStrings.xml><?xml version="1.0" encoding="utf-8"?>
<sst xmlns="http://schemas.openxmlformats.org/spreadsheetml/2006/main" count="559" uniqueCount="377">
  <si>
    <t>ITEM</t>
  </si>
  <si>
    <t>SERVIÇO</t>
  </si>
  <si>
    <t>DMT</t>
  </si>
  <si>
    <t>UNID.</t>
  </si>
  <si>
    <t>QUANT.</t>
  </si>
  <si>
    <t>TOTAL</t>
  </si>
  <si>
    <t>PREÇO (R$)</t>
  </si>
  <si>
    <t>%</t>
  </si>
  <si>
    <t>SICRO / SINAPI</t>
  </si>
  <si>
    <t>PLANILHA ORÇAMENTÁRIA</t>
  </si>
  <si>
    <t>SEM DESONERAÇÃO</t>
  </si>
  <si>
    <t>SERVIÇOS PRELIMINARES</t>
  </si>
  <si>
    <t>TOTAL GERAL</t>
  </si>
  <si>
    <t>m²</t>
  </si>
  <si>
    <t>m³</t>
  </si>
  <si>
    <t>m³.km</t>
  </si>
  <si>
    <t>QUADRO RESUMO</t>
  </si>
  <si>
    <t>ADMINISTRAÇÃO LOCAL</t>
  </si>
  <si>
    <t>t.km</t>
  </si>
  <si>
    <t>REGULARIZAÇÃO</t>
  </si>
  <si>
    <t>EXECUÇÃO DA BASE</t>
  </si>
  <si>
    <t>SERVIÇOS COMPLEMENTARES</t>
  </si>
  <si>
    <t>PASSEIO COM ACESSIBILIDADE</t>
  </si>
  <si>
    <t>Execução e compactação de aterro com solo predominantemente argiloso, exclusive escavação, carga e transporte de solo</t>
  </si>
  <si>
    <t>CALÇADAS</t>
  </si>
  <si>
    <t>PISO PODOTÁTIL</t>
  </si>
  <si>
    <t>Preparo manual de terreno sem raspagem superficial</t>
  </si>
  <si>
    <t>CÓDIGO</t>
  </si>
  <si>
    <t>h</t>
  </si>
  <si>
    <t>TRANSPORTE</t>
  </si>
  <si>
    <t>IMPRIMAÇÃO</t>
  </si>
  <si>
    <t>CBUQ</t>
  </si>
  <si>
    <t>VALOR</t>
  </si>
  <si>
    <t>VALOR GERAL</t>
  </si>
  <si>
    <t>TABELA RESUMO</t>
  </si>
  <si>
    <r>
      <t xml:space="preserve">EXTENSÃO </t>
    </r>
    <r>
      <rPr>
        <b/>
        <sz val="8"/>
        <color rgb="FFFF0000"/>
        <rFont val="Arial"/>
        <family val="2"/>
      </rPr>
      <t>(m)</t>
    </r>
  </si>
  <si>
    <r>
      <t xml:space="preserve">TRANSPORTE DO BOTA FORA </t>
    </r>
    <r>
      <rPr>
        <b/>
        <sz val="8"/>
        <color rgb="FFFF0000"/>
        <rFont val="Arial"/>
        <family val="2"/>
      </rPr>
      <t>(m³.km)</t>
    </r>
  </si>
  <si>
    <t>CRONOGRAMA FÍSICO FINANCEIRO</t>
  </si>
  <si>
    <t>PREÇO TOTAL</t>
  </si>
  <si>
    <t>MÊS 01</t>
  </si>
  <si>
    <t>TOTAL MENSAL</t>
  </si>
  <si>
    <t>TOTAL MENSAL ACUMULADO</t>
  </si>
  <si>
    <t>MÊS 02</t>
  </si>
  <si>
    <t>MÊS 03</t>
  </si>
  <si>
    <t>MÊS 04</t>
  </si>
  <si>
    <t>MÊS 05</t>
  </si>
  <si>
    <t>MÊS 06</t>
  </si>
  <si>
    <t>NOME DA RUA</t>
  </si>
  <si>
    <t>VOLUMES</t>
  </si>
  <si>
    <r>
      <t xml:space="preserve">CORTE </t>
    </r>
    <r>
      <rPr>
        <b/>
        <sz val="8"/>
        <color rgb="FFFF0000"/>
        <rFont val="Arial"/>
        <family val="2"/>
      </rPr>
      <t>(m³)</t>
    </r>
  </si>
  <si>
    <r>
      <t xml:space="preserve">ATERRO </t>
    </r>
    <r>
      <rPr>
        <b/>
        <sz val="8"/>
        <color rgb="FFFF0000"/>
        <rFont val="Arial"/>
        <family val="2"/>
      </rPr>
      <t>(m³)</t>
    </r>
  </si>
  <si>
    <r>
      <t xml:space="preserve">ESCAVAÇÃO MECÂNICA - PREPARO DO SUBLEITO </t>
    </r>
    <r>
      <rPr>
        <b/>
        <sz val="8"/>
        <color rgb="FFFF0000"/>
        <rFont val="Arial"/>
        <family val="2"/>
      </rPr>
      <t>(m³)</t>
    </r>
  </si>
  <si>
    <r>
      <t xml:space="preserve">CARGA E DESCARGA MECÂNICA DO SUBLEITO </t>
    </r>
    <r>
      <rPr>
        <b/>
        <sz val="8"/>
        <color rgb="FFFF0000"/>
        <rFont val="Arial"/>
        <family val="2"/>
      </rPr>
      <t>(m³)</t>
    </r>
  </si>
  <si>
    <r>
      <t xml:space="preserve">ESPALHAMENTO DO BOTA FORA </t>
    </r>
    <r>
      <rPr>
        <b/>
        <sz val="8"/>
        <color rgb="FFFF0000"/>
        <rFont val="Arial"/>
        <family val="2"/>
      </rPr>
      <t>(m³)</t>
    </r>
  </si>
  <si>
    <r>
      <t xml:space="preserve">COMPACTAÇÃO </t>
    </r>
    <r>
      <rPr>
        <b/>
        <sz val="8"/>
        <color rgb="FFFF0000"/>
        <rFont val="Arial"/>
        <family val="2"/>
      </rPr>
      <t>(m³)</t>
    </r>
  </si>
  <si>
    <t>MEMÓRIA DE CÁLCULO DE PAVIMENTAÇÃO ASFÁLTICA - TERRAPLENAGEM</t>
  </si>
  <si>
    <r>
      <t xml:space="preserve">LARGURA DA PISTA + ACOSTAMENTO </t>
    </r>
    <r>
      <rPr>
        <b/>
        <sz val="8"/>
        <color rgb="FFFF0000"/>
        <rFont val="Arial"/>
        <family val="2"/>
      </rPr>
      <t>(m)</t>
    </r>
  </si>
  <si>
    <r>
      <t>DECLIVIDADE TRANSVERSAL DA PISTA</t>
    </r>
    <r>
      <rPr>
        <b/>
        <sz val="8"/>
        <color rgb="FFFF0000"/>
        <rFont val="Arial"/>
        <family val="2"/>
      </rPr>
      <t xml:space="preserve"> (SIMPLES OU DUPLA)</t>
    </r>
  </si>
  <si>
    <t>DUPLA</t>
  </si>
  <si>
    <t>RAIOS</t>
  </si>
  <si>
    <r>
      <t>QUANTIDADE DE RAIOS DE 5,00m</t>
    </r>
    <r>
      <rPr>
        <b/>
        <sz val="8"/>
        <color rgb="FFFF0000"/>
        <rFont val="Arial"/>
        <family val="2"/>
      </rPr>
      <t xml:space="preserve"> (un)</t>
    </r>
  </si>
  <si>
    <r>
      <t>ÁREA DO RAIO DE 5,00m</t>
    </r>
    <r>
      <rPr>
        <b/>
        <sz val="8"/>
        <color rgb="FFFF0000"/>
        <rFont val="Arial"/>
        <family val="2"/>
      </rPr>
      <t xml:space="preserve"> (m²)</t>
    </r>
  </si>
  <si>
    <r>
      <t>ÁREA RESTANTE</t>
    </r>
    <r>
      <rPr>
        <b/>
        <sz val="8"/>
        <color rgb="FFFF0000"/>
        <rFont val="Arial"/>
        <family val="2"/>
      </rPr>
      <t xml:space="preserve"> (m²)</t>
    </r>
  </si>
  <si>
    <r>
      <t>ÁREA TOTAL</t>
    </r>
    <r>
      <rPr>
        <b/>
        <sz val="8"/>
        <color rgb="FFFF0000"/>
        <rFont val="Arial"/>
        <family val="2"/>
      </rPr>
      <t xml:space="preserve"> (m²)</t>
    </r>
  </si>
  <si>
    <r>
      <t xml:space="preserve">MEIO FIO COM SARJETA </t>
    </r>
    <r>
      <rPr>
        <b/>
        <sz val="8"/>
        <color rgb="FFFF0000"/>
        <rFont val="Arial"/>
        <family val="2"/>
      </rPr>
      <t>(m)</t>
    </r>
  </si>
  <si>
    <r>
      <t xml:space="preserve">MEIO FIO GUIA </t>
    </r>
    <r>
      <rPr>
        <b/>
        <sz val="8"/>
        <color rgb="FFFF0000"/>
        <rFont val="Arial"/>
        <family val="2"/>
      </rPr>
      <t>(m)</t>
    </r>
  </si>
  <si>
    <t>MEMÓRIA DE CÁLCULO DE PAVIMENTAÇÃO ASFÁLTICA - PAVIMENTAÇÃO</t>
  </si>
  <si>
    <r>
      <t>ÁREA DE REGULARIZAÇÃO</t>
    </r>
    <r>
      <rPr>
        <b/>
        <sz val="8"/>
        <color rgb="FFFF0000"/>
        <rFont val="Arial"/>
        <family val="2"/>
      </rPr>
      <t xml:space="preserve"> (m²)</t>
    </r>
  </si>
  <si>
    <r>
      <t>LARGURA</t>
    </r>
    <r>
      <rPr>
        <b/>
        <sz val="8"/>
        <color rgb="FFFF0000"/>
        <rFont val="Arial"/>
        <family val="2"/>
      </rPr>
      <t xml:space="preserve"> (m)</t>
    </r>
  </si>
  <si>
    <r>
      <t>ESPESSURA</t>
    </r>
    <r>
      <rPr>
        <b/>
        <sz val="8"/>
        <color rgb="FFFF0000"/>
        <rFont val="Arial"/>
        <family val="2"/>
      </rPr>
      <t xml:space="preserve"> (m)</t>
    </r>
  </si>
  <si>
    <r>
      <t xml:space="preserve">BICA CORRIDA </t>
    </r>
    <r>
      <rPr>
        <b/>
        <sz val="8"/>
        <color rgb="FFFF0000"/>
        <rFont val="Arial"/>
        <family val="2"/>
      </rPr>
      <t>(m³)</t>
    </r>
  </si>
  <si>
    <t>EXECUÇÃO E COMPACTAÇÃO</t>
  </si>
  <si>
    <t>AQUISIÇÃO DO MATERIAL</t>
  </si>
  <si>
    <r>
      <t>BICA CORRIDA</t>
    </r>
    <r>
      <rPr>
        <b/>
        <sz val="8"/>
        <color rgb="FFFF0000"/>
        <rFont val="Arial"/>
        <family val="2"/>
      </rPr>
      <t xml:space="preserve"> (m³.km)</t>
    </r>
  </si>
  <si>
    <t>BASE</t>
  </si>
  <si>
    <r>
      <t xml:space="preserve">ÁREA DA IMPRIMAÇÃO </t>
    </r>
    <r>
      <rPr>
        <b/>
        <sz val="8"/>
        <color rgb="FFFF0000"/>
        <rFont val="Arial"/>
        <family val="2"/>
      </rPr>
      <t>(m²)</t>
    </r>
  </si>
  <si>
    <t>PAVER</t>
  </si>
  <si>
    <r>
      <t xml:space="preserve">ESPESSURA </t>
    </r>
    <r>
      <rPr>
        <b/>
        <sz val="8"/>
        <color rgb="FFFF0000"/>
        <rFont val="Arial"/>
        <family val="2"/>
      </rPr>
      <t>(m)</t>
    </r>
  </si>
  <si>
    <t>AQUISIÇÃO DA BASE</t>
  </si>
  <si>
    <t>TRANSPORTE DA BASE</t>
  </si>
  <si>
    <t>MEMÓRIA DE CÁLCULO DE SERVIÇOS COMPLEMENTARES</t>
  </si>
  <si>
    <r>
      <t xml:space="preserve">PREPARO MANUAL DO TERRENO </t>
    </r>
    <r>
      <rPr>
        <b/>
        <sz val="8"/>
        <color rgb="FFFF0000"/>
        <rFont val="Arial"/>
        <family val="2"/>
      </rPr>
      <t>(m²)</t>
    </r>
  </si>
  <si>
    <r>
      <t>CALÇADAS</t>
    </r>
    <r>
      <rPr>
        <b/>
        <sz val="8"/>
        <color rgb="FFFF0000"/>
        <rFont val="Arial"/>
        <family val="2"/>
      </rPr>
      <t xml:space="preserve"> (m²)</t>
    </r>
  </si>
  <si>
    <r>
      <t>LARGURA DAS CALÇADAS</t>
    </r>
    <r>
      <rPr>
        <b/>
        <sz val="8"/>
        <color rgb="FFFF0000"/>
        <rFont val="Arial"/>
        <family val="2"/>
      </rPr>
      <t xml:space="preserve"> (m)</t>
    </r>
  </si>
  <si>
    <r>
      <t>ÁREA DO REVESTIMENTO EM CONCRETO</t>
    </r>
    <r>
      <rPr>
        <b/>
        <sz val="8"/>
        <color rgb="FFFF0000"/>
        <rFont val="Arial"/>
        <family val="2"/>
      </rPr>
      <t xml:space="preserve"> (m²)</t>
    </r>
  </si>
  <si>
    <r>
      <t xml:space="preserve">TRANSPORTE DO BRITA </t>
    </r>
    <r>
      <rPr>
        <b/>
        <sz val="8"/>
        <color rgb="FFFF0000"/>
        <rFont val="Arial"/>
        <family val="2"/>
      </rPr>
      <t>(m³.km)</t>
    </r>
  </si>
  <si>
    <r>
      <t>CARGA DE BRITA P/ CALÇADAS</t>
    </r>
    <r>
      <rPr>
        <b/>
        <sz val="8"/>
        <color rgb="FFFF0000"/>
        <rFont val="Arial"/>
        <family val="2"/>
      </rPr>
      <t xml:space="preserve"> (m³)</t>
    </r>
  </si>
  <si>
    <t>BOTA FORA</t>
  </si>
  <si>
    <t>BICA CORRIDA</t>
  </si>
  <si>
    <t>TUBOS</t>
  </si>
  <si>
    <t>3º QUARTIL</t>
  </si>
  <si>
    <t>MÉDIO</t>
  </si>
  <si>
    <t>1º QUARTIL</t>
  </si>
  <si>
    <t>LUCRO</t>
  </si>
  <si>
    <t>PIS</t>
  </si>
  <si>
    <t>COFINS</t>
  </si>
  <si>
    <t>MEMÓRIA DE CÁLCULO DE SERVIÇOS PRELIMINARES</t>
  </si>
  <si>
    <t>PAVIMENTAÇÃO ASFÁLTICA</t>
  </si>
  <si>
    <r>
      <t>EXTENSÃO</t>
    </r>
    <r>
      <rPr>
        <b/>
        <sz val="8"/>
        <color rgb="FFFF0000"/>
        <rFont val="Arial"/>
        <family val="2"/>
      </rPr>
      <t xml:space="preserve"> (m)</t>
    </r>
  </si>
  <si>
    <r>
      <t>PLACA DE OBRA</t>
    </r>
    <r>
      <rPr>
        <b/>
        <sz val="8"/>
        <color rgb="FFFF0000"/>
        <rFont val="Arial"/>
        <family val="2"/>
      </rPr>
      <t xml:space="preserve"> (m²)</t>
    </r>
  </si>
  <si>
    <r>
      <t>LIMPEZA MECANIZADA</t>
    </r>
    <r>
      <rPr>
        <b/>
        <sz val="8"/>
        <color rgb="FFFF0000"/>
        <rFont val="Arial"/>
        <family val="2"/>
      </rPr>
      <t xml:space="preserve"> (m²)</t>
    </r>
  </si>
  <si>
    <r>
      <t>ESPALHAMENTO</t>
    </r>
    <r>
      <rPr>
        <b/>
        <sz val="8"/>
        <color rgb="FFFF0000"/>
        <rFont val="Arial"/>
        <family val="2"/>
      </rPr>
      <t xml:space="preserve"> (m³)</t>
    </r>
  </si>
  <si>
    <t>MESES</t>
  </si>
  <si>
    <t>DIAS</t>
  </si>
  <si>
    <t>HORAS</t>
  </si>
  <si>
    <t>Topógrafo com encargos complementares</t>
  </si>
  <si>
    <t>Auxiliar de topógrafo com encargos complementares</t>
  </si>
  <si>
    <t>-</t>
  </si>
  <si>
    <r>
      <t>VOLUME DO REVESTIMENTO EM CONCRETO</t>
    </r>
    <r>
      <rPr>
        <b/>
        <sz val="8"/>
        <color rgb="FFFF0000"/>
        <rFont val="Arial"/>
        <family val="2"/>
      </rPr>
      <t xml:space="preserve"> (m³)</t>
    </r>
  </si>
  <si>
    <t>Execução de passeio (calçada) ou piso de concreto com concreto moldado in loco, feito em obra, acabamento convencional, não armado</t>
  </si>
  <si>
    <t>Limpeza mecanizada de camada vegetal, vegetação e pequenas árvores (diâmetro de tronco menor que 0,20m), com trator de esteiras</t>
  </si>
  <si>
    <t>Espalhamento de material com trator esteiras</t>
  </si>
  <si>
    <t>BDI</t>
  </si>
  <si>
    <t>UNITÁRIO    C/ BDI</t>
  </si>
  <si>
    <t>UNITÁRIO     S/ BDI</t>
  </si>
  <si>
    <r>
      <t>QUANTIDADE</t>
    </r>
    <r>
      <rPr>
        <b/>
        <sz val="8"/>
        <color rgb="FFFF0000"/>
        <rFont val="Arial"/>
        <family val="2"/>
      </rPr>
      <t xml:space="preserve"> (un)</t>
    </r>
  </si>
  <si>
    <r>
      <t>COMPRIMENTO</t>
    </r>
    <r>
      <rPr>
        <b/>
        <sz val="8"/>
        <color rgb="FFFF0000"/>
        <rFont val="Arial"/>
        <family val="2"/>
      </rPr>
      <t xml:space="preserve"> (m)</t>
    </r>
  </si>
  <si>
    <r>
      <t xml:space="preserve">CARGA E DESCARGA (BOTA FORA)  </t>
    </r>
    <r>
      <rPr>
        <b/>
        <sz val="8"/>
        <color rgb="FFFF0000"/>
        <rFont val="Arial"/>
        <family val="2"/>
      </rPr>
      <t>(m³)</t>
    </r>
  </si>
  <si>
    <r>
      <t>TRANSPORTE BOTA FORA</t>
    </r>
    <r>
      <rPr>
        <b/>
        <sz val="8"/>
        <color rgb="FFFF0000"/>
        <rFont val="Arial"/>
        <family val="2"/>
      </rPr>
      <t xml:space="preserve"> (m³)</t>
    </r>
  </si>
  <si>
    <t>LIMPEZA</t>
  </si>
  <si>
    <t>Carga, manobra e descarga de solos e materiais granulares em caminhão basculante 10m³, carga com escavadeira hidráulica (caçamba de 1,20m³ / 155HP) e descarga livre</t>
  </si>
  <si>
    <t>Escavação horizontal em solo de 1ª categoria, com trator de esteiras (150HP / lâmina: 3,18m³)</t>
  </si>
  <si>
    <t>DADOS DO CONTRATANTE</t>
  </si>
  <si>
    <t>CLIENTE:</t>
  </si>
  <si>
    <t>ENDEREÇO:</t>
  </si>
  <si>
    <t>DADOS DA OBRA</t>
  </si>
  <si>
    <t>OBRA:</t>
  </si>
  <si>
    <t>LOCAL:</t>
  </si>
  <si>
    <t>PROFISSIONAL</t>
  </si>
  <si>
    <t>DADOS DA CONTRATADA</t>
  </si>
  <si>
    <r>
      <t xml:space="preserve">PESO </t>
    </r>
    <r>
      <rPr>
        <b/>
        <sz val="8"/>
        <color rgb="FFFF0000"/>
        <rFont val="Arial"/>
        <family val="2"/>
      </rPr>
      <t>(%)</t>
    </r>
  </si>
  <si>
    <t>REFERÊNCIA</t>
  </si>
  <si>
    <r>
      <t xml:space="preserve">Transporte com caminhão basculante de 10m³, em via urbana pavimentada, DMT até 30km - </t>
    </r>
    <r>
      <rPr>
        <sz val="8"/>
        <color rgb="FFFF0000"/>
        <rFont val="Arial"/>
        <family val="2"/>
      </rPr>
      <t>CBUQ</t>
    </r>
  </si>
  <si>
    <t>Encarregado geral com encargos complementares</t>
  </si>
  <si>
    <t>Engenheiro civil de obra junior com encargos complentares</t>
  </si>
  <si>
    <r>
      <t xml:space="preserve">Transporte com caminhão basculante de 10m³, em via urbana pavimentada, DMT até 30km - </t>
    </r>
    <r>
      <rPr>
        <sz val="8"/>
        <color rgb="FFFF0000"/>
        <rFont val="Arial"/>
        <family val="2"/>
      </rPr>
      <t>BOTA FORA</t>
    </r>
  </si>
  <si>
    <t>Regularização e compactação de subleito de solo predominantemente argiloso</t>
  </si>
  <si>
    <r>
      <t xml:space="preserve">Transporte com caminhão basculante de 10m³, em via urbana pavimentada, adicional para DMT excedente a 30km - </t>
    </r>
    <r>
      <rPr>
        <sz val="8"/>
        <color rgb="FFFF0000"/>
        <rFont val="Arial"/>
        <family val="2"/>
      </rPr>
      <t>CBUQ</t>
    </r>
  </si>
  <si>
    <r>
      <t xml:space="preserve">Transporte com caminhão basculante de 10m³, em via urbana pavimentada, adicional para DMT excedente a 30km - </t>
    </r>
    <r>
      <rPr>
        <sz val="8"/>
        <color rgb="FFFF0000"/>
        <rFont val="Arial"/>
        <family val="2"/>
      </rPr>
      <t>BICA CORRIDA</t>
    </r>
  </si>
  <si>
    <r>
      <t xml:space="preserve">Transporte com caminhão basculante de 10m³, em via urbana pavimentada, DMT até 30km - </t>
    </r>
    <r>
      <rPr>
        <sz val="8"/>
        <color rgb="FFFF0000"/>
        <rFont val="Arial"/>
        <family val="2"/>
      </rPr>
      <t>BICA CORRIDA</t>
    </r>
  </si>
  <si>
    <r>
      <t xml:space="preserve">Transporte com caminhão basculante de 10m³, em via urbana pavimentada, DMT até 30km - </t>
    </r>
    <r>
      <rPr>
        <sz val="8"/>
        <color rgb="FFFF0000"/>
        <rFont val="Arial"/>
        <family val="2"/>
      </rPr>
      <t>BRITA PARA CALÇADAS</t>
    </r>
  </si>
  <si>
    <r>
      <t xml:space="preserve">Transporte com caminhão basculante de 10m³, em via urbana pavimentada, adicional para DMT excedente a 30km - </t>
    </r>
    <r>
      <rPr>
        <sz val="8"/>
        <color rgb="FFFF0000"/>
        <rFont val="Arial"/>
        <family val="2"/>
      </rPr>
      <t>BRITA PARA CALÇADAS</t>
    </r>
  </si>
  <si>
    <t>BRITA P/ CONCRETO 15MPa</t>
  </si>
  <si>
    <t>CONSUMO DE CONCRETO 20MPa P/ CALÇADAS</t>
  </si>
  <si>
    <t>BANCOS</t>
  </si>
  <si>
    <t>ENCARGOS SOCIAIS</t>
  </si>
  <si>
    <t>MARCELLA BERNARDO LIMA - CREA 61634 / D - MS</t>
  </si>
  <si>
    <t>FERNANDO PEREIRA KHALIL - CREA 17392 / D - MS</t>
  </si>
  <si>
    <t>CAMPO GRANDE/MS</t>
  </si>
  <si>
    <t>VANESSA CRISTINA DE SOUZA - CAU A229391-9</t>
  </si>
  <si>
    <t>ELEMENTO ENGENHARIA E ARQUITETURA LTDA - CREA 20196 - MS</t>
  </si>
  <si>
    <t>VERIFICAÇÃO DO BDI - ACÓRDÃO 2.622/2013</t>
  </si>
  <si>
    <t>DADOS INICIAIS</t>
  </si>
  <si>
    <t>TIPO DE OBRA:</t>
  </si>
  <si>
    <t>Construção de rodovias e ferrovias</t>
  </si>
  <si>
    <t>ENQUADRAMENTO NA DESONERAÇÃO CONFORME LEI N° 12.844/2013:*</t>
  </si>
  <si>
    <t>NÃO</t>
  </si>
  <si>
    <t>*Uso de encargos sociais desonerados na elaboração do orçamento</t>
  </si>
  <si>
    <t>ENQUADRAM-SE NO TIPO SELECIONADO:</t>
  </si>
  <si>
    <t>CÁLCULO DOS IMPOSTOS</t>
  </si>
  <si>
    <t>TIPO DE TRIBUTAÇÃO SOBRE O LUCRO:</t>
  </si>
  <si>
    <t>LUCRO PRESUMIDO</t>
  </si>
  <si>
    <t>Imposto</t>
  </si>
  <si>
    <t>Aliquota</t>
  </si>
  <si>
    <t>Base de cálculo</t>
  </si>
  <si>
    <t>ISS BRUTO % (LEI MUNICIPAL):</t>
  </si>
  <si>
    <t>% INCIDÊNCIA (M.OBRA)*</t>
  </si>
  <si>
    <t>,</t>
  </si>
  <si>
    <t>ISS LÍQUIDO</t>
  </si>
  <si>
    <t>TOTAL IMPOSTOS</t>
  </si>
  <si>
    <t>*Incidência do total do contrato que representa mão de obra para compor a base de cálculo conf. legislação municipal.</t>
  </si>
  <si>
    <t>VERIFICAÇÃO E CÁLCULO DO BDI</t>
  </si>
  <si>
    <t>ITEM COMPONENTE</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</si>
  <si>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</si>
  <si>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</si>
  <si>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</si>
  <si>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</si>
  <si>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</si>
  <si>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</si>
  <si>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</si>
  <si>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</si>
  <si>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</si>
  <si>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</si>
  <si>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</si>
  <si>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 (USO DE E.S. DESONERADOS):</t>
  </si>
  <si>
    <t>INSS SOBRE A RECEITA BRUTA:</t>
  </si>
  <si>
    <t>____________________________________</t>
  </si>
  <si>
    <t>Elemento Engenharia e Arquitetura
CNPJ: 33.545.436/0001-15</t>
  </si>
  <si>
    <t>BANCO DE DADOS</t>
  </si>
  <si>
    <t>TIPO DE OBRA</t>
  </si>
  <si>
    <t>ENQUARAMENTO</t>
  </si>
  <si>
    <t>Construção de edificios</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</si>
  <si>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</si>
  <si>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</si>
  <si>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</si>
  <si>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</si>
  <si>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</si>
  <si>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</si>
  <si>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</si>
  <si>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</si>
  <si>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Fornecimento de Materiais e Equipamentos</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</si>
  <si>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</si>
  <si>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CONFINS</t>
  </si>
  <si>
    <t>BASE DE CÁLCULO</t>
  </si>
  <si>
    <t>RECEITA BRUTA (VALOR DA NOTA)</t>
  </si>
  <si>
    <t>LUCRO REAL</t>
  </si>
  <si>
    <t>Código da pesquisa</t>
  </si>
  <si>
    <t>1º Quartil</t>
  </si>
  <si>
    <t>Médio</t>
  </si>
  <si>
    <t>3º Quartil</t>
  </si>
  <si>
    <t>1 Quartil</t>
  </si>
  <si>
    <t>3 Quartil</t>
  </si>
  <si>
    <t>LOCAL</t>
  </si>
  <si>
    <t>CIDADE</t>
  </si>
  <si>
    <t>BDI SERVIÇO:</t>
  </si>
  <si>
    <t>Emulsão asfáltica a base d'água para imprimação</t>
  </si>
  <si>
    <r>
      <t xml:space="preserve">TRANSPORTE CM-IMPRIMA </t>
    </r>
    <r>
      <rPr>
        <b/>
        <sz val="8"/>
        <color rgb="FFFF0000"/>
        <rFont val="Arial"/>
        <family val="2"/>
      </rPr>
      <t>(t.km)</t>
    </r>
  </si>
  <si>
    <r>
      <t xml:space="preserve">EMULSÃO CM-IMPRIMA </t>
    </r>
    <r>
      <rPr>
        <b/>
        <sz val="8"/>
        <color rgb="FFFF0000"/>
        <rFont val="Arial"/>
        <family val="2"/>
      </rPr>
      <t>(t)</t>
    </r>
  </si>
  <si>
    <r>
      <t xml:space="preserve">AQUISIÇÃO </t>
    </r>
    <r>
      <rPr>
        <b/>
        <sz val="8"/>
        <color rgb="FFFF0000"/>
        <rFont val="Arial"/>
        <family val="2"/>
      </rPr>
      <t>(t)</t>
    </r>
  </si>
  <si>
    <r>
      <t xml:space="preserve">APLICAÇÃO </t>
    </r>
    <r>
      <rPr>
        <b/>
        <sz val="8"/>
        <color rgb="FFFF0000"/>
        <rFont val="Arial"/>
        <family val="2"/>
      </rPr>
      <t>(t)</t>
    </r>
  </si>
  <si>
    <r>
      <t xml:space="preserve">TRANSPORTE DE CBUQ </t>
    </r>
    <r>
      <rPr>
        <b/>
        <sz val="8"/>
        <color rgb="FFFF0000"/>
        <rFont val="Arial"/>
        <family val="2"/>
      </rPr>
      <t>(t.km)</t>
    </r>
  </si>
  <si>
    <r>
      <t xml:space="preserve">EMULSÃO </t>
    </r>
    <r>
      <rPr>
        <b/>
        <sz val="8"/>
        <color rgb="FFFF0000"/>
        <rFont val="Arial"/>
        <family val="2"/>
      </rPr>
      <t>(t/m³)</t>
    </r>
  </si>
  <si>
    <t>t</t>
  </si>
  <si>
    <t>1518 - Insumo</t>
  </si>
  <si>
    <t>Aplicação de concreto betuminoso usinado à quente (CBUQ), exclusive transporte e material</t>
  </si>
  <si>
    <t>GRECA ASFALTOS</t>
  </si>
  <si>
    <t>CM-IMPRIMA</t>
  </si>
  <si>
    <t>Concreto betuminoso usinado a quente (CBUQ) para pavimentação asfáltica, padrão DNIT, faixa "C", com CAP 50/70, aquisição posto usina</t>
  </si>
  <si>
    <t>QUADRO DE DISTÂNCIA MÉDIAS DE TRANSPORTE DE INSUMOS - DMT</t>
  </si>
  <si>
    <t>INSUMO</t>
  </si>
  <si>
    <t>USINA DE CBUQ</t>
  </si>
  <si>
    <t>JAZIDA DE SOLO</t>
  </si>
  <si>
    <t>PEDREIRA</t>
  </si>
  <si>
    <t>RIO BRILHANTE/MS</t>
  </si>
  <si>
    <t>LAJ LUCAS</t>
  </si>
  <si>
    <t>ITAPORÃ/MS</t>
  </si>
  <si>
    <t>PLANACON</t>
  </si>
  <si>
    <t>GV ENGENHARIA</t>
  </si>
  <si>
    <t>DOURADOS/MS</t>
  </si>
  <si>
    <r>
      <t xml:space="preserve">CONSUMO CM-IMPRIMA </t>
    </r>
    <r>
      <rPr>
        <b/>
        <sz val="8"/>
        <color rgb="FFFF0000"/>
        <rFont val="Arial"/>
        <family val="2"/>
      </rPr>
      <t>(t/m²)</t>
    </r>
  </si>
  <si>
    <t>01</t>
  </si>
  <si>
    <t>02</t>
  </si>
  <si>
    <t>03</t>
  </si>
  <si>
    <t>04</t>
  </si>
  <si>
    <t>05</t>
  </si>
  <si>
    <t>Pedra britada ou bica corrida, não classificada (posto pedreira / fornecedor, sem frete)</t>
  </si>
  <si>
    <t>Auxiliar de laboratório com encargos complementares</t>
  </si>
  <si>
    <t>Técnico de laboratório com encargos complementares</t>
  </si>
  <si>
    <t>DMT (km)</t>
  </si>
  <si>
    <t>Fornecimento e instalação de placa de obra com chapa galvanizada e estrutura de madeira</t>
  </si>
  <si>
    <t>01.01</t>
  </si>
  <si>
    <t>10776 - Insumo</t>
  </si>
  <si>
    <t>01.02</t>
  </si>
  <si>
    <t>Locação de container 2,30m x 6,00m, alt 2,50m, para escritório, sem divisórias internas e sem sanitário (não inclui mobilização / desmobilização)</t>
  </si>
  <si>
    <t>mês</t>
  </si>
  <si>
    <t>01.03</t>
  </si>
  <si>
    <t>01.04</t>
  </si>
  <si>
    <t>01.05</t>
  </si>
  <si>
    <t>01.06</t>
  </si>
  <si>
    <t>PRELIMINARES</t>
  </si>
  <si>
    <t>LIMPEZA VEGETAL</t>
  </si>
  <si>
    <t>BDI INSUMO:</t>
  </si>
  <si>
    <r>
      <t>LOCAÇÃO DE CONTAINER</t>
    </r>
    <r>
      <rPr>
        <b/>
        <sz val="8"/>
        <color rgb="FFFF0000"/>
        <rFont val="Arial"/>
        <family val="2"/>
      </rPr>
      <t xml:space="preserve"> (un)</t>
    </r>
  </si>
  <si>
    <t>02.01</t>
  </si>
  <si>
    <t>03.01</t>
  </si>
  <si>
    <t>SICRO MS 01/2025</t>
  </si>
  <si>
    <t>04.01</t>
  </si>
  <si>
    <t>04.02</t>
  </si>
  <si>
    <t>04.03</t>
  </si>
  <si>
    <t>TERRAPLENAGEM</t>
  </si>
  <si>
    <t>05.01</t>
  </si>
  <si>
    <t>IUP30129 - AGESUL</t>
  </si>
  <si>
    <t>MIUC00701 - AGESUL</t>
  </si>
  <si>
    <t>IUP30114 - AGESUL</t>
  </si>
  <si>
    <t>Execução de imprimação com emulsão asfáltica a base d'água.(exclusive material betuminoso)</t>
  </si>
  <si>
    <t>IUP20005 - AGESUL</t>
  </si>
  <si>
    <r>
      <t xml:space="preserve">Transporte com caminhão tanque de transporte de material asfáltico de 30.000L, em via urbana pavimentada, DMT até 30km - </t>
    </r>
    <r>
      <rPr>
        <sz val="8"/>
        <color rgb="FFFF0000"/>
        <rFont val="Arial"/>
        <family val="2"/>
      </rPr>
      <t>CM-IMPRIMA</t>
    </r>
  </si>
  <si>
    <r>
      <t xml:space="preserve">Transporte com caminhão tanque de transporte de material asfáltico de 30.000L, em via urbana pavimentada, adicional para DMT excedente a 30km - </t>
    </r>
    <r>
      <rPr>
        <sz val="8"/>
        <color rgb="FFFF0000"/>
        <rFont val="Arial"/>
        <family val="2"/>
      </rPr>
      <t>CM-IMPRIMA</t>
    </r>
  </si>
  <si>
    <t>IUP0007 - AGESUL</t>
  </si>
  <si>
    <t>IMPLANTAÇÃO ASFÁLTICA</t>
  </si>
  <si>
    <t>IUD30120 - AGESUL</t>
  </si>
  <si>
    <t>PLANILHA DE CUBAÇÃO - TOPOGRAPH</t>
  </si>
  <si>
    <t>PAVIMENTAÇÃO</t>
  </si>
  <si>
    <t>HORISTA:  107,52%
MENSALISTA:  64,80%</t>
  </si>
  <si>
    <t>RUA ANTÔNIO MARIA COELHO, Nº 4.017 - SALA 03 - SANTA FÉ</t>
  </si>
  <si>
    <r>
      <t xml:space="preserve">Execução e compactação de base e ou sub base para pavimentação com pedra britada ou bica corrida - exclusive material, carga e transporte - </t>
    </r>
    <r>
      <rPr>
        <sz val="8"/>
        <color rgb="FFFF0000"/>
        <rFont val="Arial"/>
        <family val="2"/>
      </rPr>
      <t>BICA CORRIDA</t>
    </r>
  </si>
  <si>
    <t>EQUIPE TÉCNICA</t>
  </si>
  <si>
    <t>COMPOSIÇÃO MS: 07/2025
INSUMO MS: 07/2025
AGESUL MS: 07/2025</t>
  </si>
  <si>
    <t>CALÇADA PUBLICA</t>
  </si>
  <si>
    <t>CALÇADA INTERNA</t>
  </si>
  <si>
    <t>PISTA DE CAMINHADA</t>
  </si>
  <si>
    <t>02.01.01</t>
  </si>
  <si>
    <t>02.01.02</t>
  </si>
  <si>
    <t>02.01.03</t>
  </si>
  <si>
    <t>02.01.04</t>
  </si>
  <si>
    <t>02.01.05</t>
  </si>
  <si>
    <t>02.02</t>
  </si>
  <si>
    <t>02.02.01</t>
  </si>
  <si>
    <t>02.02.02</t>
  </si>
  <si>
    <t>02.02.03</t>
  </si>
  <si>
    <t>02.02.04</t>
  </si>
  <si>
    <t>02.02.05</t>
  </si>
  <si>
    <t>02.02.06</t>
  </si>
  <si>
    <t>02.02.07</t>
  </si>
  <si>
    <t>02.02.08</t>
  </si>
  <si>
    <t>02.02.09</t>
  </si>
  <si>
    <t>02.02.10</t>
  </si>
  <si>
    <t>02.02.11</t>
  </si>
  <si>
    <t>02.02.12</t>
  </si>
  <si>
    <t>02.02.13</t>
  </si>
  <si>
    <t>04.04</t>
  </si>
  <si>
    <t>04.05</t>
  </si>
  <si>
    <t>PAVIMENTAÇÃO ASFÁLTICA E EM CONCRETO</t>
  </si>
  <si>
    <t>PRAÇA INTERATIVA, RIO BRILHANTE / MS</t>
  </si>
  <si>
    <r>
      <t xml:space="preserve">GRAMA </t>
    </r>
    <r>
      <rPr>
        <b/>
        <sz val="8"/>
        <color rgb="FFFF0000"/>
        <rFont val="Arial"/>
        <family val="2"/>
      </rPr>
      <t>(m²)</t>
    </r>
  </si>
  <si>
    <t>Plantio de grama esmeralda ou são carlos ou curitibana, em placas.</t>
  </si>
  <si>
    <t>URBANIZAÇÃO</t>
  </si>
  <si>
    <t>PREFEITURA MUNICIPAL DE RIO BRILHANTE / MS</t>
  </si>
  <si>
    <t>RUA ATHAYDE NOGUEIRA, Nº 1.033 - CENTRO</t>
  </si>
  <si>
    <t>CANTEIROS</t>
  </si>
  <si>
    <t xml:space="preserve">MEMÓRIA DE CÁLCULO DE PASSEIO </t>
  </si>
  <si>
    <t>PATAMARIZAÇÃO DA QUADRA</t>
  </si>
  <si>
    <t>ÁREA 01</t>
  </si>
  <si>
    <t>CORTE COMPENSADO</t>
  </si>
  <si>
    <r>
      <t xml:space="preserve">CORTE COMPENSADO </t>
    </r>
    <r>
      <rPr>
        <b/>
        <sz val="8"/>
        <color rgb="FFFF0000"/>
        <rFont val="Arial"/>
        <family val="2"/>
      </rPr>
      <t>(m³)</t>
    </r>
  </si>
  <si>
    <t>MEMÓRIA DE CÁLCULO DE SINALIZAÇÃO VIÁRIA</t>
  </si>
  <si>
    <t>MARCA</t>
  </si>
  <si>
    <t>PINTURA TAPETE</t>
  </si>
  <si>
    <r>
      <t xml:space="preserve">LARGURA </t>
    </r>
    <r>
      <rPr>
        <b/>
        <sz val="8"/>
        <color rgb="FFFF0000"/>
        <rFont val="Arial"/>
        <family val="2"/>
      </rPr>
      <t>(m)</t>
    </r>
  </si>
  <si>
    <r>
      <t xml:space="preserve">ÁREA TOTAL </t>
    </r>
    <r>
      <rPr>
        <b/>
        <sz val="8"/>
        <color rgb="FFFF0000"/>
        <rFont val="Arial"/>
        <family val="2"/>
      </rPr>
      <t>(m²)</t>
    </r>
  </si>
  <si>
    <t>SV - 04</t>
  </si>
  <si>
    <t>SINALIZAÇÃO</t>
  </si>
  <si>
    <t>PINTURA</t>
  </si>
  <si>
    <t>Pintura de piso de ciclovia, tinta base acrílica emulsionada em água, espessura de 0,30mm</t>
  </si>
  <si>
    <t>COMPOSIÇÃO DE CUSTO UNITÁRIO</t>
  </si>
  <si>
    <t>UNIDADE</t>
  </si>
  <si>
    <t>PRODUÇÃO DE EQUIPE</t>
  </si>
  <si>
    <t>SV-04</t>
  </si>
  <si>
    <t>EQUIPAMENTO</t>
  </si>
  <si>
    <t>CUSTO OPERACIONAL</t>
  </si>
  <si>
    <t>UTILIZAÇÃO</t>
  </si>
  <si>
    <t>CUSTO HORÁRIO</t>
  </si>
  <si>
    <t>PROD.</t>
  </si>
  <si>
    <t>IMPROD.</t>
  </si>
  <si>
    <t>73467 / 91395</t>
  </si>
  <si>
    <t>Caminhão toco, PBT 14.300kg, carga útil max. 9.710kg, dist. entre eixos 3,56m, potência 185CV, inclusive carroceria fixa aberta de madeira para transporte geral de carga seca, dimen. aprox. 2,50m x 6,50m x 0,50m</t>
  </si>
  <si>
    <t>Máquina demarcadora de faixa de tráfego a frio, autopropelida, potência 38HP</t>
  </si>
  <si>
    <t>CUSTO HORÁRIO DO EQUIPAMENTO</t>
  </si>
  <si>
    <t>MÃO DE OBRA</t>
  </si>
  <si>
    <t>SALÁRIO BASE</t>
  </si>
  <si>
    <t>QUANTIDADES</t>
  </si>
  <si>
    <t>Pintor com encargos complementares</t>
  </si>
  <si>
    <t>Servente com encargos complementares</t>
  </si>
  <si>
    <t>CUSTO HORÁRIO DA MÃO DE OBRA</t>
  </si>
  <si>
    <t>CUSTO UNITÁRIO DO EQUIPAMENTO + MÃO DE OBRA</t>
  </si>
  <si>
    <t>CUSTO UNITÁRIO DA EXECUÇÃO</t>
  </si>
  <si>
    <t>MATERIAIS</t>
  </si>
  <si>
    <t>CUSTO</t>
  </si>
  <si>
    <t>CUSTO UNITÁRIO</t>
  </si>
  <si>
    <t>44478 - Insumo</t>
  </si>
  <si>
    <t>Microesfera de vidro para sinalização horizontal viária  tipo I-B (premix) - NBR 16184</t>
  </si>
  <si>
    <t>kg</t>
  </si>
  <si>
    <t>44477 - Insumo</t>
  </si>
  <si>
    <t>Microesfera de vidro para sinalização horizontal viária  tipo II-A (drop-on) - NBR 16184</t>
  </si>
  <si>
    <t>38121 - Insumo</t>
  </si>
  <si>
    <t>Tinta a base de resina acrílica emulsionada em água, para sinalização horizontal viária (NBR 13699:2012)</t>
  </si>
  <si>
    <t>L</t>
  </si>
  <si>
    <t>CUSTO UNITÁRIO DE MATERIAIS</t>
  </si>
  <si>
    <t>CUSTO UNITÁRIO DE TRANSPORTE</t>
  </si>
  <si>
    <t>CUSTO DIRETO TOTAL</t>
  </si>
  <si>
    <t>06</t>
  </si>
  <si>
    <t>06.01</t>
  </si>
  <si>
    <t>06.02</t>
  </si>
  <si>
    <t>06.03</t>
  </si>
  <si>
    <t>06.04</t>
  </si>
  <si>
    <t>06.05</t>
  </si>
  <si>
    <t>06.06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</si>
</sst>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00"/>
    <numFmt numFmtId="165" formatCode="#,##0.0000"/>
    <numFmt numFmtId="166" formatCode="#,##0.00_ ;\-#,##0.00\ "/>
    <numFmt numFmtId="167" formatCode="0.000%"/>
    <numFmt numFmtId="168" formatCode="0.0%"/>
  </numFmts>
  <fonts count="34" x14ac:knownFonts="1">
    <font>
      <sz val="11"/>
      <color theme="1"/>
      <name val="Calibri"/>
      <family val="2"/>
      <scheme val="minor"/>
    </font>
    <font>
      <sz val="10"/>
      <color theme="1"/>
      <name val="Arial"/>
      <family val="2"/>
    </font>
    <font>
      <sz val="10"/>
      <color theme="1"/>
      <name val="Arial"/>
      <family val="2"/>
    </font>
    <font>
      <sz val="10"/>
      <color theme="1"/>
      <name val="Arial"/>
      <family val="2"/>
    </font>
    <font>
      <b/>
      <sz val="10"/>
      <color theme="1"/>
      <name val="Arial"/>
      <family val="2"/>
    </font>
    <font>
      <b/>
      <sz val="9"/>
      <color theme="1"/>
      <name val="Arial"/>
      <family val="2"/>
    </font>
    <font>
      <sz val="8"/>
      <color theme="1"/>
      <name val="Arial"/>
      <family val="2"/>
    </font>
    <font>
      <b/>
      <sz val="8"/>
      <color theme="1"/>
      <name val="Arial"/>
      <family val="2"/>
    </font>
    <font>
      <b/>
      <sz val="8"/>
      <color rgb="FFFF0000"/>
      <name val="Arial"/>
      <family val="2"/>
    </font>
    <font>
      <sz val="8"/>
      <color rgb="FFFF0000"/>
      <name val="Arial"/>
      <family val="2"/>
    </font>
    <font>
      <b/>
      <sz val="9"/>
      <color rgb="FFFF0000"/>
      <name val="Arial"/>
      <family val="2"/>
    </font>
    <font>
      <sz val="9"/>
      <color theme="1"/>
      <name val="Arial"/>
      <family val="2"/>
    </font>
    <font>
      <b/>
      <sz val="9"/>
      <name val="Arial"/>
      <family val="2"/>
    </font>
    <font>
      <sz val="10"/>
      <color rgb="FFFF0000"/>
      <name val="Arial"/>
      <family val="2"/>
    </font>
    <font>
      <sz val="10"/>
      <name val="Arial"/>
      <family val="2"/>
    </font>
    <font>
      <b/>
      <sz val="16"/>
      <name val="Arial"/>
      <family val="2"/>
    </font>
    <font>
      <b/>
      <sz val="12"/>
      <name val="Arial"/>
      <family val="2"/>
    </font>
    <font>
      <b/>
      <sz val="10"/>
      <name val="Arial"/>
      <family val="2"/>
    </font>
    <font>
      <b/>
      <sz val="10"/>
      <color indexed="12"/>
      <name val="Arial"/>
      <family val="2"/>
    </font>
    <font>
      <b/>
      <sz val="10"/>
      <color indexed="10"/>
      <name val="Arial"/>
      <family val="2"/>
    </font>
    <font>
      <sz val="9"/>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1"/>
      <color rgb="FFFF0000"/>
      <name val="Arial"/>
      <family val="2"/>
    </font>
    <font>
      <b/>
      <sz val="12"/>
      <color rgb="FFFF0000"/>
      <name val="Arial"/>
      <family val="2"/>
    </font>
    <font>
      <b/>
      <sz val="10"/>
      <color rgb="FFFF0000"/>
      <name val="Arial"/>
      <family val="2"/>
    </font>
    <font>
      <sz val="11"/>
      <name val="Arial"/>
      <family val="2"/>
    </font>
    <font>
      <sz val="10"/>
      <color rgb="FF000000"/>
      <name val="Arial"/>
      <family val="1"/>
    </font>
    <font>
      <b/>
      <sz val="8"/>
      <name val="Arial"/>
      <family val="2"/>
    </font>
    <font>
      <sz val="8"/>
      <name val="Calibri"/>
      <family val="2"/>
      <scheme val="minor"/>
    </font>
    <font>
      <sz val="10"/>
      <name val="MS Sans Serif"/>
      <family val="2"/>
    </font>
    <font>
      <sz val="8"/>
      <color theme="1"/>
      <name val="Calibri"/>
      <family val="2"/>
      <scheme val="minor"/>
    </font>
  </fonts>
  <fills count="14">
    <fill>
      <patternFill patternType="none"/>
    </fill>
    <fill>
      <patternFill patternType="gray125"/>
    </fill>
    <fill>
      <patternFill patternType="solid">
        <fgColor theme="0" tint="-0.249977111117893"/>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indexed="26"/>
        <bgColor indexed="64"/>
      </patternFill>
    </fill>
    <fill>
      <patternFill patternType="solid">
        <fgColor indexed="42"/>
        <bgColor indexed="64"/>
      </patternFill>
    </fill>
    <fill>
      <patternFill patternType="solid">
        <fgColor indexed="22"/>
        <bgColor indexed="64"/>
      </patternFill>
    </fill>
    <fill>
      <patternFill patternType="solid">
        <fgColor rgb="FFD8ECF6"/>
      </patternFill>
    </fill>
    <fill>
      <patternFill patternType="solid">
        <fgColor theme="0"/>
        <bgColor indexed="64"/>
      </patternFill>
    </fill>
    <fill>
      <patternFill patternType="solid">
        <fgColor theme="0" tint="-0.499984740745262"/>
        <bgColor indexed="64"/>
      </patternFill>
    </fill>
  </fills>
  <borders count="3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CCCCCC"/>
      </left>
      <right/>
      <top/>
      <bottom/>
      <diagonal/>
    </border>
  </borders>
  <cellStyleXfs count="9">
    <xf numFmtId="0" fontId="0"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29" fillId="11" borderId="33" applyFill="0" applyBorder="0">
      <alignment horizontal="right" vertical="top" wrapText="1"/>
    </xf>
    <xf numFmtId="43" fontId="14" fillId="0" borderId="0" applyFont="0" applyFill="0" applyBorder="0" applyAlignment="0" applyProtection="0"/>
    <xf numFmtId="0" fontId="32" fillId="0" borderId="0"/>
    <xf numFmtId="43" fontId="14" fillId="0" borderId="0" applyFont="0" applyFill="0" applyBorder="0" applyAlignment="0" applyProtection="0"/>
    <xf numFmtId="43" fontId="14" fillId="0" borderId="0" applyFont="0" applyFill="0" applyBorder="0" applyAlignment="0" applyProtection="0"/>
  </cellStyleXfs>
  <cellXfs count="313">
    <xf numFmtId="0" fontId="0" fillId="0" borderId="0" xfId="0"/>
    <xf numFmtId="0" fontId="3" fillId="0" borderId="0" xfId="0" applyFont="1"/>
    <xf numFmtId="0" fontId="4" fillId="0" borderId="0" xfId="0" applyFont="1"/>
    <xf numFmtId="0" fontId="4" fillId="0" borderId="0" xfId="0" applyFont="1" applyAlignment="1">
      <alignment horizontal="left" vertical="center"/>
    </xf>
    <xf numFmtId="0" fontId="2" fillId="0" borderId="0" xfId="0" applyFont="1" applyAlignment="1">
      <alignment horizontal="center" vertical="center"/>
    </xf>
    <xf numFmtId="0" fontId="3" fillId="0" borderId="10" xfId="0" applyFont="1" applyBorder="1"/>
    <xf numFmtId="0" fontId="4" fillId="0" borderId="14" xfId="0" applyFont="1" applyBorder="1" applyAlignment="1">
      <alignment horizontal="left" vertical="center"/>
    </xf>
    <xf numFmtId="0" fontId="3" fillId="0" borderId="14" xfId="0" applyFont="1" applyBorder="1"/>
    <xf numFmtId="0" fontId="6" fillId="0" borderId="0" xfId="0" applyFont="1" applyAlignment="1">
      <alignment horizontal="center" vertical="center"/>
    </xf>
    <xf numFmtId="0" fontId="7" fillId="0" borderId="0" xfId="0" applyFont="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6" fillId="0" borderId="1" xfId="0" applyFont="1" applyBorder="1" applyAlignment="1">
      <alignment horizontal="center" vertical="center"/>
    </xf>
    <xf numFmtId="3" fontId="7"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4" fontId="7" fillId="0" borderId="1" xfId="0" applyNumberFormat="1" applyFont="1" applyBorder="1" applyAlignment="1">
      <alignment horizontal="center" vertical="center"/>
    </xf>
    <xf numFmtId="4" fontId="7" fillId="5" borderId="2" xfId="0" applyNumberFormat="1" applyFont="1" applyFill="1" applyBorder="1" applyAlignment="1">
      <alignment horizontal="center" vertical="center"/>
    </xf>
    <xf numFmtId="4" fontId="7" fillId="5" borderId="9" xfId="0" applyNumberFormat="1" applyFont="1" applyFill="1" applyBorder="1" applyAlignment="1">
      <alignment horizontal="center" vertical="center"/>
    </xf>
    <xf numFmtId="4" fontId="7" fillId="5" borderId="3" xfId="0" applyNumberFormat="1" applyFont="1" applyFill="1" applyBorder="1" applyAlignment="1">
      <alignment horizontal="center" vertical="center"/>
    </xf>
    <xf numFmtId="3" fontId="6" fillId="0" borderId="1" xfId="0" applyNumberFormat="1" applyFont="1" applyBorder="1" applyAlignment="1">
      <alignment horizontal="center" vertical="center"/>
    </xf>
    <xf numFmtId="4" fontId="6" fillId="4" borderId="1" xfId="0" applyNumberFormat="1" applyFont="1" applyFill="1" applyBorder="1" applyAlignment="1">
      <alignment horizontal="center" vertical="center"/>
    </xf>
    <xf numFmtId="4" fontId="6" fillId="0" borderId="1" xfId="0" applyNumberFormat="1" applyFont="1" applyBorder="1" applyAlignment="1">
      <alignment horizontal="center" vertical="center"/>
    </xf>
    <xf numFmtId="3" fontId="7" fillId="0" borderId="1" xfId="0" applyNumberFormat="1" applyFont="1" applyBorder="1" applyAlignment="1">
      <alignment horizontal="center" vertical="center"/>
    </xf>
    <xf numFmtId="3" fontId="6" fillId="4" borderId="1" xfId="0" applyNumberFormat="1" applyFont="1" applyFill="1" applyBorder="1" applyAlignment="1">
      <alignment horizontal="center" vertical="center"/>
    </xf>
    <xf numFmtId="0" fontId="7" fillId="2" borderId="0" xfId="0" applyFont="1" applyFill="1" applyAlignment="1">
      <alignment horizontal="center" vertical="center" wrapText="1"/>
    </xf>
    <xf numFmtId="3" fontId="7" fillId="2" borderId="0" xfId="0" applyNumberFormat="1" applyFont="1" applyFill="1" applyAlignment="1">
      <alignment horizontal="center" vertical="center" wrapText="1"/>
    </xf>
    <xf numFmtId="0" fontId="7" fillId="2" borderId="0" xfId="0" applyFont="1" applyFill="1" applyAlignment="1">
      <alignment horizontal="center" vertical="center"/>
    </xf>
    <xf numFmtId="0" fontId="2" fillId="0" borderId="10" xfId="0" applyFont="1" applyBorder="1" applyAlignment="1">
      <alignment horizontal="left" vertical="center" wrapText="1"/>
    </xf>
    <xf numFmtId="0" fontId="2" fillId="0" borderId="10" xfId="0" applyFont="1" applyBorder="1" applyAlignment="1">
      <alignment horizontal="center" vertical="center"/>
    </xf>
    <xf numFmtId="4" fontId="7" fillId="5" borderId="1" xfId="0" applyNumberFormat="1" applyFont="1" applyFill="1" applyBorder="1" applyAlignment="1">
      <alignment horizontal="center" vertical="center"/>
    </xf>
    <xf numFmtId="0" fontId="2" fillId="0" borderId="12" xfId="0" applyFont="1" applyBorder="1" applyAlignment="1">
      <alignment horizontal="center" vertical="center"/>
    </xf>
    <xf numFmtId="0" fontId="2" fillId="0" borderId="5"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4" fillId="0" borderId="10" xfId="0" applyFont="1" applyBorder="1" applyAlignment="1">
      <alignment horizontal="left" vertical="center"/>
    </xf>
    <xf numFmtId="3" fontId="7" fillId="2" borderId="1" xfId="0" applyNumberFormat="1" applyFont="1" applyFill="1" applyBorder="1" applyAlignment="1">
      <alignment horizontal="center" vertical="center"/>
    </xf>
    <xf numFmtId="4" fontId="7"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7"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5" fillId="3" borderId="11" xfId="0" applyFont="1" applyFill="1" applyBorder="1" applyAlignment="1">
      <alignment horizontal="center" vertical="center"/>
    </xf>
    <xf numFmtId="0" fontId="5" fillId="3" borderId="10" xfId="0" applyFont="1" applyFill="1" applyBorder="1" applyAlignment="1">
      <alignment horizontal="left" vertical="center"/>
    </xf>
    <xf numFmtId="0" fontId="5" fillId="3" borderId="10" xfId="0" applyFont="1" applyFill="1" applyBorder="1" applyAlignment="1">
      <alignment horizontal="center" vertical="center"/>
    </xf>
    <xf numFmtId="0" fontId="5" fillId="3" borderId="12" xfId="0" applyFont="1" applyFill="1" applyBorder="1" applyAlignment="1">
      <alignment horizontal="center" vertical="center"/>
    </xf>
    <xf numFmtId="0" fontId="11" fillId="0" borderId="0" xfId="0" applyFont="1"/>
    <xf numFmtId="0" fontId="6" fillId="0" borderId="2" xfId="0" applyFont="1" applyBorder="1" applyAlignment="1">
      <alignment horizontal="left" vertical="center"/>
    </xf>
    <xf numFmtId="4" fontId="6" fillId="0" borderId="2" xfId="0" applyNumberFormat="1" applyFont="1" applyBorder="1" applyAlignment="1">
      <alignment horizontal="right" vertical="center"/>
    </xf>
    <xf numFmtId="0" fontId="6" fillId="0" borderId="9" xfId="0" applyFont="1" applyBorder="1" applyAlignment="1">
      <alignment horizontal="center" vertical="center" wrapText="1"/>
    </xf>
    <xf numFmtId="4" fontId="6" fillId="0" borderId="9" xfId="0" applyNumberFormat="1" applyFont="1" applyBorder="1" applyAlignment="1">
      <alignment horizontal="center" vertical="center"/>
    </xf>
    <xf numFmtId="0" fontId="6" fillId="0" borderId="9" xfId="0" applyFont="1" applyBorder="1" applyAlignment="1">
      <alignment horizontal="left" vertical="center" wrapText="1"/>
    </xf>
    <xf numFmtId="0" fontId="6" fillId="0" borderId="9" xfId="0" applyFont="1" applyBorder="1" applyAlignment="1">
      <alignment horizontal="center" vertical="center"/>
    </xf>
    <xf numFmtId="4" fontId="6" fillId="0" borderId="9" xfId="0" applyNumberFormat="1" applyFont="1" applyBorder="1" applyAlignment="1">
      <alignment horizontal="right" vertical="center"/>
    </xf>
    <xf numFmtId="10" fontId="6" fillId="0" borderId="9" xfId="0" applyNumberFormat="1" applyFont="1" applyBorder="1" applyAlignment="1">
      <alignment horizontal="center" vertical="center"/>
    </xf>
    <xf numFmtId="0" fontId="6" fillId="0" borderId="9" xfId="0" quotePrefix="1" applyFont="1" applyBorder="1" applyAlignment="1">
      <alignment horizontal="center" vertical="center"/>
    </xf>
    <xf numFmtId="0" fontId="6" fillId="0" borderId="9" xfId="0" applyFont="1" applyBorder="1" applyAlignment="1">
      <alignment horizontal="left" vertical="center"/>
    </xf>
    <xf numFmtId="4" fontId="6" fillId="0" borderId="3" xfId="0" applyNumberFormat="1" applyFont="1" applyBorder="1" applyAlignment="1">
      <alignment horizontal="center" vertical="center"/>
    </xf>
    <xf numFmtId="0" fontId="6" fillId="0" borderId="3" xfId="0" quotePrefix="1" applyFont="1" applyBorder="1" applyAlignment="1">
      <alignment horizontal="center" vertical="center"/>
    </xf>
    <xf numFmtId="4" fontId="6" fillId="0" borderId="3" xfId="0" applyNumberFormat="1" applyFont="1" applyBorder="1" applyAlignment="1">
      <alignment horizontal="right" vertical="center"/>
    </xf>
    <xf numFmtId="0" fontId="6" fillId="0" borderId="1" xfId="0" applyFont="1" applyBorder="1" applyAlignment="1">
      <alignment horizontal="left" vertical="center"/>
    </xf>
    <xf numFmtId="10" fontId="6" fillId="0" borderId="1" xfId="0" applyNumberFormat="1" applyFont="1" applyBorder="1" applyAlignment="1">
      <alignment horizontal="center" vertical="center"/>
    </xf>
    <xf numFmtId="0" fontId="5" fillId="0" borderId="10" xfId="0" applyFont="1" applyBorder="1" applyAlignment="1">
      <alignment horizontal="left" vertical="center"/>
    </xf>
    <xf numFmtId="0" fontId="5" fillId="0" borderId="0" xfId="0" applyFont="1" applyAlignment="1">
      <alignment horizontal="left" vertical="center"/>
    </xf>
    <xf numFmtId="0" fontId="3" fillId="0" borderId="4"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left" vertical="center"/>
    </xf>
    <xf numFmtId="0" fontId="5" fillId="0" borderId="7" xfId="0" applyFont="1" applyBorder="1"/>
    <xf numFmtId="4" fontId="5" fillId="0" borderId="1" xfId="0" applyNumberFormat="1" applyFont="1" applyBorder="1" applyAlignment="1">
      <alignment horizontal="right" vertical="center" wrapText="1"/>
    </xf>
    <xf numFmtId="10" fontId="5" fillId="0" borderId="1" xfId="0" applyNumberFormat="1" applyFont="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left"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6" fillId="0" borderId="2" xfId="0" applyFont="1" applyBorder="1" applyAlignment="1">
      <alignment horizontal="center" vertical="center"/>
    </xf>
    <xf numFmtId="4" fontId="6" fillId="0" borderId="2" xfId="0" applyNumberFormat="1" applyFont="1" applyBorder="1" applyAlignment="1">
      <alignment horizontal="center" vertical="center"/>
    </xf>
    <xf numFmtId="10" fontId="6" fillId="0" borderId="2" xfId="0" applyNumberFormat="1" applyFont="1" applyBorder="1" applyAlignment="1">
      <alignment horizontal="center" vertical="center"/>
    </xf>
    <xf numFmtId="0" fontId="7" fillId="0" borderId="9" xfId="0" applyFont="1" applyBorder="1" applyAlignment="1">
      <alignment horizontal="left" vertical="center"/>
    </xf>
    <xf numFmtId="0" fontId="6" fillId="0" borderId="3" xfId="0" applyFont="1" applyBorder="1" applyAlignment="1">
      <alignment horizontal="center" vertical="center"/>
    </xf>
    <xf numFmtId="0" fontId="6" fillId="0" borderId="3" xfId="0" applyFont="1" applyBorder="1" applyAlignment="1">
      <alignment horizontal="left" vertical="center"/>
    </xf>
    <xf numFmtId="10" fontId="6" fillId="0" borderId="3" xfId="0" applyNumberFormat="1" applyFont="1" applyBorder="1" applyAlignment="1">
      <alignment horizontal="center" vertical="center"/>
    </xf>
    <xf numFmtId="0" fontId="5" fillId="0" borderId="11" xfId="0" applyFont="1" applyBorder="1" applyAlignment="1">
      <alignment horizontal="center" vertical="center"/>
    </xf>
    <xf numFmtId="0" fontId="5" fillId="0" borderId="4" xfId="0" applyFont="1" applyBorder="1" applyAlignment="1">
      <alignment horizontal="center" vertical="center"/>
    </xf>
    <xf numFmtId="4" fontId="5" fillId="0" borderId="1" xfId="0" applyNumberFormat="1" applyFont="1" applyBorder="1" applyAlignment="1">
      <alignment horizontal="center" vertical="center"/>
    </xf>
    <xf numFmtId="0" fontId="6" fillId="0" borderId="2" xfId="0" applyFont="1" applyBorder="1" applyAlignment="1">
      <alignment horizontal="left" vertical="center" wrapText="1"/>
    </xf>
    <xf numFmtId="10" fontId="7" fillId="0" borderId="1" xfId="0" applyNumberFormat="1" applyFont="1" applyBorder="1" applyAlignment="1">
      <alignment horizontal="center" vertical="center"/>
    </xf>
    <xf numFmtId="0" fontId="6" fillId="0" borderId="0" xfId="0" applyFont="1"/>
    <xf numFmtId="4" fontId="7" fillId="0" borderId="0" xfId="0" applyNumberFormat="1" applyFont="1" applyAlignment="1">
      <alignment horizontal="right" vertical="center" wrapText="1"/>
    </xf>
    <xf numFmtId="0" fontId="7" fillId="0" borderId="0" xfId="0" applyFont="1" applyAlignment="1">
      <alignment horizontal="left" vertical="center"/>
    </xf>
    <xf numFmtId="4" fontId="7" fillId="0" borderId="0" xfId="0" applyNumberFormat="1" applyFont="1" applyAlignment="1">
      <alignment horizontal="center" vertical="center"/>
    </xf>
    <xf numFmtId="10" fontId="7" fillId="0" borderId="0" xfId="0" applyNumberFormat="1" applyFont="1" applyAlignment="1">
      <alignment horizontal="center" vertical="center" wrapText="1"/>
    </xf>
    <xf numFmtId="10" fontId="10" fillId="0" borderId="15" xfId="0" applyNumberFormat="1" applyFont="1" applyBorder="1" applyAlignment="1">
      <alignment horizontal="center" vertical="center"/>
    </xf>
    <xf numFmtId="0" fontId="0" fillId="0" borderId="0" xfId="0" applyAlignment="1">
      <alignment horizontal="center" vertical="center"/>
    </xf>
    <xf numFmtId="4" fontId="2" fillId="0" borderId="0" xfId="0" applyNumberFormat="1" applyFont="1" applyAlignment="1">
      <alignment horizontal="center" vertical="center"/>
    </xf>
    <xf numFmtId="165" fontId="6" fillId="6" borderId="1" xfId="0" applyNumberFormat="1" applyFont="1" applyFill="1" applyBorder="1" applyAlignment="1">
      <alignment horizontal="center" vertical="center"/>
    </xf>
    <xf numFmtId="10" fontId="7" fillId="0" borderId="0" xfId="0" applyNumberFormat="1" applyFont="1" applyAlignment="1">
      <alignment horizontal="center" vertical="center"/>
    </xf>
    <xf numFmtId="0" fontId="14" fillId="0" borderId="0" xfId="1"/>
    <xf numFmtId="0" fontId="14" fillId="0" borderId="18" xfId="1" applyBorder="1"/>
    <xf numFmtId="0" fontId="14" fillId="0" borderId="20" xfId="1" applyBorder="1"/>
    <xf numFmtId="0" fontId="14" fillId="0" borderId="21" xfId="1" applyBorder="1"/>
    <xf numFmtId="0" fontId="16" fillId="0" borderId="0" xfId="1" applyFont="1" applyAlignment="1">
      <alignment horizontal="center" vertical="center"/>
    </xf>
    <xf numFmtId="0" fontId="14" fillId="0" borderId="22" xfId="1" applyBorder="1"/>
    <xf numFmtId="0" fontId="14" fillId="0" borderId="23" xfId="1" applyBorder="1"/>
    <xf numFmtId="0" fontId="16" fillId="0" borderId="24" xfId="1" applyFont="1" applyBorder="1" applyAlignment="1">
      <alignment horizontal="center" vertical="center"/>
    </xf>
    <xf numFmtId="0" fontId="14" fillId="0" borderId="25" xfId="1" applyBorder="1"/>
    <xf numFmtId="0" fontId="17" fillId="0" borderId="0" xfId="1" applyFont="1" applyAlignment="1">
      <alignment vertical="center"/>
    </xf>
    <xf numFmtId="0" fontId="12" fillId="0" borderId="0" xfId="1" applyFont="1" applyAlignment="1">
      <alignment vertical="center"/>
    </xf>
    <xf numFmtId="0" fontId="17" fillId="8" borderId="1" xfId="1" applyFont="1" applyFill="1" applyBorder="1" applyAlignment="1" applyProtection="1">
      <alignment horizontal="center"/>
      <protection locked="0"/>
    </xf>
    <xf numFmtId="0" fontId="19" fillId="0" borderId="0" xfId="1" applyFont="1"/>
    <xf numFmtId="0" fontId="20" fillId="0" borderId="0" xfId="1" applyFont="1" applyAlignment="1">
      <alignment vertical="center"/>
    </xf>
    <xf numFmtId="0" fontId="14" fillId="0" borderId="0" xfId="1" applyAlignment="1">
      <alignment vertical="center"/>
    </xf>
    <xf numFmtId="0" fontId="14" fillId="0" borderId="0" xfId="1" applyAlignment="1">
      <alignment horizontal="center" vertical="center"/>
    </xf>
    <xf numFmtId="0" fontId="17" fillId="0" borderId="0" xfId="1" applyFont="1" applyAlignment="1">
      <alignment horizontal="center" vertical="center"/>
    </xf>
    <xf numFmtId="10" fontId="17" fillId="0" borderId="0" xfId="1" applyNumberFormat="1" applyFont="1" applyAlignment="1">
      <alignment horizontal="center" vertical="center"/>
    </xf>
    <xf numFmtId="10" fontId="18" fillId="8" borderId="1" xfId="3" applyNumberFormat="1" applyFont="1" applyFill="1" applyBorder="1" applyAlignment="1" applyProtection="1">
      <alignment horizontal="center" vertical="center" wrapText="1"/>
      <protection locked="0"/>
    </xf>
    <xf numFmtId="0" fontId="17" fillId="0" borderId="0" xfId="1" quotePrefix="1" applyFont="1" applyAlignment="1">
      <alignment vertical="center"/>
    </xf>
    <xf numFmtId="10" fontId="18" fillId="0" borderId="0" xfId="3" applyNumberFormat="1" applyFont="1" applyFill="1" applyBorder="1" applyAlignment="1" applyProtection="1">
      <alignment vertical="center" wrapText="1"/>
    </xf>
    <xf numFmtId="10" fontId="17" fillId="0" borderId="0" xfId="3" applyNumberFormat="1" applyFont="1" applyFill="1" applyBorder="1" applyAlignment="1" applyProtection="1">
      <alignment vertical="center" wrapText="1"/>
    </xf>
    <xf numFmtId="167" fontId="21" fillId="0" borderId="0" xfId="1" applyNumberFormat="1" applyFont="1"/>
    <xf numFmtId="0" fontId="14" fillId="0" borderId="29" xfId="1" applyBorder="1"/>
    <xf numFmtId="0" fontId="14" fillId="0" borderId="30" xfId="1" applyBorder="1"/>
    <xf numFmtId="0" fontId="14" fillId="0" borderId="24" xfId="1" applyBorder="1"/>
    <xf numFmtId="0" fontId="22" fillId="0" borderId="0" xfId="1" applyFont="1" applyAlignment="1">
      <alignment horizontal="center" vertical="center" wrapText="1"/>
    </xf>
    <xf numFmtId="0" fontId="17" fillId="0" borderId="0" xfId="1" applyFont="1" applyAlignment="1">
      <alignment horizontal="center" vertical="center" wrapText="1"/>
    </xf>
    <xf numFmtId="0" fontId="14" fillId="0" borderId="0" xfId="1" applyAlignment="1">
      <alignment horizontal="center"/>
    </xf>
    <xf numFmtId="0" fontId="23" fillId="0" borderId="0" xfId="1" applyFont="1" applyAlignment="1">
      <alignment horizontal="left" vertical="center" wrapText="1"/>
    </xf>
    <xf numFmtId="10" fontId="23" fillId="0" borderId="0" xfId="3" applyNumberFormat="1" applyFont="1" applyBorder="1" applyAlignment="1" applyProtection="1">
      <alignment horizontal="center" vertical="center" wrapText="1"/>
    </xf>
    <xf numFmtId="10" fontId="19" fillId="8" borderId="0" xfId="3" applyNumberFormat="1" applyFont="1" applyFill="1" applyBorder="1" applyAlignment="1" applyProtection="1">
      <alignment horizontal="center" vertical="center" wrapText="1"/>
      <protection locked="0"/>
    </xf>
    <xf numFmtId="10" fontId="14" fillId="0" borderId="22" xfId="1" applyNumberFormat="1" applyBorder="1"/>
    <xf numFmtId="10" fontId="14" fillId="0" borderId="0" xfId="1" applyNumberFormat="1"/>
    <xf numFmtId="0" fontId="22" fillId="0" borderId="0" xfId="1" applyFont="1" applyAlignment="1">
      <alignment horizontal="left" vertical="center" wrapText="1"/>
    </xf>
    <xf numFmtId="167" fontId="17" fillId="0" borderId="0" xfId="3" applyNumberFormat="1" applyFont="1" applyFill="1" applyBorder="1" applyAlignment="1" applyProtection="1">
      <alignment horizontal="center" vertical="center" wrapText="1"/>
    </xf>
    <xf numFmtId="167" fontId="14" fillId="0" borderId="0" xfId="1" applyNumberFormat="1"/>
    <xf numFmtId="0" fontId="24" fillId="0" borderId="0" xfId="1" applyFont="1"/>
    <xf numFmtId="10" fontId="21" fillId="0" borderId="0" xfId="3" applyNumberFormat="1" applyFont="1" applyBorder="1" applyAlignment="1" applyProtection="1">
      <alignment horizontal="center"/>
    </xf>
    <xf numFmtId="0" fontId="27" fillId="0" borderId="0" xfId="1" applyFont="1" applyAlignment="1">
      <alignment horizontal="left" vertical="center" wrapText="1"/>
    </xf>
    <xf numFmtId="10" fontId="13" fillId="0" borderId="0" xfId="3" applyNumberFormat="1" applyFont="1" applyBorder="1" applyAlignment="1" applyProtection="1">
      <alignment horizontal="center" vertical="center" wrapText="1"/>
    </xf>
    <xf numFmtId="0" fontId="13" fillId="0" borderId="0" xfId="1" applyFont="1"/>
    <xf numFmtId="0" fontId="27" fillId="0" borderId="0" xfId="1" applyFont="1"/>
    <xf numFmtId="10" fontId="27" fillId="0" borderId="0" xfId="1" applyNumberFormat="1" applyFont="1" applyAlignment="1">
      <alignment horizontal="center" vertical="center"/>
    </xf>
    <xf numFmtId="167" fontId="26" fillId="0" borderId="0" xfId="1" applyNumberFormat="1" applyFont="1"/>
    <xf numFmtId="10" fontId="0" fillId="0" borderId="0" xfId="3" applyNumberFormat="1" applyFont="1" applyAlignment="1" applyProtection="1">
      <alignment horizontal="center"/>
    </xf>
    <xf numFmtId="168" fontId="14" fillId="0" borderId="0" xfId="1" applyNumberFormat="1" applyAlignment="1">
      <alignment horizontal="center"/>
    </xf>
    <xf numFmtId="0" fontId="17" fillId="0" borderId="0" xfId="1" applyFont="1" applyAlignment="1">
      <alignment horizontal="center"/>
    </xf>
    <xf numFmtId="10" fontId="0" fillId="0" borderId="0" xfId="3" applyNumberFormat="1" applyFont="1" applyProtection="1"/>
    <xf numFmtId="9" fontId="0" fillId="0" borderId="0" xfId="3" applyFont="1" applyProtection="1"/>
    <xf numFmtId="0" fontId="17" fillId="0" borderId="21" xfId="1" applyFont="1" applyBorder="1" applyAlignment="1">
      <alignment vertical="center"/>
    </xf>
    <xf numFmtId="0" fontId="14" fillId="0" borderId="0" xfId="1" applyAlignment="1">
      <alignment vertical="center" wrapText="1"/>
    </xf>
    <xf numFmtId="0" fontId="28" fillId="0" borderId="0" xfId="1" applyFont="1" applyAlignment="1">
      <alignment vertical="center" wrapText="1"/>
    </xf>
    <xf numFmtId="0" fontId="14" fillId="0" borderId="21" xfId="1" applyBorder="1" applyAlignment="1">
      <alignment vertical="center"/>
    </xf>
    <xf numFmtId="9" fontId="14" fillId="0" borderId="0" xfId="1" applyNumberFormat="1"/>
    <xf numFmtId="0" fontId="17" fillId="0" borderId="21" xfId="1" applyFont="1" applyBorder="1"/>
    <xf numFmtId="0" fontId="17" fillId="0" borderId="0" xfId="1" applyFont="1"/>
    <xf numFmtId="0" fontId="28" fillId="0" borderId="31" xfId="1" applyFont="1" applyBorder="1" applyAlignment="1">
      <alignment vertical="top" wrapText="1"/>
    </xf>
    <xf numFmtId="10" fontId="28" fillId="0" borderId="30" xfId="1" applyNumberFormat="1" applyFont="1" applyBorder="1" applyAlignment="1">
      <alignment horizontal="center" vertical="top" wrapText="1"/>
    </xf>
    <xf numFmtId="0" fontId="14" fillId="0" borderId="16" xfId="1" applyBorder="1"/>
    <xf numFmtId="0" fontId="28" fillId="0" borderId="17" xfId="1" applyFont="1" applyBorder="1" applyAlignment="1">
      <alignment vertical="top" wrapText="1"/>
    </xf>
    <xf numFmtId="10" fontId="28" fillId="0" borderId="32" xfId="1" applyNumberFormat="1" applyFont="1" applyBorder="1" applyAlignment="1">
      <alignment horizontal="center" vertical="top" wrapText="1"/>
    </xf>
    <xf numFmtId="0" fontId="14" fillId="0" borderId="21" xfId="1" applyBorder="1" applyAlignment="1">
      <alignment wrapText="1"/>
    </xf>
    <xf numFmtId="0" fontId="14" fillId="10" borderId="0" xfId="1" applyFill="1" applyAlignment="1">
      <alignment wrapText="1"/>
    </xf>
    <xf numFmtId="0" fontId="14" fillId="0" borderId="0" xfId="1" applyAlignment="1">
      <alignment wrapText="1"/>
    </xf>
    <xf numFmtId="0" fontId="14" fillId="0" borderId="22" xfId="1" applyBorder="1" applyAlignment="1">
      <alignment wrapText="1"/>
    </xf>
    <xf numFmtId="0" fontId="14" fillId="0" borderId="1" xfId="1" applyBorder="1"/>
    <xf numFmtId="0" fontId="14" fillId="0" borderId="1" xfId="1" applyBorder="1" applyAlignment="1">
      <alignment horizontal="center"/>
    </xf>
    <xf numFmtId="10" fontId="28" fillId="0" borderId="1" xfId="1" applyNumberFormat="1" applyFont="1" applyBorder="1" applyAlignment="1">
      <alignment horizontal="center" vertical="top" wrapText="1"/>
    </xf>
    <xf numFmtId="0" fontId="28" fillId="0" borderId="1" xfId="1" applyFont="1" applyBorder="1" applyAlignment="1">
      <alignment vertical="top" wrapText="1"/>
    </xf>
    <xf numFmtId="0" fontId="28" fillId="0" borderId="17" xfId="1" applyFont="1" applyBorder="1" applyAlignment="1">
      <alignment horizontal="center" vertical="top" wrapText="1"/>
    </xf>
    <xf numFmtId="0" fontId="28" fillId="0" borderId="32" xfId="1" applyFont="1" applyBorder="1" applyAlignment="1">
      <alignment horizontal="center" vertical="top" wrapText="1"/>
    </xf>
    <xf numFmtId="0" fontId="8" fillId="0" borderId="0" xfId="0" applyFont="1" applyAlignment="1">
      <alignment horizontal="center" vertical="center"/>
    </xf>
    <xf numFmtId="0" fontId="7" fillId="0" borderId="1" xfId="0" applyFont="1" applyBorder="1" applyAlignment="1">
      <alignment horizontal="center" vertical="center" wrapText="1"/>
    </xf>
    <xf numFmtId="4" fontId="6" fillId="12" borderId="9" xfId="0" applyNumberFormat="1" applyFont="1" applyFill="1" applyBorder="1" applyAlignment="1">
      <alignment horizontal="right" vertical="center"/>
    </xf>
    <xf numFmtId="4" fontId="6" fillId="12" borderId="3" xfId="0" applyNumberFormat="1" applyFont="1" applyFill="1" applyBorder="1" applyAlignment="1">
      <alignment horizontal="right" vertical="center"/>
    </xf>
    <xf numFmtId="0" fontId="2" fillId="0" borderId="7" xfId="0" applyFont="1" applyBorder="1" applyAlignment="1">
      <alignment horizontal="center" vertical="center"/>
    </xf>
    <xf numFmtId="0" fontId="10" fillId="0" borderId="14" xfId="0" applyFont="1" applyBorder="1" applyAlignment="1">
      <alignment horizontal="right" vertical="center"/>
    </xf>
    <xf numFmtId="0" fontId="5" fillId="0" borderId="6" xfId="0" applyFont="1" applyBorder="1" applyAlignment="1">
      <alignment vertical="center"/>
    </xf>
    <xf numFmtId="4" fontId="5" fillId="0" borderId="8" xfId="0" applyNumberFormat="1" applyFont="1" applyBorder="1" applyAlignment="1">
      <alignment horizontal="right" vertical="center" wrapText="1"/>
    </xf>
    <xf numFmtId="4" fontId="7" fillId="0" borderId="8" xfId="0" applyNumberFormat="1" applyFont="1" applyBorder="1" applyAlignment="1">
      <alignment horizontal="center" vertical="center"/>
    </xf>
    <xf numFmtId="0" fontId="2" fillId="0" borderId="6" xfId="0" applyFont="1" applyBorder="1" applyAlignment="1">
      <alignment horizontal="center" vertical="center"/>
    </xf>
    <xf numFmtId="4" fontId="3" fillId="0" borderId="0" xfId="0" applyNumberFormat="1" applyFont="1" applyAlignment="1">
      <alignment horizontal="center" vertical="center"/>
    </xf>
    <xf numFmtId="0" fontId="1" fillId="0" borderId="0" xfId="0" applyFont="1"/>
    <xf numFmtId="4" fontId="6" fillId="0" borderId="9" xfId="0" quotePrefix="1" applyNumberFormat="1" applyFont="1" applyBorder="1" applyAlignment="1">
      <alignment horizontal="center" vertical="center"/>
    </xf>
    <xf numFmtId="3" fontId="5" fillId="3" borderId="10" xfId="0" quotePrefix="1" applyNumberFormat="1" applyFont="1" applyFill="1" applyBorder="1" applyAlignment="1">
      <alignment horizontal="center" vertical="center"/>
    </xf>
    <xf numFmtId="10" fontId="10" fillId="0" borderId="14" xfId="0" applyNumberFormat="1" applyFont="1" applyBorder="1" applyAlignment="1">
      <alignment horizontal="center" vertical="center"/>
    </xf>
    <xf numFmtId="4" fontId="5" fillId="3" borderId="10" xfId="0" quotePrefix="1" applyNumberFormat="1" applyFont="1" applyFill="1" applyBorder="1" applyAlignment="1">
      <alignment horizontal="center" vertical="center"/>
    </xf>
    <xf numFmtId="0" fontId="5" fillId="4" borderId="9" xfId="0" applyFont="1" applyFill="1" applyBorder="1" applyAlignment="1">
      <alignment horizontal="center" vertical="center"/>
    </xf>
    <xf numFmtId="3" fontId="5" fillId="4" borderId="9" xfId="0" quotePrefix="1" applyNumberFormat="1" applyFont="1" applyFill="1" applyBorder="1" applyAlignment="1">
      <alignment horizontal="center" vertical="center"/>
    </xf>
    <xf numFmtId="0" fontId="5" fillId="4" borderId="9" xfId="0" applyFont="1" applyFill="1" applyBorder="1" applyAlignment="1">
      <alignment horizontal="left" vertical="center"/>
    </xf>
    <xf numFmtId="10" fontId="6" fillId="0" borderId="0" xfId="0" applyNumberFormat="1" applyFont="1" applyAlignment="1">
      <alignment horizontal="center" vertical="center"/>
    </xf>
    <xf numFmtId="4" fontId="5" fillId="3" borderId="7" xfId="0" quotePrefix="1" applyNumberFormat="1" applyFont="1" applyFill="1" applyBorder="1" applyAlignment="1">
      <alignment horizontal="center" vertical="center"/>
    </xf>
    <xf numFmtId="0" fontId="5" fillId="0" borderId="6" xfId="0" applyFont="1" applyBorder="1"/>
    <xf numFmtId="0" fontId="5" fillId="0" borderId="13" xfId="0" applyFont="1" applyBorder="1"/>
    <xf numFmtId="0" fontId="5" fillId="0" borderId="14" xfId="0" applyFont="1" applyBorder="1"/>
    <xf numFmtId="0" fontId="5" fillId="0" borderId="13" xfId="0" applyFont="1" applyBorder="1" applyAlignment="1">
      <alignment vertical="center"/>
    </xf>
    <xf numFmtId="4" fontId="5" fillId="0" borderId="15" xfId="0" applyNumberFormat="1" applyFont="1" applyBorder="1" applyAlignment="1">
      <alignment horizontal="right" vertical="center" wrapText="1"/>
    </xf>
    <xf numFmtId="10" fontId="5" fillId="0" borderId="3" xfId="0" applyNumberFormat="1" applyFont="1" applyBorder="1" applyAlignment="1">
      <alignment horizontal="center" vertical="center"/>
    </xf>
    <xf numFmtId="0" fontId="7" fillId="13" borderId="10" xfId="0" applyFont="1" applyFill="1" applyBorder="1" applyAlignment="1">
      <alignment horizontal="center" vertical="center" wrapText="1"/>
    </xf>
    <xf numFmtId="164" fontId="6" fillId="0" borderId="1" xfId="0" applyNumberFormat="1" applyFont="1" applyBorder="1" applyAlignment="1">
      <alignment horizontal="center" vertical="center"/>
    </xf>
    <xf numFmtId="165" fontId="6" fillId="0" borderId="1" xfId="0" applyNumberFormat="1" applyFont="1" applyBorder="1" applyAlignment="1">
      <alignment horizontal="center" vertical="center"/>
    </xf>
    <xf numFmtId="0" fontId="1" fillId="0" borderId="10" xfId="0" applyFont="1" applyBorder="1"/>
    <xf numFmtId="0" fontId="1" fillId="0" borderId="14" xfId="0" applyFont="1" applyBorder="1"/>
    <xf numFmtId="10" fontId="10" fillId="0" borderId="15" xfId="0" applyNumberFormat="1" applyFont="1" applyBorder="1" applyAlignment="1">
      <alignment horizontal="left" vertical="center"/>
    </xf>
    <xf numFmtId="0" fontId="6" fillId="5" borderId="1" xfId="0" applyFont="1" applyFill="1" applyBorder="1" applyAlignment="1">
      <alignment horizontal="center" vertical="center"/>
    </xf>
    <xf numFmtId="0" fontId="6" fillId="0" borderId="1" xfId="0" quotePrefix="1" applyFont="1" applyBorder="1" applyAlignment="1">
      <alignment horizontal="center" vertical="center"/>
    </xf>
    <xf numFmtId="0" fontId="1" fillId="0" borderId="0" xfId="0" applyFont="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left" vertical="center" wrapText="1"/>
    </xf>
    <xf numFmtId="0" fontId="33" fillId="0" borderId="0" xfId="0" applyFont="1"/>
    <xf numFmtId="0" fontId="10" fillId="0" borderId="13" xfId="0" applyFont="1" applyBorder="1" applyAlignment="1">
      <alignment vertical="center"/>
    </xf>
    <xf numFmtId="0" fontId="10" fillId="0" borderId="14" xfId="0" applyFont="1" applyBorder="1" applyAlignment="1">
      <alignment vertical="center"/>
    </xf>
    <xf numFmtId="0" fontId="7" fillId="0" borderId="1" xfId="0" applyFont="1" applyBorder="1" applyAlignment="1">
      <alignment horizontal="center"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0" borderId="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5" fillId="0" borderId="0" xfId="0" applyFont="1" applyAlignment="1">
      <alignment horizontal="center" vertical="center"/>
    </xf>
    <xf numFmtId="3" fontId="7"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0" borderId="10" xfId="0" applyFont="1" applyBorder="1" applyAlignment="1">
      <alignment horizontal="center"/>
    </xf>
    <xf numFmtId="0" fontId="5" fillId="0" borderId="12" xfId="0" applyFont="1" applyBorder="1" applyAlignment="1">
      <alignment horizontal="center"/>
    </xf>
    <xf numFmtId="0" fontId="5" fillId="0" borderId="10" xfId="0" applyFont="1" applyBorder="1" applyAlignment="1">
      <alignment horizontal="center" vertic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10" fillId="0" borderId="14" xfId="0" applyFont="1" applyBorder="1" applyAlignment="1">
      <alignment horizontal="right" vertical="center"/>
    </xf>
    <xf numFmtId="0" fontId="4" fillId="0" borderId="0" xfId="0" applyFont="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7" xfId="0" applyFont="1" applyBorder="1" applyAlignment="1">
      <alignment horizontal="right" vertical="center"/>
    </xf>
    <xf numFmtId="0" fontId="5" fillId="0" borderId="14" xfId="0" applyFont="1" applyBorder="1" applyAlignment="1">
      <alignment horizontal="right" vertical="center"/>
    </xf>
    <xf numFmtId="0" fontId="5" fillId="0" borderId="14" xfId="0" applyFont="1" applyBorder="1" applyAlignment="1">
      <alignment horizontal="center" vertical="center"/>
    </xf>
    <xf numFmtId="0" fontId="17" fillId="0" borderId="23" xfId="1" applyFont="1" applyBorder="1" applyAlignment="1">
      <alignment horizontal="center"/>
    </xf>
    <xf numFmtId="0" fontId="17" fillId="0" borderId="24" xfId="1" applyFont="1" applyBorder="1" applyAlignment="1">
      <alignment horizontal="center"/>
    </xf>
    <xf numFmtId="0" fontId="17" fillId="0" borderId="25" xfId="1" applyFont="1" applyBorder="1" applyAlignment="1">
      <alignment horizontal="center"/>
    </xf>
    <xf numFmtId="0" fontId="14" fillId="0" borderId="16" xfId="1" applyBorder="1" applyAlignment="1">
      <alignment horizontal="center"/>
    </xf>
    <xf numFmtId="0" fontId="14" fillId="0" borderId="21" xfId="1" applyBorder="1" applyAlignment="1">
      <alignment horizontal="left" wrapText="1"/>
    </xf>
    <xf numFmtId="0" fontId="14" fillId="0" borderId="0" xfId="1" applyAlignment="1">
      <alignment horizontal="left" wrapText="1"/>
    </xf>
    <xf numFmtId="0" fontId="14" fillId="0" borderId="22" xfId="1" applyBorder="1" applyAlignment="1">
      <alignment horizontal="left" wrapText="1"/>
    </xf>
    <xf numFmtId="0" fontId="17" fillId="0" borderId="0" xfId="1" applyFont="1" applyAlignment="1">
      <alignment horizontal="center"/>
    </xf>
    <xf numFmtId="10" fontId="21" fillId="0" borderId="0" xfId="3" applyNumberFormat="1" applyFont="1" applyBorder="1" applyAlignment="1" applyProtection="1">
      <alignment horizontal="center"/>
    </xf>
    <xf numFmtId="0" fontId="19" fillId="0" borderId="0" xfId="1" applyFont="1" applyAlignment="1">
      <alignment horizontal="center"/>
    </xf>
    <xf numFmtId="0" fontId="25" fillId="0" borderId="0" xfId="1" applyFont="1" applyAlignment="1">
      <alignment vertical="center" wrapText="1"/>
    </xf>
    <xf numFmtId="10" fontId="26" fillId="0" borderId="0" xfId="3" applyNumberFormat="1" applyFont="1" applyBorder="1" applyAlignment="1" applyProtection="1">
      <alignment horizontal="center" vertical="center"/>
    </xf>
    <xf numFmtId="0" fontId="27" fillId="0" borderId="0" xfId="1" applyFont="1" applyAlignment="1">
      <alignment horizontal="center"/>
    </xf>
    <xf numFmtId="0" fontId="14" fillId="0" borderId="21" xfId="1" applyBorder="1" applyAlignment="1">
      <alignment horizontal="center"/>
    </xf>
    <xf numFmtId="0" fontId="14" fillId="0" borderId="0" xfId="1" applyAlignment="1">
      <alignment horizontal="center"/>
    </xf>
    <xf numFmtId="0" fontId="14" fillId="0" borderId="22" xfId="1" applyBorder="1" applyAlignment="1">
      <alignment horizontal="center"/>
    </xf>
    <xf numFmtId="0" fontId="14" fillId="0" borderId="21" xfId="1" applyBorder="1" applyAlignment="1">
      <alignment horizontal="center" wrapText="1"/>
    </xf>
    <xf numFmtId="0" fontId="14" fillId="0" borderId="29" xfId="1" applyBorder="1" applyAlignment="1">
      <alignment horizontal="center"/>
    </xf>
    <xf numFmtId="0" fontId="14" fillId="0" borderId="30" xfId="1" applyBorder="1" applyAlignment="1">
      <alignment horizontal="center"/>
    </xf>
    <xf numFmtId="0" fontId="17" fillId="0" borderId="0" xfId="1" applyFont="1" applyAlignment="1">
      <alignment horizontal="left" vertical="center" wrapText="1"/>
    </xf>
    <xf numFmtId="0" fontId="14" fillId="0" borderId="0" xfId="1" applyAlignment="1">
      <alignment horizontal="center" vertical="center"/>
    </xf>
    <xf numFmtId="0" fontId="17" fillId="0" borderId="16" xfId="1" applyFont="1" applyBorder="1" applyAlignment="1">
      <alignment horizontal="center" vertical="center"/>
    </xf>
    <xf numFmtId="0" fontId="15" fillId="0" borderId="19" xfId="1" applyFont="1" applyBorder="1" applyAlignment="1">
      <alignment horizontal="center" vertical="center"/>
    </xf>
    <xf numFmtId="0" fontId="17" fillId="0" borderId="0" xfId="1" applyFont="1" applyAlignment="1">
      <alignment horizontal="center" vertical="center"/>
    </xf>
    <xf numFmtId="166" fontId="18" fillId="8" borderId="6" xfId="2" applyNumberFormat="1" applyFont="1" applyFill="1" applyBorder="1" applyAlignment="1" applyProtection="1">
      <alignment horizontal="left" vertical="center" wrapText="1"/>
      <protection locked="0"/>
    </xf>
    <xf numFmtId="166" fontId="18" fillId="8" borderId="7" xfId="2" applyNumberFormat="1" applyFont="1" applyFill="1" applyBorder="1" applyAlignment="1" applyProtection="1">
      <alignment horizontal="left" vertical="center" wrapText="1"/>
      <protection locked="0"/>
    </xf>
    <xf numFmtId="166" fontId="18" fillId="8" borderId="8" xfId="2" applyNumberFormat="1" applyFont="1" applyFill="1" applyBorder="1" applyAlignment="1" applyProtection="1">
      <alignment horizontal="left" vertical="center" wrapText="1"/>
      <protection locked="0"/>
    </xf>
    <xf numFmtId="0" fontId="14" fillId="9" borderId="26" xfId="1" applyFill="1" applyBorder="1" applyAlignment="1">
      <alignment horizontal="left" vertical="top" wrapText="1"/>
    </xf>
    <xf numFmtId="0" fontId="14" fillId="9" borderId="27" xfId="1" applyFill="1" applyBorder="1" applyAlignment="1">
      <alignment horizontal="left" vertical="top" wrapText="1"/>
    </xf>
    <xf numFmtId="0" fontId="14" fillId="9" borderId="28" xfId="1" applyFill="1" applyBorder="1" applyAlignment="1">
      <alignment horizontal="left" vertical="top" wrapText="1"/>
    </xf>
    <xf numFmtId="0" fontId="17" fillId="8" borderId="1" xfId="1" applyFont="1" applyFill="1" applyBorder="1" applyAlignment="1" applyProtection="1">
      <alignment horizontal="center" vertical="center"/>
      <protection locked="0"/>
    </xf>
    <xf numFmtId="0" fontId="17" fillId="0" borderId="0" xfId="1" applyFont="1" applyAlignment="1">
      <alignment horizontal="center" vertical="center" wrapText="1"/>
    </xf>
    <xf numFmtId="10" fontId="18" fillId="8" borderId="1" xfId="3" applyNumberFormat="1" applyFont="1" applyFill="1" applyBorder="1" applyAlignment="1" applyProtection="1">
      <alignment horizontal="center" vertical="center" wrapText="1"/>
      <protection locked="0"/>
    </xf>
    <xf numFmtId="0" fontId="14" fillId="0" borderId="0" xfId="1" applyAlignment="1">
      <alignment horizontal="left" vertical="center" wrapText="1"/>
    </xf>
    <xf numFmtId="0" fontId="7" fillId="13" borderId="1" xfId="0" applyFont="1" applyFill="1" applyBorder="1" applyAlignment="1">
      <alignment horizontal="center" vertical="center" textRotation="90" wrapText="1"/>
    </xf>
    <xf numFmtId="0" fontId="5" fillId="0" borderId="1" xfId="0" applyFont="1" applyBorder="1" applyAlignment="1">
      <alignment horizontal="center" vertical="center"/>
    </xf>
    <xf numFmtId="0" fontId="7" fillId="2" borderId="1" xfId="0" applyFont="1" applyFill="1" applyBorder="1" applyAlignment="1">
      <alignment horizontal="center" vertical="center"/>
    </xf>
    <xf numFmtId="0" fontId="30" fillId="13" borderId="2" xfId="0" applyFont="1" applyFill="1" applyBorder="1" applyAlignment="1">
      <alignment horizontal="center" vertical="center" textRotation="90" wrapText="1"/>
    </xf>
    <xf numFmtId="0" fontId="30" fillId="13" borderId="9" xfId="0" applyFont="1" applyFill="1" applyBorder="1" applyAlignment="1">
      <alignment horizontal="center" vertical="center" textRotation="90" wrapText="1"/>
    </xf>
    <xf numFmtId="0" fontId="30" fillId="13" borderId="3" xfId="0" applyFont="1" applyFill="1" applyBorder="1" applyAlignment="1">
      <alignment horizontal="center" vertical="center" textRotation="90"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3" fontId="7" fillId="2" borderId="6" xfId="0" applyNumberFormat="1" applyFont="1" applyFill="1" applyBorder="1" applyAlignment="1">
      <alignment horizontal="center" vertical="center" wrapText="1"/>
    </xf>
    <xf numFmtId="3" fontId="7" fillId="2" borderId="8" xfId="0" applyNumberFormat="1"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5" xfId="0" applyFont="1" applyFill="1" applyBorder="1" applyAlignment="1">
      <alignment horizontal="center" vertical="center" wrapText="1"/>
    </xf>
    <xf numFmtId="4" fontId="7" fillId="0" borderId="1" xfId="0" applyNumberFormat="1" applyFont="1" applyBorder="1" applyAlignment="1">
      <alignment horizontal="center" vertical="center"/>
    </xf>
    <xf numFmtId="4" fontId="6" fillId="0" borderId="2" xfId="0" applyNumberFormat="1" applyFont="1" applyBorder="1" applyAlignment="1">
      <alignment horizontal="center" vertical="center"/>
    </xf>
    <xf numFmtId="4" fontId="6" fillId="0" borderId="9" xfId="0" applyNumberFormat="1" applyFont="1" applyBorder="1" applyAlignment="1">
      <alignment horizontal="center" vertical="center"/>
    </xf>
    <xf numFmtId="4" fontId="6" fillId="0" borderId="3" xfId="0" applyNumberFormat="1" applyFont="1" applyBorder="1" applyAlignment="1">
      <alignment horizontal="center" vertical="center"/>
    </xf>
    <xf numFmtId="3" fontId="6" fillId="0" borderId="1" xfId="0" applyNumberFormat="1" applyFont="1" applyBorder="1" applyAlignment="1">
      <alignment horizontal="center" vertical="center"/>
    </xf>
    <xf numFmtId="0" fontId="7" fillId="13" borderId="2" xfId="0" applyFont="1" applyFill="1" applyBorder="1" applyAlignment="1">
      <alignment horizontal="center" vertical="center" textRotation="90" wrapText="1"/>
    </xf>
    <xf numFmtId="0" fontId="7" fillId="13" borderId="9" xfId="0" applyFont="1" applyFill="1" applyBorder="1" applyAlignment="1">
      <alignment horizontal="center" vertical="center" textRotation="90" wrapText="1"/>
    </xf>
    <xf numFmtId="0" fontId="7" fillId="13" borderId="3" xfId="0" applyFont="1" applyFill="1" applyBorder="1" applyAlignment="1">
      <alignment horizontal="center" vertical="center" textRotation="90"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13" borderId="2"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3" borderId="3" xfId="0" applyFont="1" applyFill="1" applyBorder="1" applyAlignment="1">
      <alignment horizontal="center" vertical="center" wrapText="1"/>
    </xf>
    <xf numFmtId="0" fontId="7" fillId="0" borderId="6" xfId="0" applyFont="1" applyBorder="1" applyAlignment="1">
      <alignment horizontal="right" vertical="center"/>
    </xf>
    <xf numFmtId="0" fontId="7" fillId="0" borderId="7" xfId="0" applyFont="1" applyBorder="1" applyAlignment="1">
      <alignment horizontal="right" vertical="center"/>
    </xf>
    <xf numFmtId="0" fontId="7" fillId="0" borderId="8" xfId="0" applyFont="1" applyBorder="1" applyAlignment="1">
      <alignment horizontal="right" vertical="center"/>
    </xf>
    <xf numFmtId="0" fontId="5" fillId="0" borderId="4" xfId="0" applyFont="1" applyBorder="1" applyAlignment="1">
      <alignment horizontal="center" vertical="center" wrapText="1"/>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15" xfId="0" applyFont="1" applyFill="1" applyBorder="1" applyAlignment="1">
      <alignment horizontal="center" vertical="center"/>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4" fontId="6" fillId="0" borderId="1" xfId="0" applyNumberFormat="1" applyFont="1" applyBorder="1" applyAlignment="1">
      <alignment horizontal="center" vertical="center"/>
    </xf>
    <xf numFmtId="0" fontId="5" fillId="0" borderId="11" xfId="0" applyFont="1" applyBorder="1" applyAlignment="1">
      <alignment horizontal="center"/>
    </xf>
  </cellXfs>
  <cellStyles count="9">
    <cellStyle name="Estilo 1" xfId="4" xr:uid="{00000000-0005-0000-0000-000000000000}"/>
    <cellStyle name="Normal" xfId="0" builtinId="0"/>
    <cellStyle name="Normal 2" xfId="1" xr:uid="{00000000-0005-0000-0000-000002000000}"/>
    <cellStyle name="Normal 3 57" xfId="6" xr:uid="{00000000-0005-0000-0000-000003000000}"/>
    <cellStyle name="Porcentagem 2" xfId="3" xr:uid="{00000000-0005-0000-0000-000004000000}"/>
    <cellStyle name="Vírgula 2" xfId="2" xr:uid="{00000000-0005-0000-0000-000005000000}"/>
    <cellStyle name="Vírgula 2 2" xfId="5" xr:uid="{00000000-0005-0000-0000-000006000000}"/>
    <cellStyle name="Vírgula 2 2 2" xfId="8" xr:uid="{00000000-0005-0000-0000-000007000000}"/>
    <cellStyle name="Vírgula 2 3" xfId="7" xr:uid="{00000000-0005-0000-0000-000008000000}"/>
  </cellStyles>
  <dxfs count="2">
    <dxf>
      <font>
        <b/>
        <i val="0"/>
        <condense val="0"/>
        <extend val="0"/>
        <color indexed="57"/>
      </font>
      <fill>
        <patternFill patternType="solid">
          <bgColor indexed="26"/>
        </patternFill>
      </fill>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w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80</xdr:col>
          <xdr:colOff>0</xdr:colOff>
          <xdr:row>239</xdr:row>
          <xdr:rowOff>0</xdr:rowOff>
        </xdr:from>
        <xdr:to>
          <xdr:col>80</xdr:col>
          <xdr:colOff>0</xdr:colOff>
          <xdr:row>240</xdr:row>
          <xdr:rowOff>76200</xdr:rowOff>
        </xdr:to>
        <xdr:sp macro="" textlink="">
          <xdr:nvSpPr>
            <xdr:cNvPr id="115713" name="Object 1" hidden="1">
              <a:extLst>
                <a:ext uri="{63B3BB69-23CF-44E3-9099-C40C66FF867C}">
                  <a14:compatExt spid="_x0000_s115713"/>
                </a:ext>
                <a:ext uri="{FF2B5EF4-FFF2-40B4-BE49-F238E27FC236}">
                  <a16:creationId xmlns:a16="http://schemas.microsoft.com/office/drawing/2014/main" id="{00000000-0008-0000-0300-000001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44</xdr:row>
          <xdr:rowOff>133350</xdr:rowOff>
        </xdr:from>
        <xdr:to>
          <xdr:col>6</xdr:col>
          <xdr:colOff>695325</xdr:colOff>
          <xdr:row>48</xdr:row>
          <xdr:rowOff>0</xdr:rowOff>
        </xdr:to>
        <xdr:sp macro="" textlink="">
          <xdr:nvSpPr>
            <xdr:cNvPr id="115714" name="Object 2" hidden="1">
              <a:extLst>
                <a:ext uri="{63B3BB69-23CF-44E3-9099-C40C66FF867C}">
                  <a14:compatExt spid="_x0000_s115714"/>
                </a:ext>
                <a:ext uri="{FF2B5EF4-FFF2-40B4-BE49-F238E27FC236}">
                  <a16:creationId xmlns:a16="http://schemas.microsoft.com/office/drawing/2014/main" id="{00000000-0008-0000-0300-000002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6</xdr:row>
          <xdr:rowOff>0</xdr:rowOff>
        </xdr:from>
        <xdr:to>
          <xdr:col>13</xdr:col>
          <xdr:colOff>762000</xdr:colOff>
          <xdr:row>7</xdr:row>
          <xdr:rowOff>0</xdr:rowOff>
        </xdr:to>
        <xdr:sp macro="" textlink="">
          <xdr:nvSpPr>
            <xdr:cNvPr id="115715" name="CommandButton1" hidden="1">
              <a:extLst>
                <a:ext uri="{63B3BB69-23CF-44E3-9099-C40C66FF867C}">
                  <a14:compatExt spid="_x0000_s115715"/>
                </a:ext>
                <a:ext uri="{FF2B5EF4-FFF2-40B4-BE49-F238E27FC236}">
                  <a16:creationId xmlns:a16="http://schemas.microsoft.com/office/drawing/2014/main" id="{00000000-0008-0000-0300-000003C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vmlDrawing" Target="../drawings/vmlDrawing2.vml"/><Relationship Id="rId7" Type="http://schemas.openxmlformats.org/officeDocument/2006/relationships/control" Target="../activeX/activeX1.xml"/><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oleObject" Target="../embeddings/oleObject2.bin"/><Relationship Id="rId5" Type="http://schemas.openxmlformats.org/officeDocument/2006/relationships/image" Target="../media/image2.w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26"/>
  <sheetViews>
    <sheetView showGridLines="0" view="pageBreakPreview" zoomScaleNormal="100" zoomScaleSheetLayoutView="100" workbookViewId="0">
      <selection activeCell="C4" sqref="C4"/>
    </sheetView>
  </sheetViews>
  <sheetFormatPr defaultRowHeight="15" x14ac:dyDescent="0.25"/>
  <cols>
    <col min="1" max="1" width="1.7109375" customWidth="1"/>
    <col min="2" max="2" width="30.7109375" customWidth="1"/>
    <col min="3" max="3" width="55.7109375" customWidth="1"/>
    <col min="6" max="6" width="15.7109375" customWidth="1"/>
  </cols>
  <sheetData>
    <row r="1" spans="2:3" ht="5.0999999999999996" customHeight="1" x14ac:dyDescent="0.25"/>
    <row r="2" spans="2:3" ht="15" customHeight="1" x14ac:dyDescent="0.25">
      <c r="B2" s="209" t="s">
        <v>122</v>
      </c>
      <c r="C2" s="210"/>
    </row>
    <row r="3" spans="2:3" ht="14.1" customHeight="1" x14ac:dyDescent="0.25">
      <c r="B3" s="38" t="s">
        <v>123</v>
      </c>
      <c r="C3" s="38" t="s">
        <v>317</v>
      </c>
    </row>
    <row r="4" spans="2:3" ht="14.1" customHeight="1" x14ac:dyDescent="0.25">
      <c r="B4" s="38" t="s">
        <v>124</v>
      </c>
      <c r="C4" s="38" t="s">
        <v>318</v>
      </c>
    </row>
    <row r="5" spans="2:3" ht="5.0999999999999996" customHeight="1" x14ac:dyDescent="0.25">
      <c r="C5" s="90"/>
    </row>
    <row r="6" spans="2:3" ht="14.1" customHeight="1" x14ac:dyDescent="0.25">
      <c r="B6" s="209" t="s">
        <v>125</v>
      </c>
      <c r="C6" s="210"/>
    </row>
    <row r="7" spans="2:3" ht="14.1" customHeight="1" x14ac:dyDescent="0.25">
      <c r="B7" s="38" t="s">
        <v>126</v>
      </c>
      <c r="C7" s="38" t="s">
        <v>312</v>
      </c>
    </row>
    <row r="8" spans="2:3" ht="14.1" customHeight="1" x14ac:dyDescent="0.25">
      <c r="B8" s="38" t="s">
        <v>127</v>
      </c>
      <c r="C8" s="38" t="s">
        <v>313</v>
      </c>
    </row>
    <row r="9" spans="2:3" ht="14.1" customHeight="1" x14ac:dyDescent="0.25">
      <c r="B9" s="208" t="s">
        <v>131</v>
      </c>
      <c r="C9" s="38" t="s">
        <v>10</v>
      </c>
    </row>
    <row r="10" spans="2:3" ht="14.1" customHeight="1" x14ac:dyDescent="0.25">
      <c r="B10" s="208"/>
      <c r="C10" s="211" t="s">
        <v>283</v>
      </c>
    </row>
    <row r="11" spans="2:3" ht="14.1" customHeight="1" x14ac:dyDescent="0.25">
      <c r="B11" s="208"/>
      <c r="C11" s="214"/>
    </row>
    <row r="12" spans="2:3" ht="14.1" customHeight="1" x14ac:dyDescent="0.25">
      <c r="B12" s="208"/>
      <c r="C12" s="211" t="s">
        <v>287</v>
      </c>
    </row>
    <row r="13" spans="2:3" ht="14.1" customHeight="1" x14ac:dyDescent="0.25">
      <c r="B13" s="208"/>
      <c r="C13" s="212"/>
    </row>
    <row r="14" spans="2:3" ht="14.1" customHeight="1" x14ac:dyDescent="0.25">
      <c r="B14" s="208"/>
      <c r="C14" s="213"/>
    </row>
    <row r="15" spans="2:3" ht="14.1" customHeight="1" x14ac:dyDescent="0.25">
      <c r="B15" s="208"/>
      <c r="C15" s="38" t="s">
        <v>265</v>
      </c>
    </row>
    <row r="16" spans="2:3" ht="14.1" customHeight="1" x14ac:dyDescent="0.25">
      <c r="B16" s="38" t="s">
        <v>214</v>
      </c>
      <c r="C16" s="83">
        <f>'BDI SERVIÇO'!$F$50</f>
        <v>0.22</v>
      </c>
    </row>
    <row r="17" spans="2:3" ht="14.1" customHeight="1" x14ac:dyDescent="0.25">
      <c r="B17" s="38" t="s">
        <v>261</v>
      </c>
      <c r="C17" s="83"/>
    </row>
    <row r="18" spans="2:3" ht="5.0999999999999996" customHeight="1" x14ac:dyDescent="0.25"/>
    <row r="19" spans="2:3" ht="14.1" customHeight="1" x14ac:dyDescent="0.25">
      <c r="B19" s="209" t="s">
        <v>129</v>
      </c>
      <c r="C19" s="210"/>
    </row>
    <row r="20" spans="2:3" ht="14.1" customHeight="1" x14ac:dyDescent="0.25">
      <c r="B20" s="38" t="s">
        <v>123</v>
      </c>
      <c r="C20" s="38" t="s">
        <v>150</v>
      </c>
    </row>
    <row r="21" spans="2:3" ht="14.1" customHeight="1" x14ac:dyDescent="0.25">
      <c r="B21" s="38" t="s">
        <v>124</v>
      </c>
      <c r="C21" s="38" t="s">
        <v>284</v>
      </c>
    </row>
    <row r="22" spans="2:3" ht="14.1" customHeight="1" x14ac:dyDescent="0.25">
      <c r="B22" s="208" t="s">
        <v>128</v>
      </c>
      <c r="C22" s="38" t="s">
        <v>146</v>
      </c>
    </row>
    <row r="23" spans="2:3" ht="14.1" customHeight="1" x14ac:dyDescent="0.25">
      <c r="B23" s="208"/>
      <c r="C23" s="38" t="s">
        <v>149</v>
      </c>
    </row>
    <row r="24" spans="2:3" ht="14.1" customHeight="1" x14ac:dyDescent="0.25">
      <c r="B24" s="208"/>
      <c r="C24" s="38" t="s">
        <v>147</v>
      </c>
    </row>
    <row r="25" spans="2:3" ht="14.1" customHeight="1" x14ac:dyDescent="0.25"/>
    <row r="26" spans="2:3" ht="14.1" customHeight="1" x14ac:dyDescent="0.25"/>
  </sheetData>
  <mergeCells count="7">
    <mergeCell ref="B22:B24"/>
    <mergeCell ref="B9:B15"/>
    <mergeCell ref="B2:C2"/>
    <mergeCell ref="B6:C6"/>
    <mergeCell ref="B19:C19"/>
    <mergeCell ref="C12:C14"/>
    <mergeCell ref="C10:C11"/>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21"/>
  <sheetViews>
    <sheetView showGridLines="0" view="pageBreakPreview" zoomScaleNormal="100" zoomScaleSheetLayoutView="100" workbookViewId="0">
      <pane ySplit="11" topLeftCell="A12" activePane="bottomLeft" state="frozen"/>
      <selection activeCell="B2" sqref="B2:C2"/>
      <selection pane="bottomLeft" activeCell="E22" sqref="E22"/>
    </sheetView>
  </sheetViews>
  <sheetFormatPr defaultRowHeight="15" x14ac:dyDescent="0.25"/>
  <cols>
    <col min="1" max="1" width="1.7109375" customWidth="1"/>
    <col min="2" max="2" width="18.7109375" customWidth="1"/>
    <col min="3" max="4" width="28.7109375" customWidth="1"/>
    <col min="5" max="5" width="15.7109375" customWidth="1"/>
  </cols>
  <sheetData>
    <row r="1" spans="2:5" ht="5.0999999999999996" customHeight="1" x14ac:dyDescent="0.25"/>
    <row r="2" spans="2:5" ht="14.1" customHeight="1" x14ac:dyDescent="0.25">
      <c r="B2" s="79" t="str">
        <f>DADOS!$B$3</f>
        <v>CLIENTE:</v>
      </c>
      <c r="C2" s="60" t="str">
        <f>DADOS!$C$3</f>
        <v>PREFEITURA MUNICIPAL DE RIO BRILHANTE / MS</v>
      </c>
      <c r="D2" s="28"/>
      <c r="E2" s="30"/>
    </row>
    <row r="3" spans="2:5" ht="14.1" customHeight="1" x14ac:dyDescent="0.25">
      <c r="B3" s="80" t="str">
        <f>DADOS!$B$4</f>
        <v>ENDEREÇO:</v>
      </c>
      <c r="C3" s="61" t="str">
        <f>DADOS!$C$4</f>
        <v>RUA ATHAYDE NOGUEIRA, Nº 1.033 - CENTRO</v>
      </c>
      <c r="D3" s="4"/>
      <c r="E3" s="31"/>
    </row>
    <row r="4" spans="2:5" ht="14.1" customHeight="1" x14ac:dyDescent="0.25">
      <c r="B4" s="62"/>
      <c r="C4" s="61"/>
      <c r="D4" s="4"/>
      <c r="E4" s="31"/>
    </row>
    <row r="5" spans="2:5" ht="14.1" customHeight="1" x14ac:dyDescent="0.25">
      <c r="B5" s="80" t="str">
        <f>DADOS!$B$7</f>
        <v>OBRA:</v>
      </c>
      <c r="C5" s="61" t="str">
        <f>DADOS!$C$7</f>
        <v>PAVIMENTAÇÃO ASFÁLTICA E EM CONCRETO</v>
      </c>
      <c r="D5" s="4"/>
      <c r="E5" s="31"/>
    </row>
    <row r="6" spans="2:5" ht="14.1" customHeight="1" x14ac:dyDescent="0.25">
      <c r="B6" s="63" t="str">
        <f>DADOS!$B$8</f>
        <v>LOCAL:</v>
      </c>
      <c r="C6" s="64" t="str">
        <f>DADOS!$C$8</f>
        <v>PRAÇA INTERATIVA, RIO BRILHANTE / MS</v>
      </c>
      <c r="D6" s="32"/>
      <c r="E6" s="33"/>
    </row>
    <row r="7" spans="2:5" ht="5.0999999999999996" customHeight="1" x14ac:dyDescent="0.25"/>
    <row r="8" spans="2:5" s="4" customFormat="1" ht="15" customHeight="1" x14ac:dyDescent="0.25">
      <c r="B8" s="215" t="s">
        <v>228</v>
      </c>
      <c r="C8" s="215"/>
      <c r="D8" s="215"/>
      <c r="E8" s="215"/>
    </row>
    <row r="9" spans="2:5" ht="5.0999999999999996" customHeight="1" x14ac:dyDescent="0.25"/>
    <row r="10" spans="2:5" ht="20.100000000000001" customHeight="1" x14ac:dyDescent="0.25">
      <c r="B10" s="216" t="s">
        <v>229</v>
      </c>
      <c r="C10" s="216" t="s">
        <v>212</v>
      </c>
      <c r="D10" s="216" t="s">
        <v>213</v>
      </c>
      <c r="E10" s="216" t="s">
        <v>248</v>
      </c>
    </row>
    <row r="11" spans="2:5" ht="20.100000000000001" customHeight="1" x14ac:dyDescent="0.25">
      <c r="B11" s="216"/>
      <c r="C11" s="216"/>
      <c r="D11" s="216"/>
      <c r="E11" s="216"/>
    </row>
    <row r="12" spans="2:5" ht="5.0999999999999996" customHeight="1" x14ac:dyDescent="0.25">
      <c r="B12" s="166"/>
      <c r="C12" s="166"/>
      <c r="D12" s="166"/>
    </row>
    <row r="13" spans="2:5" ht="14.1" customHeight="1" x14ac:dyDescent="0.25">
      <c r="B13" s="167" t="s">
        <v>87</v>
      </c>
      <c r="C13" s="12" t="s">
        <v>212</v>
      </c>
      <c r="D13" s="12" t="s">
        <v>233</v>
      </c>
      <c r="E13" s="21">
        <v>10</v>
      </c>
    </row>
    <row r="14" spans="2:5" ht="14.1" customHeight="1" x14ac:dyDescent="0.25">
      <c r="B14" s="167" t="s">
        <v>231</v>
      </c>
      <c r="C14" s="12"/>
      <c r="D14" s="12"/>
      <c r="E14" s="21">
        <v>50.3</v>
      </c>
    </row>
    <row r="15" spans="2:5" ht="14.1" customHeight="1" x14ac:dyDescent="0.25">
      <c r="B15" s="167" t="s">
        <v>232</v>
      </c>
      <c r="C15" s="12" t="s">
        <v>236</v>
      </c>
      <c r="D15" s="12" t="s">
        <v>235</v>
      </c>
      <c r="E15" s="21">
        <v>56.7</v>
      </c>
    </row>
    <row r="16" spans="2:5" ht="14.1" customHeight="1" x14ac:dyDescent="0.25">
      <c r="B16" s="167" t="s">
        <v>89</v>
      </c>
      <c r="C16" s="12" t="s">
        <v>237</v>
      </c>
      <c r="D16" s="12" t="s">
        <v>238</v>
      </c>
      <c r="E16" s="21">
        <v>68.7</v>
      </c>
    </row>
    <row r="17" spans="2:5" ht="14.1" customHeight="1" x14ac:dyDescent="0.25">
      <c r="B17" s="167" t="s">
        <v>88</v>
      </c>
      <c r="C17" s="12" t="s">
        <v>236</v>
      </c>
      <c r="D17" s="12" t="s">
        <v>235</v>
      </c>
      <c r="E17" s="21">
        <v>56.7</v>
      </c>
    </row>
    <row r="18" spans="2:5" ht="14.1" customHeight="1" x14ac:dyDescent="0.25">
      <c r="B18" s="167" t="s">
        <v>226</v>
      </c>
      <c r="C18" s="12" t="s">
        <v>225</v>
      </c>
      <c r="D18" s="12" t="s">
        <v>148</v>
      </c>
      <c r="E18" s="21">
        <v>179</v>
      </c>
    </row>
    <row r="19" spans="2:5" ht="14.1" customHeight="1" x14ac:dyDescent="0.25">
      <c r="B19" s="167" t="s">
        <v>230</v>
      </c>
      <c r="C19" s="12" t="s">
        <v>236</v>
      </c>
      <c r="D19" s="12" t="s">
        <v>235</v>
      </c>
      <c r="E19" s="21">
        <v>56.7</v>
      </c>
    </row>
    <row r="20" spans="2:5" ht="14.1" customHeight="1" x14ac:dyDescent="0.25">
      <c r="B20" s="167" t="s">
        <v>76</v>
      </c>
      <c r="C20" s="12"/>
      <c r="D20" s="12"/>
      <c r="E20" s="21">
        <v>176</v>
      </c>
    </row>
    <row r="21" spans="2:5" ht="14.1" customHeight="1" x14ac:dyDescent="0.25">
      <c r="B21" s="167" t="s">
        <v>25</v>
      </c>
      <c r="C21" s="12" t="s">
        <v>234</v>
      </c>
      <c r="D21" s="12" t="s">
        <v>148</v>
      </c>
      <c r="E21" s="21">
        <v>176</v>
      </c>
    </row>
  </sheetData>
  <mergeCells count="5">
    <mergeCell ref="B8:E8"/>
    <mergeCell ref="B10:B11"/>
    <mergeCell ref="C10:C11"/>
    <mergeCell ref="D10:D11"/>
    <mergeCell ref="E10:E11"/>
  </mergeCells>
  <printOptions horizontalCentered="1"/>
  <pageMargins left="0.39370078740157483" right="0.39370078740157483" top="0.39370078740157483" bottom="0.39370078740157483" header="0.31496062992125984" footer="0.31496062992125984"/>
  <pageSetup paperSize="9" fitToHeight="11"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
  <dimension ref="A1:P118"/>
  <sheetViews>
    <sheetView showGridLines="0" tabSelected="1" view="pageBreakPreview" zoomScaleSheetLayoutView="100" workbookViewId="0">
      <pane ySplit="11" topLeftCell="A85" activePane="bottomLeft" state="frozen"/>
      <selection activeCell="B2" sqref="B2"/>
      <selection pane="bottomLeft" activeCell="L87" sqref="L87"/>
    </sheetView>
  </sheetViews>
  <sheetFormatPr defaultRowHeight="12.75" x14ac:dyDescent="0.2"/>
  <cols>
    <col min="1" max="1" width="1.7109375" style="1" customWidth="1"/>
    <col min="2" max="2" width="10.7109375" style="1" customWidth="1"/>
    <col min="3" max="3" width="8.7109375" style="1" customWidth="1"/>
    <col min="4" max="4" width="60.7109375" style="1" customWidth="1"/>
    <col min="5" max="6" width="6.7109375" style="1" customWidth="1"/>
    <col min="7" max="7" width="9.7109375" style="1" customWidth="1"/>
    <col min="8" max="8" width="10.7109375" style="1" customWidth="1"/>
    <col min="9" max="9" width="8.7109375" style="1" customWidth="1"/>
    <col min="10" max="10" width="10.7109375" style="1" customWidth="1"/>
    <col min="11" max="11" width="13.7109375" style="1" customWidth="1"/>
    <col min="12" max="12" width="8.7109375" style="1" customWidth="1"/>
    <col min="13" max="16384" width="9.140625" style="1"/>
  </cols>
  <sheetData>
    <row r="1" spans="2:12" ht="5.0999999999999996" customHeight="1" x14ac:dyDescent="0.2"/>
    <row r="2" spans="2:12" ht="14.1" customHeight="1" x14ac:dyDescent="0.2">
      <c r="B2" s="79" t="str">
        <f>DADOS!$B$3</f>
        <v>CLIENTE:</v>
      </c>
      <c r="C2" s="60" t="str">
        <f>DADOS!$C$3</f>
        <v>PREFEITURA MUNICIPAL DE RIO BRILHANTE / MS</v>
      </c>
      <c r="D2" s="5"/>
      <c r="E2" s="5"/>
      <c r="F2" s="5"/>
      <c r="G2" s="5"/>
      <c r="H2" s="221" t="s">
        <v>145</v>
      </c>
      <c r="I2" s="221"/>
      <c r="J2" s="221"/>
      <c r="K2" s="219" t="s">
        <v>144</v>
      </c>
      <c r="L2" s="220"/>
    </row>
    <row r="3" spans="2:12" ht="14.1" customHeight="1" x14ac:dyDescent="0.2">
      <c r="B3" s="80" t="str">
        <f>DADOS!$B$4</f>
        <v>ENDEREÇO:</v>
      </c>
      <c r="C3" s="61" t="str">
        <f>DADOS!$C$4</f>
        <v>RUA ATHAYDE NOGUEIRA, Nº 1.033 - CENTRO</v>
      </c>
      <c r="D3" s="3"/>
      <c r="H3" s="222" t="str">
        <f>DADOS!$C$9</f>
        <v>SEM DESONERAÇÃO</v>
      </c>
      <c r="I3" s="222"/>
      <c r="J3" s="222"/>
      <c r="K3" s="222" t="str">
        <f>DADOS!$C$12</f>
        <v>COMPOSIÇÃO MS: 07/2025
INSUMO MS: 07/2025
AGESUL MS: 07/2025</v>
      </c>
      <c r="L3" s="223"/>
    </row>
    <row r="4" spans="2:12" ht="14.1" customHeight="1" x14ac:dyDescent="0.2">
      <c r="B4" s="62"/>
      <c r="C4" s="61"/>
      <c r="D4" s="3"/>
      <c r="H4" s="222" t="str">
        <f>DADOS!$C$10</f>
        <v>HORISTA:  107,52%
MENSALISTA:  64,80%</v>
      </c>
      <c r="I4" s="222"/>
      <c r="J4" s="222"/>
      <c r="K4" s="222"/>
      <c r="L4" s="223"/>
    </row>
    <row r="5" spans="2:12" ht="14.1" customHeight="1" x14ac:dyDescent="0.2">
      <c r="B5" s="80" t="str">
        <f>DADOS!$B$7</f>
        <v>OBRA:</v>
      </c>
      <c r="C5" s="61" t="str">
        <f>DADOS!$C$7</f>
        <v>PAVIMENTAÇÃO ASFÁLTICA E EM CONCRETO</v>
      </c>
      <c r="D5" s="3"/>
      <c r="H5" s="222"/>
      <c r="I5" s="222"/>
      <c r="J5" s="222"/>
      <c r="K5" s="222"/>
      <c r="L5" s="223"/>
    </row>
    <row r="6" spans="2:12" ht="14.1" customHeight="1" x14ac:dyDescent="0.2">
      <c r="B6" s="63" t="str">
        <f>DADOS!$B$8</f>
        <v>LOCAL:</v>
      </c>
      <c r="C6" s="64" t="str">
        <f>DADOS!$C$8</f>
        <v>PRAÇA INTERATIVA, RIO BRILHANTE / MS</v>
      </c>
      <c r="D6" s="6"/>
      <c r="E6" s="7"/>
      <c r="F6" s="7"/>
      <c r="G6" s="7"/>
      <c r="H6" s="224" t="str">
        <f>DADOS!B16</f>
        <v>BDI SERVIÇO:</v>
      </c>
      <c r="I6" s="224"/>
      <c r="J6" s="180">
        <f>DADOS!$C$16</f>
        <v>0.22</v>
      </c>
      <c r="K6" s="171"/>
      <c r="L6" s="89"/>
    </row>
    <row r="7" spans="2:12" ht="5.0999999999999996" customHeight="1" x14ac:dyDescent="0.2"/>
    <row r="8" spans="2:12" s="2" customFormat="1" ht="15" customHeight="1" x14ac:dyDescent="0.2">
      <c r="B8" s="225" t="s">
        <v>9</v>
      </c>
      <c r="C8" s="225"/>
      <c r="D8" s="225"/>
      <c r="E8" s="225"/>
      <c r="F8" s="225"/>
      <c r="G8" s="225"/>
      <c r="H8" s="225"/>
      <c r="I8" s="225"/>
      <c r="J8" s="225"/>
      <c r="K8" s="225"/>
      <c r="L8" s="225"/>
    </row>
    <row r="9" spans="2:12" ht="5.0999999999999996" customHeight="1" x14ac:dyDescent="0.2"/>
    <row r="10" spans="2:12" ht="14.1" customHeight="1" x14ac:dyDescent="0.2">
      <c r="B10" s="217" t="s">
        <v>8</v>
      </c>
      <c r="C10" s="218" t="s">
        <v>0</v>
      </c>
      <c r="D10" s="218" t="s">
        <v>1</v>
      </c>
      <c r="E10" s="218" t="s">
        <v>2</v>
      </c>
      <c r="F10" s="218" t="s">
        <v>3</v>
      </c>
      <c r="G10" s="218" t="s">
        <v>4</v>
      </c>
      <c r="H10" s="218" t="s">
        <v>6</v>
      </c>
      <c r="I10" s="218"/>
      <c r="J10" s="218"/>
      <c r="K10" s="218"/>
      <c r="L10" s="218" t="s">
        <v>7</v>
      </c>
    </row>
    <row r="11" spans="2:12" ht="27.95" customHeight="1" x14ac:dyDescent="0.2">
      <c r="B11" s="217"/>
      <c r="C11" s="218"/>
      <c r="D11" s="218"/>
      <c r="E11" s="218"/>
      <c r="F11" s="218"/>
      <c r="G11" s="218"/>
      <c r="H11" s="39" t="s">
        <v>114</v>
      </c>
      <c r="I11" s="39" t="s">
        <v>112</v>
      </c>
      <c r="J11" s="39" t="s">
        <v>113</v>
      </c>
      <c r="K11" s="37" t="s">
        <v>5</v>
      </c>
      <c r="L11" s="218"/>
    </row>
    <row r="12" spans="2:12" ht="5.0999999999999996" customHeight="1" x14ac:dyDescent="0.2"/>
    <row r="13" spans="2:12" s="44" customFormat="1" ht="15" customHeight="1" x14ac:dyDescent="0.2">
      <c r="B13" s="40"/>
      <c r="C13" s="179" t="s">
        <v>240</v>
      </c>
      <c r="D13" s="41" t="s">
        <v>11</v>
      </c>
      <c r="E13" s="42"/>
      <c r="F13" s="42"/>
      <c r="G13" s="42"/>
      <c r="H13" s="42"/>
      <c r="I13" s="42"/>
      <c r="J13" s="42"/>
      <c r="K13" s="42"/>
      <c r="L13" s="43"/>
    </row>
    <row r="14" spans="2:12" ht="12.95" customHeight="1" x14ac:dyDescent="0.2">
      <c r="B14" s="72"/>
      <c r="C14" s="73"/>
      <c r="D14" s="45"/>
      <c r="E14" s="73"/>
      <c r="F14" s="72"/>
      <c r="G14" s="46"/>
      <c r="H14" s="46"/>
      <c r="I14" s="46"/>
      <c r="J14" s="46"/>
      <c r="K14" s="46"/>
      <c r="L14" s="74"/>
    </row>
    <row r="15" spans="2:12" ht="12.95" customHeight="1" x14ac:dyDescent="0.2">
      <c r="B15" s="50"/>
      <c r="C15" s="48"/>
      <c r="D15" s="75" t="s">
        <v>259</v>
      </c>
      <c r="E15" s="48"/>
      <c r="F15" s="50"/>
      <c r="G15" s="51"/>
      <c r="H15" s="51"/>
      <c r="I15" s="51"/>
      <c r="J15" s="51"/>
      <c r="K15" s="51"/>
      <c r="L15" s="52"/>
    </row>
    <row r="16" spans="2:12" ht="26.1" customHeight="1" x14ac:dyDescent="0.2">
      <c r="B16" s="47">
        <v>103689</v>
      </c>
      <c r="C16" s="178" t="s">
        <v>250</v>
      </c>
      <c r="D16" s="49" t="s">
        <v>249</v>
      </c>
      <c r="E16" s="48"/>
      <c r="F16" s="50" t="s">
        <v>13</v>
      </c>
      <c r="G16" s="51">
        <f>'Serv. Preliminares'!I11</f>
        <v>8</v>
      </c>
      <c r="H16" s="51">
        <v>456.23</v>
      </c>
      <c r="I16" s="51">
        <f>TRUNC((H16*$J$6),2)</f>
        <v>100.37</v>
      </c>
      <c r="J16" s="51">
        <f>H16+I16</f>
        <v>556.6</v>
      </c>
      <c r="K16" s="51">
        <f t="shared" ref="K16:K17" si="0">TRUNC((G16*J16),2)</f>
        <v>4452.8</v>
      </c>
      <c r="L16" s="52">
        <f>K16/$K$106</f>
        <v>9.1509029477979103E-3</v>
      </c>
    </row>
    <row r="17" spans="2:14" ht="26.1" customHeight="1" x14ac:dyDescent="0.2">
      <c r="B17" s="47" t="s">
        <v>251</v>
      </c>
      <c r="C17" s="178" t="s">
        <v>252</v>
      </c>
      <c r="D17" s="49" t="s">
        <v>253</v>
      </c>
      <c r="E17" s="48"/>
      <c r="F17" s="50" t="s">
        <v>254</v>
      </c>
      <c r="G17" s="51">
        <f>'Serv. Preliminares'!I14</f>
        <v>2</v>
      </c>
      <c r="H17" s="51">
        <v>662.1</v>
      </c>
      <c r="I17" s="51">
        <f>TRUNC((H17*$L$6),2)</f>
        <v>0</v>
      </c>
      <c r="J17" s="51">
        <f t="shared" ref="J17:J23" si="1">H17+I17</f>
        <v>662.1</v>
      </c>
      <c r="K17" s="51">
        <f t="shared" si="0"/>
        <v>1324.2</v>
      </c>
      <c r="L17" s="52">
        <f>K17/$K$106</f>
        <v>2.7213496414557115E-3</v>
      </c>
    </row>
    <row r="18" spans="2:14" ht="12.95" customHeight="1" x14ac:dyDescent="0.2">
      <c r="B18" s="50"/>
      <c r="C18" s="48"/>
      <c r="D18" s="54"/>
      <c r="E18" s="48"/>
      <c r="F18" s="50"/>
      <c r="G18" s="51"/>
      <c r="H18" s="51"/>
      <c r="I18" s="51"/>
      <c r="J18" s="51"/>
      <c r="K18" s="51"/>
      <c r="L18" s="52"/>
    </row>
    <row r="19" spans="2:14" ht="12.95" customHeight="1" x14ac:dyDescent="0.2">
      <c r="B19" s="50"/>
      <c r="C19" s="48"/>
      <c r="D19" s="75" t="s">
        <v>260</v>
      </c>
      <c r="E19" s="48"/>
      <c r="F19" s="50"/>
      <c r="G19" s="51"/>
      <c r="H19" s="51"/>
      <c r="I19" s="51"/>
      <c r="J19" s="51"/>
      <c r="K19" s="51"/>
      <c r="L19" s="52"/>
    </row>
    <row r="20" spans="2:14" ht="26.1" customHeight="1" x14ac:dyDescent="0.2">
      <c r="B20" s="47">
        <v>98525</v>
      </c>
      <c r="C20" s="178" t="s">
        <v>255</v>
      </c>
      <c r="D20" s="49" t="s">
        <v>110</v>
      </c>
      <c r="E20" s="48"/>
      <c r="F20" s="50" t="s">
        <v>13</v>
      </c>
      <c r="G20" s="51">
        <f>'Serv. Preliminares'!I15</f>
        <v>4207.1400000000003</v>
      </c>
      <c r="H20" s="51">
        <v>0.66</v>
      </c>
      <c r="I20" s="51">
        <f t="shared" ref="I20:I23" si="2">TRUNC((H20*$J$6),2)</f>
        <v>0.14000000000000001</v>
      </c>
      <c r="J20" s="51">
        <f t="shared" si="1"/>
        <v>0.8</v>
      </c>
      <c r="K20" s="51">
        <f t="shared" ref="K20:K23" si="3">TRUNC((G20*J20),2)</f>
        <v>3365.71</v>
      </c>
      <c r="L20" s="52">
        <f>K20/$K$106</f>
        <v>6.916835600169086E-3</v>
      </c>
    </row>
    <row r="21" spans="2:14" ht="26.1" customHeight="1" x14ac:dyDescent="0.2">
      <c r="B21" s="47">
        <v>100978</v>
      </c>
      <c r="C21" s="178" t="s">
        <v>256</v>
      </c>
      <c r="D21" s="49" t="s">
        <v>120</v>
      </c>
      <c r="E21" s="48"/>
      <c r="F21" s="50" t="s">
        <v>14</v>
      </c>
      <c r="G21" s="51">
        <f>'Serv. Preliminares'!I16</f>
        <v>210.35</v>
      </c>
      <c r="H21" s="51">
        <v>6.88</v>
      </c>
      <c r="I21" s="51">
        <f t="shared" si="2"/>
        <v>1.51</v>
      </c>
      <c r="J21" s="51">
        <f t="shared" si="1"/>
        <v>8.39</v>
      </c>
      <c r="K21" s="51">
        <f t="shared" si="3"/>
        <v>1764.83</v>
      </c>
      <c r="L21" s="52">
        <f>K21/$K$106</f>
        <v>3.6268837696196068E-3</v>
      </c>
    </row>
    <row r="22" spans="2:14" ht="26.1" customHeight="1" x14ac:dyDescent="0.2">
      <c r="B22" s="47">
        <v>95875</v>
      </c>
      <c r="C22" s="178" t="s">
        <v>257</v>
      </c>
      <c r="D22" s="49" t="s">
        <v>135</v>
      </c>
      <c r="E22" s="48">
        <f>'Serv. Preliminares'!$E$17</f>
        <v>10</v>
      </c>
      <c r="F22" s="50" t="s">
        <v>15</v>
      </c>
      <c r="G22" s="51">
        <f>'Serv. Preliminares'!I17</f>
        <v>2103.5</v>
      </c>
      <c r="H22" s="51">
        <v>2.44</v>
      </c>
      <c r="I22" s="51">
        <f t="shared" si="2"/>
        <v>0.53</v>
      </c>
      <c r="J22" s="51">
        <f t="shared" si="1"/>
        <v>2.9699999999999998</v>
      </c>
      <c r="K22" s="51">
        <f t="shared" si="3"/>
        <v>6247.39</v>
      </c>
      <c r="L22" s="52">
        <f>K22/$K$106</f>
        <v>1.283894618375925E-2</v>
      </c>
    </row>
    <row r="23" spans="2:14" ht="12.95" customHeight="1" x14ac:dyDescent="0.2">
      <c r="B23" s="47">
        <v>100574</v>
      </c>
      <c r="C23" s="178" t="s">
        <v>258</v>
      </c>
      <c r="D23" s="49" t="s">
        <v>111</v>
      </c>
      <c r="E23" s="48"/>
      <c r="F23" s="50" t="s">
        <v>14</v>
      </c>
      <c r="G23" s="51">
        <f>'Serv. Preliminares'!I18</f>
        <v>210.35</v>
      </c>
      <c r="H23" s="51">
        <v>1.37</v>
      </c>
      <c r="I23" s="51">
        <f t="shared" si="2"/>
        <v>0.3</v>
      </c>
      <c r="J23" s="51">
        <f t="shared" si="1"/>
        <v>1.6700000000000002</v>
      </c>
      <c r="K23" s="51">
        <f t="shared" si="3"/>
        <v>351.28</v>
      </c>
      <c r="L23" s="52">
        <f>K23/$K$106</f>
        <v>7.2191187286706107E-4</v>
      </c>
    </row>
    <row r="24" spans="2:14" ht="12.95" customHeight="1" x14ac:dyDescent="0.2">
      <c r="B24" s="76"/>
      <c r="C24" s="55"/>
      <c r="D24" s="77"/>
      <c r="E24" s="55"/>
      <c r="F24" s="76"/>
      <c r="G24" s="57"/>
      <c r="H24" s="57"/>
      <c r="I24" s="57"/>
      <c r="J24" s="57"/>
      <c r="K24" s="57"/>
      <c r="L24" s="78"/>
    </row>
    <row r="25" spans="2:14" s="44" customFormat="1" ht="15" customHeight="1" x14ac:dyDescent="0.2">
      <c r="B25" s="187"/>
      <c r="C25" s="65"/>
      <c r="D25" s="65"/>
      <c r="E25" s="229" t="str">
        <f>CONCATENATE("SUBTOTAL ",C13)</f>
        <v>SUBTOTAL 01</v>
      </c>
      <c r="F25" s="229"/>
      <c r="G25" s="229"/>
      <c r="H25" s="172"/>
      <c r="I25" s="227"/>
      <c r="J25" s="227"/>
      <c r="K25" s="173">
        <f>SUM(K13:K24)</f>
        <v>17506.21</v>
      </c>
      <c r="L25" s="67">
        <f>SUM(L13:L24)</f>
        <v>3.5976830015668627E-2</v>
      </c>
    </row>
    <row r="26" spans="2:14" ht="5.0999999999999996" customHeight="1" x14ac:dyDescent="0.2"/>
    <row r="27" spans="2:14" s="44" customFormat="1" ht="15" customHeight="1" x14ac:dyDescent="0.2">
      <c r="B27" s="68"/>
      <c r="C27" s="186" t="s">
        <v>241</v>
      </c>
      <c r="D27" s="69" t="s">
        <v>279</v>
      </c>
      <c r="E27" s="70"/>
      <c r="F27" s="70"/>
      <c r="G27" s="70"/>
      <c r="H27" s="70"/>
      <c r="I27" s="70"/>
      <c r="J27" s="70"/>
      <c r="K27" s="70"/>
      <c r="L27" s="71"/>
    </row>
    <row r="28" spans="2:14" ht="12.95" customHeight="1" x14ac:dyDescent="0.2">
      <c r="B28" s="50"/>
      <c r="C28" s="48"/>
      <c r="D28" s="54"/>
      <c r="E28" s="48"/>
      <c r="F28" s="50"/>
      <c r="G28" s="51"/>
      <c r="H28" s="51"/>
      <c r="I28" s="51"/>
      <c r="J28" s="51"/>
      <c r="K28" s="51"/>
      <c r="L28" s="52"/>
    </row>
    <row r="29" spans="2:14" s="177" customFormat="1" ht="12.95" customHeight="1" x14ac:dyDescent="0.2">
      <c r="B29" s="182"/>
      <c r="C29" s="183" t="s">
        <v>263</v>
      </c>
      <c r="D29" s="184" t="s">
        <v>269</v>
      </c>
      <c r="E29" s="182"/>
      <c r="F29" s="182"/>
      <c r="G29" s="182"/>
      <c r="H29" s="182"/>
      <c r="I29" s="182"/>
      <c r="J29" s="182"/>
      <c r="K29" s="182"/>
      <c r="L29" s="182"/>
      <c r="N29" s="185"/>
    </row>
    <row r="30" spans="2:14" ht="12.95" customHeight="1" x14ac:dyDescent="0.2">
      <c r="B30" s="50"/>
      <c r="C30" s="48"/>
      <c r="D30" s="54"/>
      <c r="E30" s="48"/>
      <c r="F30" s="50"/>
      <c r="G30" s="51"/>
      <c r="H30" s="51"/>
      <c r="I30" s="51"/>
      <c r="J30" s="51"/>
      <c r="K30" s="51"/>
      <c r="L30" s="52"/>
    </row>
    <row r="31" spans="2:14" ht="12.95" customHeight="1" x14ac:dyDescent="0.2">
      <c r="B31" s="50"/>
      <c r="C31" s="48"/>
      <c r="D31" s="75" t="s">
        <v>323</v>
      </c>
      <c r="E31" s="48"/>
      <c r="F31" s="50"/>
      <c r="G31" s="51"/>
      <c r="H31" s="51"/>
      <c r="I31" s="51"/>
      <c r="J31" s="51"/>
      <c r="K31" s="51"/>
      <c r="L31" s="52"/>
    </row>
    <row r="32" spans="2:14" ht="26.1" customHeight="1" x14ac:dyDescent="0.2">
      <c r="B32" s="50">
        <v>101115</v>
      </c>
      <c r="C32" s="48" t="s">
        <v>291</v>
      </c>
      <c r="D32" s="49" t="s">
        <v>121</v>
      </c>
      <c r="E32" s="48"/>
      <c r="F32" s="50" t="s">
        <v>14</v>
      </c>
      <c r="G32" s="51">
        <f>'Pav-Terrapl'!K20</f>
        <v>111.14</v>
      </c>
      <c r="H32" s="51">
        <v>3.72</v>
      </c>
      <c r="I32" s="51">
        <f>TRUNC((H32*$J$6),2)</f>
        <v>0.81</v>
      </c>
      <c r="J32" s="51">
        <f t="shared" ref="J32:J35" si="4">H32+I32</f>
        <v>4.53</v>
      </c>
      <c r="K32" s="51">
        <f t="shared" ref="K32:K35" si="5">TRUNC((G32*J32),2)</f>
        <v>503.46</v>
      </c>
      <c r="L32" s="52">
        <f>K32/$K$106</f>
        <v>1.0346554074062019E-3</v>
      </c>
    </row>
    <row r="33" spans="2:14" ht="26.1" customHeight="1" x14ac:dyDescent="0.2">
      <c r="B33" s="47">
        <v>100978</v>
      </c>
      <c r="C33" s="48" t="s">
        <v>292</v>
      </c>
      <c r="D33" s="49" t="s">
        <v>120</v>
      </c>
      <c r="E33" s="48"/>
      <c r="F33" s="50" t="s">
        <v>14</v>
      </c>
      <c r="G33" s="51">
        <f>'Pav-Terrapl'!K21</f>
        <v>144.47999999999999</v>
      </c>
      <c r="H33" s="51">
        <v>6.88</v>
      </c>
      <c r="I33" s="51">
        <f>TRUNC((H33*$J$6),2)</f>
        <v>1.51</v>
      </c>
      <c r="J33" s="51">
        <f t="shared" si="4"/>
        <v>8.39</v>
      </c>
      <c r="K33" s="51">
        <f t="shared" si="5"/>
        <v>1212.18</v>
      </c>
      <c r="L33" s="52">
        <f>K33/$K$106</f>
        <v>2.4911385050443925E-3</v>
      </c>
    </row>
    <row r="34" spans="2:14" ht="26.1" customHeight="1" x14ac:dyDescent="0.2">
      <c r="B34" s="50">
        <v>95875</v>
      </c>
      <c r="C34" s="48" t="s">
        <v>293</v>
      </c>
      <c r="D34" s="49" t="s">
        <v>135</v>
      </c>
      <c r="E34" s="48">
        <f>'Pav-Terrapl'!$E$22</f>
        <v>10</v>
      </c>
      <c r="F34" s="50" t="s">
        <v>15</v>
      </c>
      <c r="G34" s="51">
        <f>'Pav-Terrapl'!K22</f>
        <v>1444.7999999999997</v>
      </c>
      <c r="H34" s="51">
        <v>2.44</v>
      </c>
      <c r="I34" s="51">
        <f>TRUNC((H34*$J$6),2)</f>
        <v>0.53</v>
      </c>
      <c r="J34" s="51">
        <f t="shared" si="4"/>
        <v>2.9699999999999998</v>
      </c>
      <c r="K34" s="51">
        <f t="shared" si="5"/>
        <v>4291.05</v>
      </c>
      <c r="L34" s="52">
        <f>K34/$K$106</f>
        <v>8.8184922058363781E-3</v>
      </c>
    </row>
    <row r="35" spans="2:14" ht="12.95" customHeight="1" x14ac:dyDescent="0.2">
      <c r="B35" s="50">
        <v>100574</v>
      </c>
      <c r="C35" s="48" t="s">
        <v>294</v>
      </c>
      <c r="D35" s="49" t="s">
        <v>111</v>
      </c>
      <c r="E35" s="48"/>
      <c r="F35" s="50" t="s">
        <v>14</v>
      </c>
      <c r="G35" s="51">
        <f>'Pav-Terrapl'!K23</f>
        <v>144.47999999999999</v>
      </c>
      <c r="H35" s="51">
        <v>1.37</v>
      </c>
      <c r="I35" s="51">
        <f>TRUNC((H35*$J$6),2)</f>
        <v>0.3</v>
      </c>
      <c r="J35" s="51">
        <f t="shared" si="4"/>
        <v>1.6700000000000002</v>
      </c>
      <c r="K35" s="51">
        <f t="shared" si="5"/>
        <v>241.28</v>
      </c>
      <c r="L35" s="52">
        <f>K35/$K$106</f>
        <v>4.9585201743727089E-4</v>
      </c>
    </row>
    <row r="36" spans="2:14" ht="26.1" customHeight="1" x14ac:dyDescent="0.2">
      <c r="B36" s="50">
        <v>96385</v>
      </c>
      <c r="C36" s="48" t="s">
        <v>295</v>
      </c>
      <c r="D36" s="49" t="s">
        <v>23</v>
      </c>
      <c r="E36" s="48"/>
      <c r="F36" s="50" t="s">
        <v>14</v>
      </c>
      <c r="G36" s="51">
        <f>'Pav-Terrapl'!K24</f>
        <v>257.48</v>
      </c>
      <c r="H36" s="51">
        <v>12.22</v>
      </c>
      <c r="I36" s="51">
        <f t="shared" ref="I36" si="6">TRUNC((H36*$J$6),2)</f>
        <v>2.68</v>
      </c>
      <c r="J36" s="51">
        <f t="shared" ref="J36" si="7">H36+I36</f>
        <v>14.9</v>
      </c>
      <c r="K36" s="51">
        <f t="shared" ref="K36" si="8">TRUNC((G36*J36),2)</f>
        <v>3836.45</v>
      </c>
      <c r="L36" s="52">
        <f>K36/$K$106</f>
        <v>7.8842484760328988E-3</v>
      </c>
    </row>
    <row r="37" spans="2:14" ht="12.95" customHeight="1" x14ac:dyDescent="0.2">
      <c r="B37" s="50"/>
      <c r="C37" s="48"/>
      <c r="D37" s="54"/>
      <c r="E37" s="48"/>
      <c r="F37" s="53"/>
      <c r="G37" s="51"/>
      <c r="H37" s="168"/>
      <c r="I37" s="51"/>
      <c r="J37" s="51"/>
      <c r="K37" s="51"/>
      <c r="L37" s="52"/>
    </row>
    <row r="38" spans="2:14" s="177" customFormat="1" ht="12.95" customHeight="1" x14ac:dyDescent="0.2">
      <c r="B38" s="182"/>
      <c r="C38" s="183" t="s">
        <v>296</v>
      </c>
      <c r="D38" s="184" t="s">
        <v>282</v>
      </c>
      <c r="E38" s="182"/>
      <c r="F38" s="182"/>
      <c r="G38" s="182"/>
      <c r="H38" s="182"/>
      <c r="I38" s="182"/>
      <c r="J38" s="182"/>
      <c r="K38" s="182"/>
      <c r="L38" s="182"/>
      <c r="N38" s="185"/>
    </row>
    <row r="39" spans="2:14" ht="12.95" customHeight="1" x14ac:dyDescent="0.2">
      <c r="B39" s="50"/>
      <c r="C39" s="48"/>
      <c r="D39" s="54"/>
      <c r="E39" s="48"/>
      <c r="F39" s="50"/>
      <c r="G39" s="51"/>
      <c r="H39" s="51"/>
      <c r="I39" s="51"/>
      <c r="J39" s="51"/>
      <c r="K39" s="51"/>
      <c r="L39" s="52"/>
    </row>
    <row r="40" spans="2:14" ht="12.95" customHeight="1" x14ac:dyDescent="0.2">
      <c r="B40" s="50"/>
      <c r="C40" s="48"/>
      <c r="D40" s="75" t="s">
        <v>19</v>
      </c>
      <c r="E40" s="48"/>
      <c r="F40" s="50"/>
      <c r="G40" s="51"/>
      <c r="H40" s="51"/>
      <c r="I40" s="51"/>
      <c r="J40" s="51"/>
      <c r="K40" s="51"/>
      <c r="L40" s="52"/>
    </row>
    <row r="41" spans="2:14" ht="12.95" customHeight="1" x14ac:dyDescent="0.2">
      <c r="B41" s="50">
        <v>100576</v>
      </c>
      <c r="C41" s="48" t="s">
        <v>297</v>
      </c>
      <c r="D41" s="49" t="s">
        <v>136</v>
      </c>
      <c r="E41" s="48"/>
      <c r="F41" s="50" t="s">
        <v>13</v>
      </c>
      <c r="G41" s="51">
        <f>'Pav-Pavimento'!K21</f>
        <v>1011.35</v>
      </c>
      <c r="H41" s="51">
        <v>2.81</v>
      </c>
      <c r="I41" s="51">
        <f t="shared" ref="I41" si="9">TRUNC((H41*$J$6),2)</f>
        <v>0.61</v>
      </c>
      <c r="J41" s="51">
        <f t="shared" ref="J41" si="10">H41+I41</f>
        <v>3.42</v>
      </c>
      <c r="K41" s="51">
        <f t="shared" ref="K41" si="11">TRUNC((G41*J41),2)</f>
        <v>3458.81</v>
      </c>
      <c r="L41" s="52">
        <f>K41/$K$106</f>
        <v>7.1081644414464811E-3</v>
      </c>
    </row>
    <row r="42" spans="2:14" ht="12.95" customHeight="1" x14ac:dyDescent="0.2">
      <c r="B42" s="50"/>
      <c r="C42" s="48"/>
      <c r="D42" s="54"/>
      <c r="E42" s="48"/>
      <c r="F42" s="53"/>
      <c r="G42" s="51"/>
      <c r="H42" s="168"/>
      <c r="I42" s="51"/>
      <c r="J42" s="51"/>
      <c r="K42" s="51"/>
      <c r="L42" s="52"/>
    </row>
    <row r="43" spans="2:14" ht="12.95" customHeight="1" x14ac:dyDescent="0.2">
      <c r="B43" s="50"/>
      <c r="C43" s="48"/>
      <c r="D43" s="75" t="s">
        <v>20</v>
      </c>
      <c r="E43" s="48"/>
      <c r="F43" s="50"/>
      <c r="G43" s="51"/>
      <c r="H43" s="168"/>
      <c r="I43" s="51"/>
      <c r="J43" s="51"/>
      <c r="K43" s="51"/>
      <c r="L43" s="52"/>
    </row>
    <row r="44" spans="2:14" ht="26.1" customHeight="1" x14ac:dyDescent="0.2">
      <c r="B44" s="47" t="s">
        <v>271</v>
      </c>
      <c r="C44" s="48" t="s">
        <v>298</v>
      </c>
      <c r="D44" s="49" t="s">
        <v>285</v>
      </c>
      <c r="E44" s="48"/>
      <c r="F44" s="50" t="s">
        <v>14</v>
      </c>
      <c r="G44" s="51">
        <f>'Pav-Pavimento'!K25</f>
        <v>98.3</v>
      </c>
      <c r="H44" s="51">
        <v>16.27</v>
      </c>
      <c r="I44" s="51">
        <f t="shared" ref="I44" si="12">TRUNC((H44*$J$6),2)</f>
        <v>3.57</v>
      </c>
      <c r="J44" s="51">
        <f t="shared" ref="J44" si="13">H44+I44</f>
        <v>19.84</v>
      </c>
      <c r="K44" s="51">
        <f t="shared" ref="K44" si="14">TRUNC((G44*J44),2)</f>
        <v>1950.27</v>
      </c>
      <c r="L44" s="52">
        <f>K44/$K$106</f>
        <v>4.0079795840823372E-3</v>
      </c>
    </row>
    <row r="45" spans="2:14" ht="12.95" customHeight="1" x14ac:dyDescent="0.2">
      <c r="B45" s="50"/>
      <c r="C45" s="48"/>
      <c r="D45" s="54"/>
      <c r="E45" s="48"/>
      <c r="F45" s="53"/>
      <c r="G45" s="51"/>
      <c r="H45" s="168"/>
      <c r="I45" s="51"/>
      <c r="J45" s="51"/>
      <c r="K45" s="51"/>
      <c r="L45" s="52"/>
    </row>
    <row r="46" spans="2:14" ht="12.95" customHeight="1" x14ac:dyDescent="0.2">
      <c r="B46" s="50"/>
      <c r="C46" s="48"/>
      <c r="D46" s="75" t="s">
        <v>78</v>
      </c>
      <c r="E46" s="48"/>
      <c r="F46" s="50"/>
      <c r="G46" s="51"/>
      <c r="H46" s="168"/>
      <c r="I46" s="51"/>
      <c r="J46" s="51"/>
      <c r="K46" s="51"/>
      <c r="L46" s="52"/>
    </row>
    <row r="47" spans="2:14" ht="26.1" customHeight="1" x14ac:dyDescent="0.2">
      <c r="B47" s="47" t="s">
        <v>272</v>
      </c>
      <c r="C47" s="48" t="s">
        <v>299</v>
      </c>
      <c r="D47" s="49" t="s">
        <v>245</v>
      </c>
      <c r="E47" s="48"/>
      <c r="F47" s="50" t="s">
        <v>14</v>
      </c>
      <c r="G47" s="51">
        <f>'Pav-Pavimento'!K26</f>
        <v>127.78</v>
      </c>
      <c r="H47" s="51">
        <v>108.86</v>
      </c>
      <c r="I47" s="51">
        <f>TRUNC((H47*$L$6),2)</f>
        <v>0</v>
      </c>
      <c r="J47" s="51">
        <f t="shared" ref="J47" si="15">H47+I47</f>
        <v>108.86</v>
      </c>
      <c r="K47" s="51">
        <f t="shared" ref="K47" si="16">TRUNC((G47*J47),2)</f>
        <v>13910.13</v>
      </c>
      <c r="L47" s="52">
        <f>K47/$K$106</f>
        <v>2.8586563425541712E-2</v>
      </c>
    </row>
    <row r="48" spans="2:14" ht="12.95" customHeight="1" x14ac:dyDescent="0.2">
      <c r="B48" s="50"/>
      <c r="C48" s="48"/>
      <c r="D48" s="54"/>
      <c r="E48" s="48"/>
      <c r="F48" s="53"/>
      <c r="G48" s="51"/>
      <c r="H48" s="168"/>
      <c r="I48" s="51"/>
      <c r="J48" s="51"/>
      <c r="K48" s="51"/>
      <c r="L48" s="52"/>
    </row>
    <row r="49" spans="2:14" ht="12.95" customHeight="1" x14ac:dyDescent="0.2">
      <c r="B49" s="50"/>
      <c r="C49" s="48"/>
      <c r="D49" s="75" t="s">
        <v>79</v>
      </c>
      <c r="E49" s="48"/>
      <c r="F49" s="50"/>
      <c r="G49" s="51"/>
      <c r="H49" s="168"/>
      <c r="I49" s="51"/>
      <c r="J49" s="51"/>
      <c r="K49" s="51"/>
      <c r="L49" s="52"/>
    </row>
    <row r="50" spans="2:14" ht="26.1" customHeight="1" x14ac:dyDescent="0.2">
      <c r="B50" s="50">
        <v>95875</v>
      </c>
      <c r="C50" s="48" t="s">
        <v>300</v>
      </c>
      <c r="D50" s="49" t="s">
        <v>139</v>
      </c>
      <c r="E50" s="48">
        <f>'Pav-Pavimento'!$F$27</f>
        <v>30</v>
      </c>
      <c r="F50" s="50" t="s">
        <v>15</v>
      </c>
      <c r="G50" s="51">
        <f>'Pav-Pavimento'!K27</f>
        <v>3833.4</v>
      </c>
      <c r="H50" s="51">
        <v>2.44</v>
      </c>
      <c r="I50" s="51">
        <f t="shared" ref="I50:I51" si="17">TRUNC((H50*$J$6),2)</f>
        <v>0.53</v>
      </c>
      <c r="J50" s="51">
        <f t="shared" ref="J50:J51" si="18">H50+I50</f>
        <v>2.9699999999999998</v>
      </c>
      <c r="K50" s="51">
        <f t="shared" ref="K50:K51" si="19">TRUNC((G50*J50),2)</f>
        <v>11385.19</v>
      </c>
      <c r="L50" s="52">
        <f>K50/$K$106</f>
        <v>2.3397585504006311E-2</v>
      </c>
    </row>
    <row r="51" spans="2:14" ht="26.1" customHeight="1" x14ac:dyDescent="0.2">
      <c r="B51" s="50">
        <v>93590</v>
      </c>
      <c r="C51" s="48" t="s">
        <v>301</v>
      </c>
      <c r="D51" s="49" t="s">
        <v>138</v>
      </c>
      <c r="E51" s="48">
        <f>'Pav-Pavimento'!$F$28</f>
        <v>26.700000000000003</v>
      </c>
      <c r="F51" s="50" t="s">
        <v>15</v>
      </c>
      <c r="G51" s="51">
        <f>'Pav-Pavimento'!K28</f>
        <v>3411.71</v>
      </c>
      <c r="H51" s="51">
        <v>0.97</v>
      </c>
      <c r="I51" s="51">
        <f t="shared" si="17"/>
        <v>0.21</v>
      </c>
      <c r="J51" s="51">
        <f t="shared" si="18"/>
        <v>1.18</v>
      </c>
      <c r="K51" s="51">
        <f t="shared" si="19"/>
        <v>4025.81</v>
      </c>
      <c r="L51" s="52">
        <f>K51/$K$106</f>
        <v>8.2734002417073089E-3</v>
      </c>
    </row>
    <row r="52" spans="2:14" ht="12.95" customHeight="1" x14ac:dyDescent="0.2">
      <c r="B52" s="50"/>
      <c r="C52" s="48"/>
      <c r="D52" s="54"/>
      <c r="E52" s="48"/>
      <c r="F52" s="53"/>
      <c r="G52" s="51"/>
      <c r="H52" s="168"/>
      <c r="I52" s="51"/>
      <c r="J52" s="51"/>
      <c r="K52" s="51"/>
      <c r="L52" s="52"/>
    </row>
    <row r="53" spans="2:14" ht="12.95" customHeight="1" x14ac:dyDescent="0.2">
      <c r="B53" s="50"/>
      <c r="C53" s="48"/>
      <c r="D53" s="75" t="s">
        <v>30</v>
      </c>
      <c r="E53" s="48"/>
      <c r="F53" s="50"/>
      <c r="G53" s="51"/>
      <c r="H53" s="168"/>
      <c r="I53" s="51"/>
      <c r="J53" s="51"/>
      <c r="K53" s="51"/>
      <c r="L53" s="52"/>
    </row>
    <row r="54" spans="2:14" ht="26.1" customHeight="1" x14ac:dyDescent="0.25">
      <c r="B54" s="47" t="s">
        <v>273</v>
      </c>
      <c r="C54" s="48" t="s">
        <v>302</v>
      </c>
      <c r="D54" s="49" t="s">
        <v>274</v>
      </c>
      <c r="E54" s="48"/>
      <c r="F54" s="50" t="s">
        <v>13</v>
      </c>
      <c r="G54" s="51">
        <f>'Pav-Pavimento'!K30</f>
        <v>716.90000000000009</v>
      </c>
      <c r="H54" s="51">
        <v>0.64</v>
      </c>
      <c r="I54" s="51">
        <f t="shared" ref="I54" si="20">TRUNC((H54*$J$6),2)</f>
        <v>0.14000000000000001</v>
      </c>
      <c r="J54" s="51">
        <f t="shared" ref="J54:J57" si="21">H54+I54</f>
        <v>0.78</v>
      </c>
      <c r="K54" s="51">
        <f t="shared" ref="K54:K57" si="22">TRUNC((G54*J54),2)</f>
        <v>559.17999999999995</v>
      </c>
      <c r="L54" s="52">
        <f>K54/$K$106</f>
        <v>1.1491649996293646E-3</v>
      </c>
      <c r="N54"/>
    </row>
    <row r="55" spans="2:14" ht="26.1" customHeight="1" x14ac:dyDescent="0.25">
      <c r="B55" s="47" t="s">
        <v>278</v>
      </c>
      <c r="C55" s="48" t="s">
        <v>303</v>
      </c>
      <c r="D55" s="49" t="s">
        <v>215</v>
      </c>
      <c r="E55" s="48"/>
      <c r="F55" s="50" t="s">
        <v>222</v>
      </c>
      <c r="G55" s="51">
        <f>'Pav-Pavimento'!K32</f>
        <v>0.85</v>
      </c>
      <c r="H55" s="51">
        <v>4327.5</v>
      </c>
      <c r="I55" s="51">
        <f>TRUNC((H55*$L$6),2)</f>
        <v>0</v>
      </c>
      <c r="J55" s="51">
        <f t="shared" si="21"/>
        <v>4327.5</v>
      </c>
      <c r="K55" s="51">
        <f t="shared" si="22"/>
        <v>3678.37</v>
      </c>
      <c r="L55" s="52">
        <f>K55/$K$106</f>
        <v>7.5593799128843417E-3</v>
      </c>
      <c r="N55"/>
    </row>
    <row r="56" spans="2:14" ht="26.1" customHeight="1" x14ac:dyDescent="0.25">
      <c r="B56" s="50">
        <v>102330</v>
      </c>
      <c r="C56" s="48" t="s">
        <v>304</v>
      </c>
      <c r="D56" s="49" t="s">
        <v>276</v>
      </c>
      <c r="E56" s="48">
        <f>'Pav-Pavimento'!$F$33</f>
        <v>30</v>
      </c>
      <c r="F56" s="50" t="s">
        <v>18</v>
      </c>
      <c r="G56" s="51">
        <f>'Pav-Pavimento'!K33</f>
        <v>25.5</v>
      </c>
      <c r="H56" s="51">
        <v>1.41</v>
      </c>
      <c r="I56" s="51">
        <f t="shared" ref="I56:I57" si="23">TRUNC((H56*$J$6),2)</f>
        <v>0.31</v>
      </c>
      <c r="J56" s="51">
        <f t="shared" si="21"/>
        <v>1.72</v>
      </c>
      <c r="K56" s="51">
        <f t="shared" si="22"/>
        <v>43.86</v>
      </c>
      <c r="L56" s="52">
        <f>K56/$K$106</f>
        <v>9.0136229628641831E-5</v>
      </c>
      <c r="N56"/>
    </row>
    <row r="57" spans="2:14" ht="26.1" customHeight="1" x14ac:dyDescent="0.25">
      <c r="B57" s="50">
        <v>102331</v>
      </c>
      <c r="C57" s="48" t="s">
        <v>305</v>
      </c>
      <c r="D57" s="49" t="s">
        <v>277</v>
      </c>
      <c r="E57" s="48">
        <f>'Pav-Pavimento'!$F$34</f>
        <v>149</v>
      </c>
      <c r="F57" s="50" t="s">
        <v>18</v>
      </c>
      <c r="G57" s="51">
        <f>'Pav-Pavimento'!K34</f>
        <v>126.65</v>
      </c>
      <c r="H57" s="51">
        <v>0.55000000000000004</v>
      </c>
      <c r="I57" s="51">
        <f t="shared" si="23"/>
        <v>0.12</v>
      </c>
      <c r="J57" s="51">
        <f t="shared" si="21"/>
        <v>0.67</v>
      </c>
      <c r="K57" s="51">
        <f t="shared" si="22"/>
        <v>84.85</v>
      </c>
      <c r="L57" s="52">
        <f>K57/$K$106</f>
        <v>1.7437435212016095E-4</v>
      </c>
      <c r="N57"/>
    </row>
    <row r="58" spans="2:14" ht="12.95" customHeight="1" x14ac:dyDescent="0.25">
      <c r="B58" s="50"/>
      <c r="C58" s="48"/>
      <c r="D58" s="54"/>
      <c r="E58" s="48"/>
      <c r="F58" s="53"/>
      <c r="G58" s="51"/>
      <c r="H58" s="168"/>
      <c r="I58" s="51"/>
      <c r="J58" s="51"/>
      <c r="K58" s="51"/>
      <c r="L58" s="52"/>
      <c r="N58"/>
    </row>
    <row r="59" spans="2:14" ht="12.95" customHeight="1" x14ac:dyDescent="0.2">
      <c r="B59" s="50"/>
      <c r="C59" s="48"/>
      <c r="D59" s="75" t="s">
        <v>31</v>
      </c>
      <c r="E59" s="48"/>
      <c r="F59" s="50"/>
      <c r="G59" s="51"/>
      <c r="H59" s="168"/>
      <c r="I59" s="51"/>
      <c r="J59" s="51"/>
      <c r="K59" s="51"/>
      <c r="L59" s="52"/>
    </row>
    <row r="60" spans="2:14" ht="26.1" customHeight="1" x14ac:dyDescent="0.2">
      <c r="B60" s="47" t="s">
        <v>223</v>
      </c>
      <c r="C60" s="48" t="s">
        <v>306</v>
      </c>
      <c r="D60" s="49" t="s">
        <v>227</v>
      </c>
      <c r="E60" s="48"/>
      <c r="F60" s="50" t="s">
        <v>222</v>
      </c>
      <c r="G60" s="51">
        <f>'Pav-Pavimento'!K38</f>
        <v>54.93</v>
      </c>
      <c r="H60" s="51">
        <v>653</v>
      </c>
      <c r="I60" s="51">
        <f>TRUNC((H60*$L$6),2)</f>
        <v>0</v>
      </c>
      <c r="J60" s="51">
        <f t="shared" ref="J60:J61" si="24">H60+I60</f>
        <v>653</v>
      </c>
      <c r="K60" s="51">
        <f t="shared" ref="K60:K63" si="25">TRUNC((G60*J60),2)</f>
        <v>35869.29</v>
      </c>
      <c r="L60" s="52">
        <f>K60/$K$106</f>
        <v>7.3714604652447474E-2</v>
      </c>
    </row>
    <row r="61" spans="2:14" ht="26.1" customHeight="1" x14ac:dyDescent="0.2">
      <c r="B61" s="47" t="s">
        <v>275</v>
      </c>
      <c r="C61" s="48" t="s">
        <v>307</v>
      </c>
      <c r="D61" s="49" t="s">
        <v>224</v>
      </c>
      <c r="E61" s="48"/>
      <c r="F61" s="50" t="s">
        <v>222</v>
      </c>
      <c r="G61" s="51">
        <f>'Pav-Pavimento'!K39</f>
        <v>54.93</v>
      </c>
      <c r="H61" s="51">
        <v>46.75</v>
      </c>
      <c r="I61" s="51">
        <f t="shared" ref="I61:I63" si="26">TRUNC((H61*$J$6),2)</f>
        <v>10.28</v>
      </c>
      <c r="J61" s="51">
        <f t="shared" si="24"/>
        <v>57.03</v>
      </c>
      <c r="K61" s="51">
        <f t="shared" si="25"/>
        <v>3132.65</v>
      </c>
      <c r="L61" s="52">
        <f>K61/$K$106</f>
        <v>6.4378764192012045E-3</v>
      </c>
    </row>
    <row r="62" spans="2:14" ht="26.1" customHeight="1" x14ac:dyDescent="0.2">
      <c r="B62" s="50">
        <v>95878</v>
      </c>
      <c r="C62" s="48" t="s">
        <v>308</v>
      </c>
      <c r="D62" s="49" t="s">
        <v>132</v>
      </c>
      <c r="E62" s="48">
        <f>'Pav-Pavimento'!$F$40</f>
        <v>30</v>
      </c>
      <c r="F62" s="50" t="s">
        <v>18</v>
      </c>
      <c r="G62" s="51">
        <f>'Pav-Pavimento'!K40</f>
        <v>1647.9</v>
      </c>
      <c r="H62" s="51">
        <v>1.64</v>
      </c>
      <c r="I62" s="51">
        <f t="shared" si="26"/>
        <v>0.36</v>
      </c>
      <c r="J62" s="51">
        <f>H62+I62</f>
        <v>2</v>
      </c>
      <c r="K62" s="51">
        <f t="shared" si="25"/>
        <v>3295.8</v>
      </c>
      <c r="L62" s="52">
        <f>K62/$K$106</f>
        <v>6.7731642865954799E-3</v>
      </c>
    </row>
    <row r="63" spans="2:14" ht="26.1" customHeight="1" x14ac:dyDescent="0.2">
      <c r="B63" s="50">
        <v>93596</v>
      </c>
      <c r="C63" s="48" t="s">
        <v>309</v>
      </c>
      <c r="D63" s="49" t="s">
        <v>137</v>
      </c>
      <c r="E63" s="48">
        <f>'Pav-Pavimento'!$F$41</f>
        <v>26.700000000000003</v>
      </c>
      <c r="F63" s="50" t="s">
        <v>18</v>
      </c>
      <c r="G63" s="51">
        <f>'Pav-Pavimento'!K41</f>
        <v>1466.6200000000001</v>
      </c>
      <c r="H63" s="51">
        <v>0.65</v>
      </c>
      <c r="I63" s="51">
        <f t="shared" si="26"/>
        <v>0.14000000000000001</v>
      </c>
      <c r="J63" s="51">
        <f>H63+I63</f>
        <v>0.79</v>
      </c>
      <c r="K63" s="51">
        <f t="shared" si="25"/>
        <v>1158.6199999999999</v>
      </c>
      <c r="L63" s="52">
        <f>K63/$K$106</f>
        <v>2.3810679063460327E-3</v>
      </c>
    </row>
    <row r="64" spans="2:14" ht="12.95" customHeight="1" x14ac:dyDescent="0.2">
      <c r="B64" s="76"/>
      <c r="C64" s="55"/>
      <c r="D64" s="77"/>
      <c r="E64" s="55"/>
      <c r="F64" s="56"/>
      <c r="G64" s="57"/>
      <c r="H64" s="169"/>
      <c r="I64" s="57"/>
      <c r="J64" s="57"/>
      <c r="K64" s="57"/>
      <c r="L64" s="78"/>
    </row>
    <row r="65" spans="2:12" s="44" customFormat="1" ht="15" customHeight="1" x14ac:dyDescent="0.2">
      <c r="B65" s="187"/>
      <c r="C65" s="65"/>
      <c r="D65" s="65"/>
      <c r="E65" s="229" t="str">
        <f>CONCATENATE("SUBTOTAL ",C27)</f>
        <v>SUBTOTAL 02</v>
      </c>
      <c r="F65" s="229"/>
      <c r="G65" s="229"/>
      <c r="H65" s="172"/>
      <c r="I65" s="227"/>
      <c r="J65" s="227"/>
      <c r="K65" s="173">
        <f>SUM(K27:K64)</f>
        <v>92637.249999999985</v>
      </c>
      <c r="L65" s="67">
        <f>SUM(L27:L64)</f>
        <v>0.19037784856739398</v>
      </c>
    </row>
    <row r="66" spans="2:12" ht="5.0999999999999996" customHeight="1" x14ac:dyDescent="0.2"/>
    <row r="67" spans="2:12" s="44" customFormat="1" ht="15" customHeight="1" x14ac:dyDescent="0.2">
      <c r="B67" s="68"/>
      <c r="C67" s="186" t="s">
        <v>242</v>
      </c>
      <c r="D67" s="69" t="s">
        <v>21</v>
      </c>
      <c r="E67" s="70"/>
      <c r="F67" s="70"/>
      <c r="G67" s="70"/>
      <c r="H67" s="70"/>
      <c r="I67" s="70"/>
      <c r="J67" s="70"/>
      <c r="K67" s="70"/>
      <c r="L67" s="71"/>
    </row>
    <row r="68" spans="2:12" ht="12.95" customHeight="1" x14ac:dyDescent="0.2">
      <c r="B68" s="72"/>
      <c r="C68" s="73"/>
      <c r="D68" s="45"/>
      <c r="E68" s="73"/>
      <c r="F68" s="72"/>
      <c r="G68" s="46"/>
      <c r="H68" s="46"/>
      <c r="I68" s="46"/>
      <c r="J68" s="46"/>
      <c r="K68" s="46"/>
      <c r="L68" s="74"/>
    </row>
    <row r="69" spans="2:12" ht="12.95" customHeight="1" x14ac:dyDescent="0.2">
      <c r="B69" s="50"/>
      <c r="C69" s="48"/>
      <c r="D69" s="75" t="s">
        <v>316</v>
      </c>
      <c r="E69" s="48"/>
      <c r="F69" s="50"/>
      <c r="G69" s="51"/>
      <c r="H69" s="51"/>
      <c r="I69" s="51"/>
      <c r="J69" s="51"/>
      <c r="K69" s="51"/>
      <c r="L69" s="52"/>
    </row>
    <row r="70" spans="2:12" ht="12.95" customHeight="1" x14ac:dyDescent="0.2">
      <c r="B70" s="50">
        <v>103946</v>
      </c>
      <c r="C70" s="178" t="s">
        <v>264</v>
      </c>
      <c r="D70" s="49" t="s">
        <v>315</v>
      </c>
      <c r="E70" s="48"/>
      <c r="F70" s="50" t="s">
        <v>13</v>
      </c>
      <c r="G70" s="51">
        <f>'Serv. Complementares'!I10</f>
        <v>1655.7099999999998</v>
      </c>
      <c r="H70" s="51">
        <v>14.06</v>
      </c>
      <c r="I70" s="51">
        <f>TRUNC((H70*$J$6),2)</f>
        <v>3.09</v>
      </c>
      <c r="J70" s="51">
        <f t="shared" ref="J70" si="27">H70+I70</f>
        <v>17.149999999999999</v>
      </c>
      <c r="K70" s="51">
        <f t="shared" ref="K70" si="28">TRUNC((G70*J70),2)</f>
        <v>28395.42</v>
      </c>
      <c r="L70" s="52">
        <f>K70/$K$106</f>
        <v>5.8355132182437958E-2</v>
      </c>
    </row>
    <row r="71" spans="2:12" ht="12.95" customHeight="1" x14ac:dyDescent="0.2">
      <c r="B71" s="76"/>
      <c r="C71" s="55"/>
      <c r="D71" s="77"/>
      <c r="E71" s="55"/>
      <c r="F71" s="56"/>
      <c r="G71" s="57"/>
      <c r="H71" s="57"/>
      <c r="I71" s="57"/>
      <c r="J71" s="57"/>
      <c r="K71" s="57"/>
      <c r="L71" s="78"/>
    </row>
    <row r="72" spans="2:12" s="44" customFormat="1" ht="15" customHeight="1" x14ac:dyDescent="0.2">
      <c r="B72" s="187"/>
      <c r="C72" s="65"/>
      <c r="D72" s="65"/>
      <c r="E72" s="229" t="str">
        <f>CONCATENATE("SUBTOTAL ",C67)</f>
        <v>SUBTOTAL 03</v>
      </c>
      <c r="F72" s="229"/>
      <c r="G72" s="229"/>
      <c r="H72" s="172"/>
      <c r="I72" s="227"/>
      <c r="J72" s="227"/>
      <c r="K72" s="173">
        <f>SUM(K67:K71)</f>
        <v>28395.42</v>
      </c>
      <c r="L72" s="67">
        <f>SUM(L67:L71)</f>
        <v>5.8355132182437958E-2</v>
      </c>
    </row>
    <row r="73" spans="2:12" ht="5.0999999999999996" customHeight="1" x14ac:dyDescent="0.2"/>
    <row r="74" spans="2:12" s="44" customFormat="1" ht="15" customHeight="1" x14ac:dyDescent="0.2">
      <c r="B74" s="68"/>
      <c r="C74" s="186" t="s">
        <v>243</v>
      </c>
      <c r="D74" s="69" t="s">
        <v>22</v>
      </c>
      <c r="E74" s="70"/>
      <c r="F74" s="70"/>
      <c r="G74" s="70"/>
      <c r="H74" s="70"/>
      <c r="I74" s="70"/>
      <c r="J74" s="70"/>
      <c r="K74" s="70"/>
      <c r="L74" s="71"/>
    </row>
    <row r="75" spans="2:12" ht="12.95" customHeight="1" x14ac:dyDescent="0.2">
      <c r="B75" s="72"/>
      <c r="C75" s="73"/>
      <c r="D75" s="45"/>
      <c r="E75" s="73"/>
      <c r="F75" s="72"/>
      <c r="G75" s="46"/>
      <c r="H75" s="46"/>
      <c r="I75" s="46"/>
      <c r="J75" s="46"/>
      <c r="K75" s="46"/>
      <c r="L75" s="74"/>
    </row>
    <row r="76" spans="2:12" ht="12.95" customHeight="1" x14ac:dyDescent="0.2">
      <c r="B76" s="50"/>
      <c r="C76" s="48"/>
      <c r="D76" s="75" t="s">
        <v>19</v>
      </c>
      <c r="E76" s="48"/>
      <c r="F76" s="50"/>
      <c r="G76" s="51"/>
      <c r="H76" s="51"/>
      <c r="I76" s="51"/>
      <c r="J76" s="51"/>
      <c r="K76" s="51"/>
      <c r="L76" s="52"/>
    </row>
    <row r="77" spans="2:12" ht="26.1" customHeight="1" x14ac:dyDescent="0.2">
      <c r="B77" s="47" t="s">
        <v>280</v>
      </c>
      <c r="C77" s="178" t="s">
        <v>266</v>
      </c>
      <c r="D77" s="54" t="s">
        <v>26</v>
      </c>
      <c r="E77" s="48"/>
      <c r="F77" s="50" t="s">
        <v>13</v>
      </c>
      <c r="G77" s="51">
        <f>'Passeio com Acessibilidade'!K10</f>
        <v>3751.59</v>
      </c>
      <c r="H77" s="51">
        <v>8.31</v>
      </c>
      <c r="I77" s="51">
        <f>TRUNC((H77*$J$6),2)</f>
        <v>1.82</v>
      </c>
      <c r="J77" s="51">
        <f t="shared" ref="J77" si="29">H77+I77</f>
        <v>10.130000000000001</v>
      </c>
      <c r="K77" s="51">
        <f t="shared" ref="K77" si="30">TRUNC((G77*J77),2)</f>
        <v>38003.599999999999</v>
      </c>
      <c r="L77" s="52">
        <f>K77/$K$106</f>
        <v>7.8100802925559792E-2</v>
      </c>
    </row>
    <row r="78" spans="2:12" ht="12.95" customHeight="1" x14ac:dyDescent="0.2">
      <c r="B78" s="50"/>
      <c r="C78" s="48"/>
      <c r="D78" s="54"/>
      <c r="E78" s="48"/>
      <c r="F78" s="53"/>
      <c r="G78" s="51"/>
      <c r="H78" s="168"/>
      <c r="I78" s="51"/>
      <c r="J78" s="51"/>
      <c r="K78" s="51"/>
      <c r="L78" s="52"/>
    </row>
    <row r="79" spans="2:12" ht="12.95" customHeight="1" x14ac:dyDescent="0.2">
      <c r="B79" s="50"/>
      <c r="C79" s="48"/>
      <c r="D79" s="75" t="s">
        <v>24</v>
      </c>
      <c r="E79" s="48"/>
      <c r="F79" s="50"/>
      <c r="G79" s="51"/>
      <c r="H79" s="168"/>
      <c r="I79" s="51"/>
      <c r="J79" s="51"/>
      <c r="K79" s="51"/>
      <c r="L79" s="52"/>
    </row>
    <row r="80" spans="2:12" ht="26.1" customHeight="1" x14ac:dyDescent="0.2">
      <c r="B80" s="50">
        <v>94990</v>
      </c>
      <c r="C80" s="178" t="s">
        <v>267</v>
      </c>
      <c r="D80" s="49" t="s">
        <v>109</v>
      </c>
      <c r="E80" s="48"/>
      <c r="F80" s="50" t="s">
        <v>14</v>
      </c>
      <c r="G80" s="51">
        <f>'Passeio com Acessibilidade'!K17</f>
        <v>262.60000000000002</v>
      </c>
      <c r="H80" s="51">
        <v>753.72</v>
      </c>
      <c r="I80" s="51">
        <f t="shared" ref="I80:I83" si="31">TRUNC((H80*$J$6),2)</f>
        <v>165.81</v>
      </c>
      <c r="J80" s="51">
        <f t="shared" ref="J80" si="32">H80+I80</f>
        <v>919.53</v>
      </c>
      <c r="K80" s="51">
        <f t="shared" ref="K80:K83" si="33">TRUNC((G80*J80),2)</f>
        <v>241468.57</v>
      </c>
      <c r="L80" s="52">
        <f>K80/$K$106</f>
        <v>0.49623954568216538</v>
      </c>
    </row>
    <row r="81" spans="2:16" ht="26.1" customHeight="1" x14ac:dyDescent="0.2">
      <c r="B81" s="47">
        <v>100978</v>
      </c>
      <c r="C81" s="178" t="s">
        <v>268</v>
      </c>
      <c r="D81" s="49" t="s">
        <v>120</v>
      </c>
      <c r="E81" s="48"/>
      <c r="F81" s="50" t="s">
        <v>14</v>
      </c>
      <c r="G81" s="51">
        <f>'Passeio com Acessibilidade'!K20</f>
        <v>184.49</v>
      </c>
      <c r="H81" s="51">
        <v>6.88</v>
      </c>
      <c r="I81" s="51">
        <f t="shared" si="31"/>
        <v>1.51</v>
      </c>
      <c r="J81" s="51">
        <f>H81+I81</f>
        <v>8.39</v>
      </c>
      <c r="K81" s="51">
        <f t="shared" si="33"/>
        <v>1547.87</v>
      </c>
      <c r="L81" s="52">
        <f>K81/$K$106</f>
        <v>3.1810115311282678E-3</v>
      </c>
    </row>
    <row r="82" spans="2:16" ht="26.1" customHeight="1" x14ac:dyDescent="0.2">
      <c r="B82" s="50">
        <v>95875</v>
      </c>
      <c r="C82" s="178" t="s">
        <v>310</v>
      </c>
      <c r="D82" s="49" t="s">
        <v>140</v>
      </c>
      <c r="E82" s="48">
        <f>'Passeio com Acessibilidade'!$E$21</f>
        <v>30</v>
      </c>
      <c r="F82" s="50" t="s">
        <v>15</v>
      </c>
      <c r="G82" s="51">
        <f>'Passeio com Acessibilidade'!K21</f>
        <v>5534.7000000000007</v>
      </c>
      <c r="H82" s="51">
        <v>2.44</v>
      </c>
      <c r="I82" s="51">
        <f t="shared" si="31"/>
        <v>0.53</v>
      </c>
      <c r="J82" s="51">
        <f t="shared" ref="J82:J83" si="34">H82+I82</f>
        <v>2.9699999999999998</v>
      </c>
      <c r="K82" s="51">
        <f t="shared" si="33"/>
        <v>16438.05</v>
      </c>
      <c r="L82" s="52">
        <f>K82/$K$106</f>
        <v>3.3781665514069671E-2</v>
      </c>
    </row>
    <row r="83" spans="2:16" ht="26.1" customHeight="1" x14ac:dyDescent="0.2">
      <c r="B83" s="50">
        <v>93590</v>
      </c>
      <c r="C83" s="178" t="s">
        <v>311</v>
      </c>
      <c r="D83" s="49" t="s">
        <v>141</v>
      </c>
      <c r="E83" s="48">
        <f>'Passeio com Acessibilidade'!$E$22</f>
        <v>26.700000000000003</v>
      </c>
      <c r="F83" s="50" t="s">
        <v>15</v>
      </c>
      <c r="G83" s="51">
        <f>'Passeio com Acessibilidade'!K22</f>
        <v>4925.87</v>
      </c>
      <c r="H83" s="51">
        <v>0.97</v>
      </c>
      <c r="I83" s="51">
        <f t="shared" si="31"/>
        <v>0.21</v>
      </c>
      <c r="J83" s="51">
        <f t="shared" si="34"/>
        <v>1.18</v>
      </c>
      <c r="K83" s="51">
        <f t="shared" si="33"/>
        <v>5812.52</v>
      </c>
      <c r="L83" s="52">
        <f>K83/$K$106</f>
        <v>1.1945249371661497E-2</v>
      </c>
    </row>
    <row r="84" spans="2:16" ht="12.95" customHeight="1" x14ac:dyDescent="0.2">
      <c r="B84" s="76"/>
      <c r="C84" s="55"/>
      <c r="D84" s="77"/>
      <c r="E84" s="55"/>
      <c r="F84" s="56"/>
      <c r="G84" s="57"/>
      <c r="H84" s="57"/>
      <c r="I84" s="57"/>
      <c r="J84" s="57"/>
      <c r="K84" s="57"/>
      <c r="L84" s="78"/>
    </row>
    <row r="85" spans="2:16" s="44" customFormat="1" ht="15" customHeight="1" x14ac:dyDescent="0.2">
      <c r="B85" s="187"/>
      <c r="C85" s="65"/>
      <c r="D85" s="65"/>
      <c r="E85" s="229" t="str">
        <f>CONCATENATE("SUBTOTAL ",C74)</f>
        <v>SUBTOTAL 04</v>
      </c>
      <c r="F85" s="229"/>
      <c r="G85" s="229"/>
      <c r="H85" s="172"/>
      <c r="I85" s="227"/>
      <c r="J85" s="227"/>
      <c r="K85" s="173">
        <f>SUM(K74:K84)</f>
        <v>303270.61</v>
      </c>
      <c r="L85" s="67">
        <f>SUM(L74:L84)</f>
        <v>0.62324827502458469</v>
      </c>
    </row>
    <row r="86" spans="2:16" ht="5.0999999999999996" customHeight="1" x14ac:dyDescent="0.2"/>
    <row r="87" spans="2:16" s="44" customFormat="1" ht="15" customHeight="1" x14ac:dyDescent="0.2">
      <c r="B87" s="68"/>
      <c r="C87" s="186" t="s">
        <v>244</v>
      </c>
      <c r="D87" s="69" t="s">
        <v>331</v>
      </c>
      <c r="E87" s="70"/>
      <c r="F87" s="70"/>
      <c r="G87" s="70"/>
      <c r="H87" s="70"/>
      <c r="I87" s="70"/>
      <c r="J87" s="70"/>
      <c r="K87" s="70"/>
      <c r="L87" s="71"/>
    </row>
    <row r="88" spans="2:16" ht="12.95" customHeight="1" x14ac:dyDescent="0.2">
      <c r="B88" s="72"/>
      <c r="C88" s="73"/>
      <c r="D88" s="45"/>
      <c r="E88" s="73"/>
      <c r="F88" s="72"/>
      <c r="G88" s="46"/>
      <c r="H88" s="46"/>
      <c r="I88" s="46"/>
      <c r="J88" s="46"/>
      <c r="K88" s="46"/>
      <c r="L88" s="74"/>
    </row>
    <row r="89" spans="2:16" ht="12.95" customHeight="1" x14ac:dyDescent="0.2">
      <c r="B89" s="50"/>
      <c r="C89" s="48"/>
      <c r="D89" s="75" t="s">
        <v>332</v>
      </c>
      <c r="E89" s="48"/>
      <c r="F89" s="50"/>
      <c r="G89" s="51"/>
      <c r="H89" s="51"/>
      <c r="I89" s="51"/>
      <c r="J89" s="51"/>
      <c r="K89" s="51"/>
      <c r="L89" s="52"/>
    </row>
    <row r="90" spans="2:16" ht="26.1" customHeight="1" x14ac:dyDescent="0.2">
      <c r="B90" s="47" t="s">
        <v>330</v>
      </c>
      <c r="C90" s="178" t="s">
        <v>270</v>
      </c>
      <c r="D90" s="49" t="s">
        <v>333</v>
      </c>
      <c r="E90" s="48"/>
      <c r="F90" s="50" t="s">
        <v>13</v>
      </c>
      <c r="G90" s="51">
        <f>Sinalização!I12</f>
        <v>686.95</v>
      </c>
      <c r="H90" s="51">
        <f>'SV-04 - Comp. Pintura'!I45</f>
        <v>26.839999999999996</v>
      </c>
      <c r="I90" s="51">
        <f>TRUNC((H90*$J$6),2)</f>
        <v>5.9</v>
      </c>
      <c r="J90" s="51">
        <f t="shared" ref="J90" si="35">H90+I90</f>
        <v>32.739999999999995</v>
      </c>
      <c r="K90" s="51">
        <f t="shared" ref="K90" si="36">TRUNC((G90*J90),2)</f>
        <v>22490.74</v>
      </c>
      <c r="L90" s="52">
        <f>K90/$K$106</f>
        <v>4.6220485753718198E-2</v>
      </c>
    </row>
    <row r="91" spans="2:16" ht="12.95" customHeight="1" x14ac:dyDescent="0.2">
      <c r="B91" s="76"/>
      <c r="C91" s="55"/>
      <c r="D91" s="77"/>
      <c r="E91" s="55"/>
      <c r="F91" s="56"/>
      <c r="G91" s="57"/>
      <c r="H91" s="57"/>
      <c r="I91" s="57"/>
      <c r="J91" s="57"/>
      <c r="K91" s="57"/>
      <c r="L91" s="78"/>
    </row>
    <row r="92" spans="2:16" s="44" customFormat="1" ht="15" customHeight="1" x14ac:dyDescent="0.2">
      <c r="B92" s="187"/>
      <c r="C92" s="65"/>
      <c r="D92" s="65"/>
      <c r="E92" s="229" t="str">
        <f>CONCATENATE("SUBTOTAL ",C87)</f>
        <v>SUBTOTAL 05</v>
      </c>
      <c r="F92" s="229"/>
      <c r="G92" s="229"/>
      <c r="H92" s="172"/>
      <c r="I92" s="227"/>
      <c r="J92" s="227"/>
      <c r="K92" s="173">
        <f>SUM(K88:K91)</f>
        <v>22490.74</v>
      </c>
      <c r="L92" s="67">
        <f>SUM(L88:L91)</f>
        <v>4.6220485753718198E-2</v>
      </c>
    </row>
    <row r="93" spans="2:16" ht="5.0999999999999996" customHeight="1" x14ac:dyDescent="0.2"/>
    <row r="94" spans="2:16" s="44" customFormat="1" ht="15" customHeight="1" x14ac:dyDescent="0.2">
      <c r="B94" s="40"/>
      <c r="C94" s="181" t="s">
        <v>370</v>
      </c>
      <c r="D94" s="41" t="s">
        <v>17</v>
      </c>
      <c r="E94" s="42"/>
      <c r="F94" s="42"/>
      <c r="G94" s="42"/>
      <c r="H94" s="42"/>
      <c r="I94" s="42"/>
      <c r="J94" s="42"/>
      <c r="K94" s="42"/>
      <c r="L94" s="43"/>
    </row>
    <row r="95" spans="2:16" ht="12.95" customHeight="1" x14ac:dyDescent="0.2">
      <c r="B95" s="72"/>
      <c r="C95" s="73"/>
      <c r="D95" s="45"/>
      <c r="E95" s="73"/>
      <c r="F95" s="72"/>
      <c r="G95" s="46"/>
      <c r="H95" s="46"/>
      <c r="I95" s="46"/>
      <c r="J95" s="46"/>
      <c r="K95" s="46"/>
      <c r="L95" s="74"/>
    </row>
    <row r="96" spans="2:16" ht="12.95" customHeight="1" x14ac:dyDescent="0.2">
      <c r="B96" s="50"/>
      <c r="C96" s="48"/>
      <c r="D96" s="75" t="s">
        <v>286</v>
      </c>
      <c r="E96" s="48"/>
      <c r="F96" s="50"/>
      <c r="G96" s="51"/>
      <c r="H96" s="51"/>
      <c r="I96" s="51"/>
      <c r="J96" s="51"/>
      <c r="K96" s="51"/>
      <c r="L96" s="52"/>
      <c r="N96" s="12" t="s">
        <v>104</v>
      </c>
      <c r="O96" s="12" t="s">
        <v>103</v>
      </c>
      <c r="P96" s="12" t="s">
        <v>102</v>
      </c>
    </row>
    <row r="97" spans="1:16" ht="12.95" customHeight="1" x14ac:dyDescent="0.2">
      <c r="B97" s="47">
        <v>90777</v>
      </c>
      <c r="C97" s="178" t="s">
        <v>371</v>
      </c>
      <c r="D97" s="54" t="s">
        <v>134</v>
      </c>
      <c r="E97" s="48"/>
      <c r="F97" s="50" t="s">
        <v>28</v>
      </c>
      <c r="G97" s="51">
        <f t="shared" ref="G97:G100" si="37">ROUND((N97*O97*P97),2)</f>
        <v>22</v>
      </c>
      <c r="H97" s="51">
        <v>125.79</v>
      </c>
      <c r="I97" s="51">
        <f t="shared" ref="I97:I102" si="38">TRUNC((H97*$J$6),2)</f>
        <v>27.67</v>
      </c>
      <c r="J97" s="51">
        <f>H97+I97</f>
        <v>153.46</v>
      </c>
      <c r="K97" s="51">
        <f>TRUNC((G97*J97),2)</f>
        <v>3376.12</v>
      </c>
      <c r="L97" s="52">
        <f t="shared" ref="L97:L102" si="39">K97/$K$106</f>
        <v>6.9382290828511233E-3</v>
      </c>
      <c r="N97" s="12">
        <v>0.5</v>
      </c>
      <c r="O97" s="12">
        <v>22</v>
      </c>
      <c r="P97" s="12">
        <v>2</v>
      </c>
    </row>
    <row r="98" spans="1:16" ht="12.95" customHeight="1" x14ac:dyDescent="0.2">
      <c r="B98" s="47">
        <v>90776</v>
      </c>
      <c r="C98" s="178" t="s">
        <v>372</v>
      </c>
      <c r="D98" s="49" t="s">
        <v>133</v>
      </c>
      <c r="E98" s="48"/>
      <c r="F98" s="50" t="s">
        <v>28</v>
      </c>
      <c r="G98" s="51">
        <f t="shared" si="37"/>
        <v>352</v>
      </c>
      <c r="H98" s="51">
        <v>30.22</v>
      </c>
      <c r="I98" s="51">
        <f t="shared" si="38"/>
        <v>6.64</v>
      </c>
      <c r="J98" s="51">
        <f t="shared" ref="J98:J99" si="40">H98+I98</f>
        <v>36.86</v>
      </c>
      <c r="K98" s="51">
        <f>TRUNC((G98*J98),2)</f>
        <v>12974.72</v>
      </c>
      <c r="L98" s="52">
        <f t="shared" si="39"/>
        <v>2.6664212067654621E-2</v>
      </c>
      <c r="N98" s="12">
        <v>8</v>
      </c>
      <c r="O98" s="12">
        <v>22</v>
      </c>
      <c r="P98" s="12">
        <f>P97</f>
        <v>2</v>
      </c>
    </row>
    <row r="99" spans="1:16" ht="12.95" customHeight="1" x14ac:dyDescent="0.2">
      <c r="B99" s="47">
        <v>90781</v>
      </c>
      <c r="C99" s="178" t="s">
        <v>373</v>
      </c>
      <c r="D99" s="49" t="s">
        <v>105</v>
      </c>
      <c r="E99" s="48"/>
      <c r="F99" s="50" t="s">
        <v>28</v>
      </c>
      <c r="G99" s="51">
        <f t="shared" si="37"/>
        <v>88</v>
      </c>
      <c r="H99" s="51">
        <v>26.2</v>
      </c>
      <c r="I99" s="51">
        <f t="shared" si="38"/>
        <v>5.76</v>
      </c>
      <c r="J99" s="51">
        <f t="shared" si="40"/>
        <v>31.96</v>
      </c>
      <c r="K99" s="51">
        <f t="shared" ref="K99" si="41">TRUNC((G99*J99),2)</f>
        <v>2812.48</v>
      </c>
      <c r="L99" s="52">
        <f t="shared" si="39"/>
        <v>5.7798983836288781E-3</v>
      </c>
      <c r="N99" s="12">
        <v>2</v>
      </c>
      <c r="O99" s="12">
        <v>22</v>
      </c>
      <c r="P99" s="12">
        <f t="shared" ref="P99:P102" si="42">P98</f>
        <v>2</v>
      </c>
    </row>
    <row r="100" spans="1:16" ht="12.95" customHeight="1" x14ac:dyDescent="0.2">
      <c r="B100" s="47">
        <v>88253</v>
      </c>
      <c r="C100" s="178" t="s">
        <v>374</v>
      </c>
      <c r="D100" s="49" t="s">
        <v>106</v>
      </c>
      <c r="E100" s="48"/>
      <c r="F100" s="50" t="s">
        <v>28</v>
      </c>
      <c r="G100" s="51">
        <f t="shared" si="37"/>
        <v>88</v>
      </c>
      <c r="H100" s="51">
        <v>13.04</v>
      </c>
      <c r="I100" s="51">
        <f t="shared" si="38"/>
        <v>2.86</v>
      </c>
      <c r="J100" s="51">
        <f t="shared" ref="J100" si="43">H100+I100</f>
        <v>15.899999999999999</v>
      </c>
      <c r="K100" s="51">
        <f>TRUNC((G100*J100),2)</f>
        <v>1399.2</v>
      </c>
      <c r="L100" s="52">
        <f t="shared" si="39"/>
        <v>2.8754813610669325E-3</v>
      </c>
      <c r="N100" s="12">
        <v>2</v>
      </c>
      <c r="O100" s="12">
        <v>22</v>
      </c>
      <c r="P100" s="12">
        <f t="shared" si="42"/>
        <v>2</v>
      </c>
    </row>
    <row r="101" spans="1:16" ht="12.95" customHeight="1" x14ac:dyDescent="0.2">
      <c r="B101" s="47">
        <v>88321</v>
      </c>
      <c r="C101" s="178" t="s">
        <v>375</v>
      </c>
      <c r="D101" s="49" t="s">
        <v>247</v>
      </c>
      <c r="E101" s="48"/>
      <c r="F101" s="50" t="s">
        <v>28</v>
      </c>
      <c r="G101" s="51">
        <f t="shared" ref="G101:G102" si="44">ROUND((N101*O101*P101),2)</f>
        <v>22</v>
      </c>
      <c r="H101" s="51">
        <v>35.090000000000003</v>
      </c>
      <c r="I101" s="51">
        <f t="shared" si="38"/>
        <v>7.71</v>
      </c>
      <c r="J101" s="51">
        <f t="shared" ref="J101:J102" si="45">H101+I101</f>
        <v>42.800000000000004</v>
      </c>
      <c r="K101" s="51">
        <f>TRUNC((G101*J101),2)</f>
        <v>941.6</v>
      </c>
      <c r="L101" s="52">
        <f t="shared" si="39"/>
        <v>1.9350723624790048E-3</v>
      </c>
      <c r="N101" s="12">
        <v>0.5</v>
      </c>
      <c r="O101" s="12">
        <v>22</v>
      </c>
      <c r="P101" s="12">
        <f t="shared" si="42"/>
        <v>2</v>
      </c>
    </row>
    <row r="102" spans="1:16" ht="12.95" customHeight="1" x14ac:dyDescent="0.2">
      <c r="B102" s="47">
        <v>88249</v>
      </c>
      <c r="C102" s="178" t="s">
        <v>376</v>
      </c>
      <c r="D102" s="49" t="s">
        <v>246</v>
      </c>
      <c r="E102" s="48"/>
      <c r="F102" s="50" t="s">
        <v>28</v>
      </c>
      <c r="G102" s="51">
        <f t="shared" si="44"/>
        <v>22</v>
      </c>
      <c r="H102" s="51">
        <v>29.53</v>
      </c>
      <c r="I102" s="51">
        <f t="shared" si="38"/>
        <v>6.49</v>
      </c>
      <c r="J102" s="51">
        <f t="shared" si="45"/>
        <v>36.020000000000003</v>
      </c>
      <c r="K102" s="51">
        <f>TRUNC((G102*J102),2)</f>
        <v>792.44</v>
      </c>
      <c r="L102" s="52">
        <f t="shared" si="39"/>
        <v>1.6285351985162093E-3</v>
      </c>
      <c r="N102" s="12">
        <v>0.5</v>
      </c>
      <c r="O102" s="12">
        <v>22</v>
      </c>
      <c r="P102" s="12">
        <f t="shared" si="42"/>
        <v>2</v>
      </c>
    </row>
    <row r="103" spans="1:16" ht="12.95" customHeight="1" x14ac:dyDescent="0.2">
      <c r="B103" s="76"/>
      <c r="C103" s="55"/>
      <c r="D103" s="77"/>
      <c r="E103" s="55"/>
      <c r="F103" s="56"/>
      <c r="G103" s="57"/>
      <c r="H103" s="57"/>
      <c r="I103" s="57"/>
      <c r="J103" s="57"/>
      <c r="K103" s="57"/>
      <c r="L103" s="78"/>
    </row>
    <row r="104" spans="1:16" s="44" customFormat="1" ht="15" customHeight="1" x14ac:dyDescent="0.2">
      <c r="B104" s="188"/>
      <c r="C104" s="189"/>
      <c r="D104" s="189"/>
      <c r="E104" s="230" t="str">
        <f>CONCATENATE("SUBTOTAL ",C94)</f>
        <v>SUBTOTAL 06</v>
      </c>
      <c r="F104" s="230"/>
      <c r="G104" s="230"/>
      <c r="H104" s="190"/>
      <c r="I104" s="231"/>
      <c r="J104" s="231"/>
      <c r="K104" s="191">
        <f>SUM(K94:K103)</f>
        <v>22296.559999999998</v>
      </c>
      <c r="L104" s="192">
        <f>SUM(L94:L103)</f>
        <v>4.5821428456196772E-2</v>
      </c>
    </row>
    <row r="105" spans="1:16" ht="5.0999999999999996" customHeight="1" x14ac:dyDescent="0.2"/>
    <row r="106" spans="1:16" s="44" customFormat="1" ht="20.100000000000001" customHeight="1" x14ac:dyDescent="0.2">
      <c r="B106" s="226" t="s">
        <v>12</v>
      </c>
      <c r="C106" s="227"/>
      <c r="D106" s="227"/>
      <c r="E106" s="227"/>
      <c r="F106" s="227"/>
      <c r="G106" s="227"/>
      <c r="H106" s="227"/>
      <c r="I106" s="227"/>
      <c r="J106" s="228"/>
      <c r="K106" s="66">
        <f>SUM(K12:K105)/2</f>
        <v>486596.78999999992</v>
      </c>
      <c r="L106" s="67">
        <f>SUM(L12:L105)/2</f>
        <v>1</v>
      </c>
    </row>
    <row r="107" spans="1:16" x14ac:dyDescent="0.2">
      <c r="A107" s="84"/>
      <c r="B107" s="84"/>
      <c r="C107" s="84"/>
      <c r="D107" s="84"/>
      <c r="E107" s="84"/>
      <c r="F107" s="84"/>
      <c r="G107" s="84"/>
      <c r="H107" s="84"/>
      <c r="I107" s="84"/>
      <c r="J107" s="84"/>
      <c r="K107" s="84"/>
      <c r="L107" s="84"/>
    </row>
    <row r="108" spans="1:16" ht="14.1" customHeight="1" x14ac:dyDescent="0.2">
      <c r="A108" s="84"/>
      <c r="B108" s="84"/>
      <c r="C108" s="84"/>
      <c r="D108" s="86" t="s">
        <v>16</v>
      </c>
      <c r="E108" s="84"/>
      <c r="F108" s="84"/>
      <c r="G108" s="84"/>
      <c r="H108" s="84"/>
      <c r="I108" s="84"/>
      <c r="J108" s="84"/>
      <c r="K108" s="84"/>
      <c r="L108" s="84"/>
    </row>
    <row r="109" spans="1:16" ht="5.0999999999999996" customHeight="1" x14ac:dyDescent="0.2">
      <c r="A109" s="84"/>
      <c r="B109" s="84"/>
      <c r="C109" s="84"/>
      <c r="D109" s="84"/>
      <c r="E109" s="84"/>
      <c r="F109" s="84"/>
      <c r="G109" s="84"/>
      <c r="H109" s="84"/>
      <c r="I109" s="84"/>
      <c r="J109" s="84"/>
      <c r="K109" s="84"/>
      <c r="L109" s="84"/>
    </row>
    <row r="110" spans="1:16" ht="14.1" customHeight="1" x14ac:dyDescent="0.2">
      <c r="A110" s="84"/>
      <c r="B110" s="84"/>
      <c r="C110" s="87" t="str">
        <f>C13</f>
        <v>01</v>
      </c>
      <c r="D110" s="86" t="str">
        <f>D13</f>
        <v>SERVIÇOS PRELIMINARES</v>
      </c>
      <c r="E110" s="84"/>
      <c r="F110" s="84"/>
      <c r="G110" s="84"/>
      <c r="H110" s="84"/>
      <c r="I110" s="84"/>
      <c r="J110" s="84"/>
      <c r="K110" s="85">
        <f>K25</f>
        <v>17506.21</v>
      </c>
      <c r="L110" s="88">
        <f>L25</f>
        <v>3.5976830015668627E-2</v>
      </c>
    </row>
    <row r="111" spans="1:16" ht="14.1" customHeight="1" x14ac:dyDescent="0.2">
      <c r="A111" s="84"/>
      <c r="B111" s="84"/>
      <c r="C111" s="87" t="str">
        <f>C27</f>
        <v>02</v>
      </c>
      <c r="D111" s="86" t="str">
        <f>D27</f>
        <v>IMPLANTAÇÃO ASFÁLTICA</v>
      </c>
      <c r="E111" s="84"/>
      <c r="F111" s="84"/>
      <c r="G111" s="84"/>
      <c r="H111" s="84"/>
      <c r="I111" s="84"/>
      <c r="J111" s="84"/>
      <c r="K111" s="85">
        <f>K65</f>
        <v>92637.249999999985</v>
      </c>
      <c r="L111" s="88">
        <f>L65</f>
        <v>0.19037784856739398</v>
      </c>
    </row>
    <row r="112" spans="1:16" ht="14.1" customHeight="1" x14ac:dyDescent="0.2">
      <c r="A112" s="84"/>
      <c r="B112" s="84"/>
      <c r="C112" s="87" t="str">
        <f>C67</f>
        <v>03</v>
      </c>
      <c r="D112" s="86" t="str">
        <f>D67</f>
        <v>SERVIÇOS COMPLEMENTARES</v>
      </c>
      <c r="E112" s="84"/>
      <c r="F112" s="84"/>
      <c r="G112" s="84"/>
      <c r="H112" s="84"/>
      <c r="I112" s="84"/>
      <c r="J112" s="84"/>
      <c r="K112" s="85">
        <f>K72</f>
        <v>28395.42</v>
      </c>
      <c r="L112" s="88">
        <f>L72</f>
        <v>5.8355132182437958E-2</v>
      </c>
    </row>
    <row r="113" spans="1:12" ht="14.1" customHeight="1" x14ac:dyDescent="0.2">
      <c r="A113" s="84"/>
      <c r="B113" s="84"/>
      <c r="C113" s="87" t="str">
        <f>C74</f>
        <v>04</v>
      </c>
      <c r="D113" s="86" t="str">
        <f>D74</f>
        <v>PASSEIO COM ACESSIBILIDADE</v>
      </c>
      <c r="E113" s="84"/>
      <c r="F113" s="84"/>
      <c r="G113" s="84"/>
      <c r="H113" s="84"/>
      <c r="I113" s="84"/>
      <c r="J113" s="84"/>
      <c r="K113" s="85">
        <f>K85</f>
        <v>303270.61</v>
      </c>
      <c r="L113" s="88">
        <f>L85</f>
        <v>0.62324827502458469</v>
      </c>
    </row>
    <row r="114" spans="1:12" ht="14.1" customHeight="1" x14ac:dyDescent="0.2">
      <c r="A114" s="84"/>
      <c r="B114" s="84"/>
      <c r="C114" s="87" t="str">
        <f>C87</f>
        <v>05</v>
      </c>
      <c r="D114" s="86" t="str">
        <f>D87</f>
        <v>SINALIZAÇÃO</v>
      </c>
      <c r="E114" s="84"/>
      <c r="F114" s="84"/>
      <c r="G114" s="84"/>
      <c r="H114" s="84"/>
      <c r="I114" s="84"/>
      <c r="J114" s="84"/>
      <c r="K114" s="85">
        <f>K92</f>
        <v>22490.74</v>
      </c>
      <c r="L114" s="88">
        <f>L92</f>
        <v>4.6220485753718198E-2</v>
      </c>
    </row>
    <row r="115" spans="1:12" ht="14.1" customHeight="1" x14ac:dyDescent="0.2">
      <c r="A115" s="84"/>
      <c r="B115" s="84"/>
      <c r="C115" s="87" t="str">
        <f>C94</f>
        <v>06</v>
      </c>
      <c r="D115" s="86" t="str">
        <f>D94</f>
        <v>ADMINISTRAÇÃO LOCAL</v>
      </c>
      <c r="E115" s="84"/>
      <c r="F115" s="84"/>
      <c r="G115" s="84"/>
      <c r="H115" s="84"/>
      <c r="I115" s="84"/>
      <c r="J115" s="84"/>
      <c r="K115" s="85">
        <f>K104</f>
        <v>22296.559999999998</v>
      </c>
      <c r="L115" s="88">
        <f>L104</f>
        <v>4.5821428456196772E-2</v>
      </c>
    </row>
    <row r="116" spans="1:12" ht="5.0999999999999996" customHeight="1" x14ac:dyDescent="0.2">
      <c r="A116" s="84"/>
      <c r="B116" s="84"/>
      <c r="C116" s="84"/>
      <c r="D116" s="84"/>
      <c r="E116" s="84"/>
      <c r="F116" s="84"/>
      <c r="G116" s="84"/>
      <c r="H116" s="84"/>
      <c r="I116" s="84"/>
      <c r="J116" s="84"/>
      <c r="K116" s="84"/>
      <c r="L116" s="84"/>
    </row>
    <row r="117" spans="1:12" s="84" customFormat="1" ht="15" customHeight="1" x14ac:dyDescent="0.2">
      <c r="K117" s="85">
        <f>SUM(K109:K116)</f>
        <v>486596.79</v>
      </c>
      <c r="L117" s="88">
        <f>SUM(L109:L116)</f>
        <v>1.0000000000000002</v>
      </c>
    </row>
    <row r="118" spans="1:12" x14ac:dyDescent="0.2">
      <c r="A118" s="84"/>
      <c r="B118" s="84"/>
      <c r="C118" s="84"/>
      <c r="D118" s="84"/>
      <c r="E118" s="84"/>
      <c r="F118" s="84"/>
      <c r="G118" s="84"/>
      <c r="H118" s="84"/>
      <c r="I118" s="84"/>
      <c r="J118" s="84"/>
      <c r="K118" s="84"/>
      <c r="L118" s="84"/>
    </row>
  </sheetData>
  <mergeCells count="28">
    <mergeCell ref="B106:J106"/>
    <mergeCell ref="I25:J25"/>
    <mergeCell ref="I85:J85"/>
    <mergeCell ref="E65:G65"/>
    <mergeCell ref="E25:G25"/>
    <mergeCell ref="E85:G85"/>
    <mergeCell ref="E104:G104"/>
    <mergeCell ref="E72:G72"/>
    <mergeCell ref="I104:J104"/>
    <mergeCell ref="I65:J65"/>
    <mergeCell ref="I72:J72"/>
    <mergeCell ref="E92:G92"/>
    <mergeCell ref="I92:J92"/>
    <mergeCell ref="B10:B11"/>
    <mergeCell ref="L10:L11"/>
    <mergeCell ref="K2:L2"/>
    <mergeCell ref="H2:J2"/>
    <mergeCell ref="H3:J3"/>
    <mergeCell ref="H4:J5"/>
    <mergeCell ref="K3:L5"/>
    <mergeCell ref="H6:I6"/>
    <mergeCell ref="B8:L8"/>
    <mergeCell ref="C10:C11"/>
    <mergeCell ref="D10:D11"/>
    <mergeCell ref="E10:E11"/>
    <mergeCell ref="F10:F11"/>
    <mergeCell ref="G10:G11"/>
    <mergeCell ref="H10:K10"/>
  </mergeCells>
  <phoneticPr fontId="31" type="noConversion"/>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rowBreaks count="3" manualBreakCount="3">
    <brk id="37" min="1" max="11" man="1"/>
    <brk id="58" min="1" max="11" man="1"/>
    <brk id="85" min="1" max="11" man="1"/>
  </rowBreaks>
  <legacyDrawingHF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3"/>
  <dimension ref="B1:CJ312"/>
  <sheetViews>
    <sheetView showGridLines="0" view="pageBreakPreview" topLeftCell="A19" zoomScaleNormal="100" zoomScaleSheetLayoutView="100" workbookViewId="0">
      <selection activeCell="F51" sqref="F51"/>
    </sheetView>
  </sheetViews>
  <sheetFormatPr defaultColWidth="10.28515625" defaultRowHeight="12.75" x14ac:dyDescent="0.2"/>
  <cols>
    <col min="1" max="1" width="1.7109375" style="94" customWidth="1"/>
    <col min="2" max="2" width="2.28515625" style="94" customWidth="1"/>
    <col min="3" max="3" width="35.85546875" style="94" customWidth="1"/>
    <col min="4" max="7" width="14.7109375" style="94" customWidth="1"/>
    <col min="8" max="8" width="2.28515625" style="94" customWidth="1"/>
    <col min="9" max="9" width="3.28515625" style="94" customWidth="1"/>
    <col min="10" max="10" width="23.140625" style="94" hidden="1" customWidth="1"/>
    <col min="11" max="11" width="47.7109375" style="94" hidden="1" customWidth="1"/>
    <col min="12" max="13" width="10.28515625" style="94"/>
    <col min="14" max="14" width="18.7109375" style="94" bestFit="1" customWidth="1"/>
    <col min="15" max="15" width="0" style="94" hidden="1" customWidth="1"/>
    <col min="16" max="16" width="15.42578125" style="94" hidden="1" customWidth="1"/>
    <col min="17" max="17" width="41.7109375" style="94" hidden="1" customWidth="1"/>
    <col min="18" max="18" width="18.85546875" style="94" hidden="1" customWidth="1"/>
    <col min="19" max="25" width="11.7109375" style="94" hidden="1" customWidth="1"/>
    <col min="26" max="38" width="0" style="94" hidden="1" customWidth="1"/>
    <col min="39" max="39" width="13.85546875" style="94" hidden="1" customWidth="1"/>
    <col min="40" max="40" width="38.7109375" style="94" hidden="1" customWidth="1"/>
    <col min="41" max="41" width="11.85546875" style="94" hidden="1" customWidth="1"/>
    <col min="42" max="42" width="8.7109375" style="94" hidden="1" customWidth="1"/>
    <col min="43" max="43" width="11.85546875" style="94" hidden="1" customWidth="1"/>
    <col min="44" max="44" width="9.28515625" style="94" hidden="1" customWidth="1"/>
    <col min="45" max="45" width="11.85546875" style="94" hidden="1" customWidth="1"/>
    <col min="46" max="46" width="7.28515625" style="94" hidden="1" customWidth="1"/>
    <col min="47" max="72" width="10.28515625" style="94"/>
    <col min="73" max="73" width="22.7109375" style="94" bestFit="1" customWidth="1"/>
    <col min="74" max="74" width="29" style="94" customWidth="1"/>
    <col min="75" max="75" width="9.5703125" style="94" customWidth="1"/>
    <col min="76" max="76" width="11.5703125" style="94" customWidth="1"/>
    <col min="77" max="77" width="10.7109375" style="94" customWidth="1"/>
    <col min="78" max="78" width="10.28515625" style="94"/>
    <col min="79" max="82" width="2.42578125" style="94" customWidth="1"/>
    <col min="83" max="83" width="4.85546875" style="94" bestFit="1" customWidth="1"/>
    <col min="84" max="84" width="29.42578125" style="94" bestFit="1" customWidth="1"/>
    <col min="85" max="85" width="17" style="94" bestFit="1" customWidth="1"/>
    <col min="86" max="86" width="14.42578125" style="94" bestFit="1" customWidth="1"/>
    <col min="87" max="87" width="17" style="94" bestFit="1" customWidth="1"/>
    <col min="88" max="88" width="8.85546875" style="94" customWidth="1"/>
    <col min="89" max="98" width="2.42578125" style="94" customWidth="1"/>
    <col min="99" max="16384" width="10.28515625" style="94"/>
  </cols>
  <sheetData>
    <row r="1" spans="2:12" ht="5.0999999999999996" customHeight="1" thickBot="1" x14ac:dyDescent="0.25"/>
    <row r="2" spans="2:12" ht="21" thickBot="1" x14ac:dyDescent="0.25">
      <c r="B2" s="95"/>
      <c r="C2" s="254" t="s">
        <v>151</v>
      </c>
      <c r="D2" s="254"/>
      <c r="E2" s="254"/>
      <c r="F2" s="254"/>
      <c r="G2" s="254"/>
      <c r="H2" s="96"/>
    </row>
    <row r="3" spans="2:12" ht="3.75" customHeight="1" thickTop="1" thickBot="1" x14ac:dyDescent="0.25">
      <c r="B3" s="97"/>
      <c r="C3" s="98"/>
      <c r="D3" s="98"/>
      <c r="E3" s="98"/>
      <c r="F3" s="98"/>
      <c r="G3" s="98"/>
      <c r="H3" s="99"/>
    </row>
    <row r="4" spans="2:12" ht="3.75" customHeight="1" x14ac:dyDescent="0.2">
      <c r="B4" s="100"/>
      <c r="C4" s="101"/>
      <c r="D4" s="101"/>
      <c r="E4" s="101"/>
      <c r="F4" s="101"/>
      <c r="G4" s="101"/>
      <c r="H4" s="102"/>
    </row>
    <row r="5" spans="2:12" ht="14.25" customHeight="1" x14ac:dyDescent="0.2">
      <c r="B5" s="97"/>
      <c r="C5" s="255" t="s">
        <v>152</v>
      </c>
      <c r="D5" s="255"/>
      <c r="E5" s="255"/>
      <c r="F5" s="255"/>
      <c r="G5" s="255"/>
      <c r="H5" s="99"/>
    </row>
    <row r="6" spans="2:12" ht="3.75" customHeight="1" x14ac:dyDescent="0.2">
      <c r="B6" s="97"/>
      <c r="C6" s="103"/>
      <c r="D6" s="103"/>
      <c r="E6" s="103"/>
      <c r="F6" s="103"/>
      <c r="G6" s="103"/>
      <c r="H6" s="99"/>
    </row>
    <row r="7" spans="2:12" ht="38.25" customHeight="1" x14ac:dyDescent="0.2">
      <c r="B7" s="97"/>
      <c r="C7" s="104" t="s">
        <v>153</v>
      </c>
      <c r="D7" s="256" t="s">
        <v>154</v>
      </c>
      <c r="E7" s="257"/>
      <c r="F7" s="257"/>
      <c r="G7" s="258"/>
      <c r="H7" s="99"/>
    </row>
    <row r="8" spans="2:12" x14ac:dyDescent="0.2">
      <c r="B8" s="97"/>
      <c r="C8" s="103"/>
      <c r="H8" s="99"/>
    </row>
    <row r="9" spans="2:12" x14ac:dyDescent="0.2">
      <c r="B9" s="97"/>
      <c r="C9" s="104" t="s">
        <v>155</v>
      </c>
      <c r="G9" s="105" t="s">
        <v>156</v>
      </c>
      <c r="H9" s="99"/>
      <c r="L9" s="106" t="str">
        <f>IF(G9="","PREENCHER SE A OBRA POSSUI FOLHA DE PAGAMENTO DESONERADA","")</f>
        <v/>
      </c>
    </row>
    <row r="10" spans="2:12" x14ac:dyDescent="0.2">
      <c r="B10" s="97"/>
      <c r="C10" s="107" t="s">
        <v>157</v>
      </c>
      <c r="H10" s="99"/>
    </row>
    <row r="11" spans="2:12" x14ac:dyDescent="0.2">
      <c r="B11" s="97"/>
      <c r="C11" s="103"/>
      <c r="D11" s="103"/>
      <c r="E11" s="103"/>
      <c r="F11" s="108"/>
      <c r="G11" s="103"/>
      <c r="H11" s="99"/>
    </row>
    <row r="12" spans="2:12" x14ac:dyDescent="0.2">
      <c r="B12" s="97"/>
      <c r="C12" s="103" t="s">
        <v>158</v>
      </c>
      <c r="D12" s="103"/>
      <c r="E12" s="103"/>
      <c r="F12" s="108"/>
      <c r="G12" s="103"/>
      <c r="H12" s="99"/>
    </row>
    <row r="13" spans="2:12" ht="81" customHeight="1" x14ac:dyDescent="0.2">
      <c r="B13" s="97"/>
      <c r="C13" s="259" t="str">
        <f>VLOOKUP(BV295,BW257:BX262,2,0)</f>
        <v>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v>
      </c>
      <c r="D13" s="260"/>
      <c r="E13" s="260"/>
      <c r="F13" s="260"/>
      <c r="G13" s="261"/>
      <c r="H13" s="99"/>
    </row>
    <row r="14" spans="2:12" ht="3.75" customHeight="1" x14ac:dyDescent="0.2">
      <c r="B14" s="97"/>
      <c r="C14" s="103"/>
      <c r="D14" s="103"/>
      <c r="E14" s="103"/>
      <c r="F14" s="108"/>
      <c r="G14" s="103"/>
      <c r="H14" s="99"/>
    </row>
    <row r="15" spans="2:12" x14ac:dyDescent="0.2">
      <c r="B15" s="97"/>
      <c r="C15" s="103" t="s">
        <v>159</v>
      </c>
      <c r="D15" s="103"/>
      <c r="E15" s="103"/>
      <c r="F15" s="108"/>
      <c r="G15" s="103"/>
      <c r="H15" s="99"/>
    </row>
    <row r="16" spans="2:12" ht="3.75" customHeight="1" x14ac:dyDescent="0.2">
      <c r="B16" s="97"/>
      <c r="C16" s="103"/>
      <c r="D16" s="103"/>
      <c r="E16" s="103"/>
      <c r="F16" s="108"/>
      <c r="G16" s="103"/>
      <c r="H16" s="99"/>
    </row>
    <row r="17" spans="2:49" x14ac:dyDescent="0.2">
      <c r="B17" s="97"/>
      <c r="C17" s="103" t="s">
        <v>160</v>
      </c>
      <c r="D17" s="103"/>
      <c r="E17" s="103"/>
      <c r="F17" s="262" t="s">
        <v>161</v>
      </c>
      <c r="G17" s="262"/>
      <c r="H17" s="99"/>
      <c r="L17" s="251" t="str">
        <f>IF(F17="LUCRO REAL","PARA CÁLCULO DO IMPOSTO PREENCHER O % ADOTADO DE LUCRO NO CÁLCULO DO BDI - CELULA F40","")</f>
        <v/>
      </c>
      <c r="M17" s="251"/>
      <c r="N17" s="251"/>
      <c r="O17" s="251"/>
      <c r="P17" s="251"/>
      <c r="Q17" s="251"/>
      <c r="R17" s="251"/>
      <c r="S17" s="251"/>
      <c r="T17" s="251"/>
      <c r="U17" s="251"/>
      <c r="V17" s="251"/>
      <c r="W17" s="251"/>
      <c r="X17" s="251"/>
      <c r="Y17" s="251"/>
      <c r="Z17" s="251"/>
      <c r="AA17" s="251"/>
      <c r="AB17" s="251"/>
      <c r="AC17" s="251"/>
      <c r="AD17" s="251"/>
      <c r="AE17" s="251"/>
      <c r="AF17" s="251"/>
      <c r="AG17" s="251"/>
      <c r="AH17" s="251"/>
      <c r="AI17" s="251"/>
      <c r="AJ17" s="251"/>
      <c r="AK17" s="251"/>
      <c r="AL17" s="251"/>
      <c r="AM17" s="251"/>
      <c r="AN17" s="251"/>
      <c r="AO17" s="251"/>
      <c r="AP17" s="251"/>
      <c r="AQ17" s="251"/>
      <c r="AR17" s="251"/>
      <c r="AS17" s="251"/>
      <c r="AT17" s="251"/>
      <c r="AU17" s="251"/>
      <c r="AV17" s="251"/>
      <c r="AW17" s="251"/>
    </row>
    <row r="18" spans="2:49" ht="3.75" customHeight="1" x14ac:dyDescent="0.2">
      <c r="B18" s="97"/>
      <c r="C18" s="103"/>
      <c r="D18" s="103"/>
      <c r="E18" s="103"/>
      <c r="F18" s="109"/>
      <c r="G18" s="109"/>
      <c r="H18" s="99"/>
      <c r="L18" s="251"/>
      <c r="M18" s="251"/>
      <c r="N18" s="251"/>
      <c r="O18" s="251"/>
      <c r="P18" s="251"/>
      <c r="Q18" s="251"/>
      <c r="R18" s="251"/>
      <c r="S18" s="251"/>
      <c r="T18" s="251"/>
      <c r="U18" s="251"/>
      <c r="V18" s="251"/>
      <c r="W18" s="251"/>
      <c r="X18" s="251"/>
      <c r="Y18" s="251"/>
      <c r="Z18" s="251"/>
      <c r="AA18" s="251"/>
      <c r="AB18" s="251"/>
      <c r="AC18" s="251"/>
      <c r="AD18" s="251"/>
      <c r="AE18" s="251"/>
      <c r="AF18" s="251"/>
      <c r="AG18" s="251"/>
      <c r="AH18" s="251"/>
      <c r="AI18" s="251"/>
      <c r="AJ18" s="251"/>
      <c r="AK18" s="251"/>
      <c r="AL18" s="251"/>
      <c r="AM18" s="251"/>
      <c r="AN18" s="251"/>
      <c r="AO18" s="251"/>
      <c r="AP18" s="251"/>
      <c r="AQ18" s="251"/>
      <c r="AR18" s="251"/>
      <c r="AS18" s="251"/>
      <c r="AT18" s="251"/>
      <c r="AU18" s="251"/>
      <c r="AV18" s="251"/>
      <c r="AW18" s="251"/>
    </row>
    <row r="19" spans="2:49" x14ac:dyDescent="0.2">
      <c r="B19" s="97"/>
      <c r="C19" s="109" t="s">
        <v>162</v>
      </c>
      <c r="D19" s="109" t="s">
        <v>163</v>
      </c>
      <c r="E19" s="252" t="s">
        <v>164</v>
      </c>
      <c r="F19" s="252"/>
      <c r="G19" s="252"/>
      <c r="H19" s="99"/>
      <c r="L19" s="251"/>
      <c r="M19" s="251"/>
      <c r="N19" s="251"/>
      <c r="O19" s="251"/>
      <c r="P19" s="251"/>
      <c r="Q19" s="251"/>
      <c r="R19" s="251"/>
      <c r="S19" s="251"/>
      <c r="T19" s="251"/>
      <c r="U19" s="251"/>
      <c r="V19" s="251"/>
      <c r="W19" s="251"/>
      <c r="X19" s="251"/>
      <c r="Y19" s="251"/>
      <c r="Z19" s="251"/>
      <c r="AA19" s="251"/>
      <c r="AB19" s="251"/>
      <c r="AC19" s="251"/>
      <c r="AD19" s="251"/>
      <c r="AE19" s="251"/>
      <c r="AF19" s="251"/>
      <c r="AG19" s="251"/>
      <c r="AH19" s="251"/>
      <c r="AI19" s="251"/>
      <c r="AJ19" s="251"/>
      <c r="AK19" s="251"/>
      <c r="AL19" s="251"/>
      <c r="AM19" s="251"/>
      <c r="AN19" s="251"/>
      <c r="AO19" s="251"/>
      <c r="AP19" s="251"/>
      <c r="AQ19" s="251"/>
      <c r="AR19" s="251"/>
      <c r="AS19" s="251"/>
      <c r="AT19" s="251"/>
      <c r="AU19" s="251"/>
      <c r="AV19" s="251"/>
      <c r="AW19" s="251"/>
    </row>
    <row r="20" spans="2:49" x14ac:dyDescent="0.2">
      <c r="B20" s="97"/>
      <c r="C20" s="110" t="s">
        <v>94</v>
      </c>
      <c r="D20" s="111">
        <f>VLOOKUP($F$17,$CF$266:$CI$267,2,0)</f>
        <v>6.4999999999999997E-3</v>
      </c>
      <c r="E20" s="255" t="str">
        <f>VLOOKUP(F17,CF266:CI267,4,0)</f>
        <v>RECEITA BRUTA (VALOR DA NOTA)</v>
      </c>
      <c r="F20" s="255"/>
      <c r="G20" s="255"/>
      <c r="H20" s="99"/>
    </row>
    <row r="21" spans="2:49" x14ac:dyDescent="0.2">
      <c r="B21" s="97"/>
      <c r="C21" s="110" t="s">
        <v>95</v>
      </c>
      <c r="D21" s="111">
        <f>VLOOKUP($F$17,$CF$266:$CI$267,3,0)</f>
        <v>0.03</v>
      </c>
      <c r="E21" s="255"/>
      <c r="F21" s="255"/>
      <c r="G21" s="255"/>
      <c r="H21" s="99"/>
    </row>
    <row r="22" spans="2:49" x14ac:dyDescent="0.2">
      <c r="B22" s="97"/>
      <c r="C22" s="103"/>
      <c r="D22" s="103"/>
      <c r="E22" s="103"/>
      <c r="F22" s="109"/>
      <c r="G22" s="109"/>
      <c r="H22" s="99"/>
    </row>
    <row r="23" spans="2:49" x14ac:dyDescent="0.2">
      <c r="B23" s="97"/>
      <c r="C23" s="103" t="s">
        <v>165</v>
      </c>
      <c r="D23" s="103"/>
      <c r="E23" s="263" t="s">
        <v>166</v>
      </c>
      <c r="F23" s="263"/>
      <c r="G23" s="263"/>
      <c r="H23" s="99"/>
    </row>
    <row r="24" spans="2:49" x14ac:dyDescent="0.2">
      <c r="B24" s="97"/>
      <c r="C24" s="112">
        <v>0.05</v>
      </c>
      <c r="D24" s="113"/>
      <c r="E24" s="264">
        <v>0.6</v>
      </c>
      <c r="F24" s="264"/>
      <c r="G24" s="264"/>
      <c r="H24" s="99"/>
    </row>
    <row r="25" spans="2:49" ht="3.75" customHeight="1" x14ac:dyDescent="0.2">
      <c r="B25" s="97"/>
      <c r="D25" s="103"/>
      <c r="E25" s="103" t="s">
        <v>167</v>
      </c>
      <c r="F25" s="103"/>
      <c r="G25" s="103"/>
      <c r="H25" s="99"/>
    </row>
    <row r="26" spans="2:49" x14ac:dyDescent="0.2">
      <c r="B26" s="97"/>
      <c r="C26" s="103" t="s">
        <v>168</v>
      </c>
      <c r="D26" s="111">
        <f>+C24*E24</f>
        <v>0.03</v>
      </c>
      <c r="E26" s="114"/>
      <c r="F26" s="115"/>
      <c r="H26" s="99"/>
    </row>
    <row r="27" spans="2:49" ht="3.75" customHeight="1" x14ac:dyDescent="0.2">
      <c r="B27" s="97"/>
      <c r="D27" s="111"/>
      <c r="H27" s="99"/>
    </row>
    <row r="28" spans="2:49" ht="15.75" x14ac:dyDescent="0.25">
      <c r="B28" s="97"/>
      <c r="E28" s="239" t="s">
        <v>169</v>
      </c>
      <c r="F28" s="239"/>
      <c r="G28" s="116">
        <f>VLOOKUP(F17,CF266:CJ267,5,0)</f>
        <v>6.6500000000000004E-2</v>
      </c>
      <c r="H28" s="99"/>
    </row>
    <row r="29" spans="2:49" ht="3.75" customHeight="1" x14ac:dyDescent="0.2">
      <c r="B29" s="97"/>
      <c r="D29" s="111"/>
      <c r="H29" s="99"/>
    </row>
    <row r="30" spans="2:49" ht="26.25" customHeight="1" x14ac:dyDescent="0.2">
      <c r="B30" s="97"/>
      <c r="C30" s="265" t="s">
        <v>170</v>
      </c>
      <c r="D30" s="265"/>
      <c r="E30" s="265"/>
      <c r="F30" s="265"/>
      <c r="G30" s="265"/>
      <c r="H30" s="99"/>
    </row>
    <row r="31" spans="2:49" ht="3.75" customHeight="1" thickBot="1" x14ac:dyDescent="0.25">
      <c r="B31" s="117"/>
      <c r="C31" s="253"/>
      <c r="D31" s="253"/>
      <c r="E31" s="253"/>
      <c r="F31" s="253"/>
      <c r="G31" s="253"/>
      <c r="H31" s="118"/>
    </row>
    <row r="32" spans="2:49" ht="6.75" customHeight="1" thickBot="1" x14ac:dyDescent="0.25">
      <c r="B32" s="97"/>
      <c r="H32" s="99"/>
    </row>
    <row r="33" spans="2:10" x14ac:dyDescent="0.2">
      <c r="B33" s="100"/>
      <c r="C33" s="119"/>
      <c r="D33" s="119"/>
      <c r="E33" s="119"/>
      <c r="F33" s="119"/>
      <c r="G33" s="119"/>
      <c r="H33" s="102"/>
    </row>
    <row r="34" spans="2:10" x14ac:dyDescent="0.2">
      <c r="B34" s="97"/>
      <c r="C34" s="239" t="s">
        <v>171</v>
      </c>
      <c r="D34" s="239"/>
      <c r="E34" s="239"/>
      <c r="F34" s="239"/>
      <c r="G34" s="239"/>
      <c r="H34" s="99"/>
    </row>
    <row r="35" spans="2:10" x14ac:dyDescent="0.2">
      <c r="B35" s="97"/>
      <c r="C35" s="239"/>
      <c r="D35" s="239"/>
      <c r="E35" s="239"/>
      <c r="F35" s="239"/>
      <c r="G35" s="239"/>
      <c r="H35" s="99"/>
    </row>
    <row r="36" spans="2:10" x14ac:dyDescent="0.2">
      <c r="B36" s="97"/>
      <c r="C36" s="120" t="s">
        <v>172</v>
      </c>
      <c r="D36" s="120" t="s">
        <v>92</v>
      </c>
      <c r="E36" s="120" t="s">
        <v>91</v>
      </c>
      <c r="F36" s="120" t="s">
        <v>90</v>
      </c>
      <c r="G36" s="121" t="s">
        <v>173</v>
      </c>
      <c r="H36" s="99"/>
      <c r="J36" s="122" t="s">
        <v>174</v>
      </c>
    </row>
    <row r="37" spans="2:10" x14ac:dyDescent="0.2">
      <c r="B37" s="97"/>
      <c r="C37" s="123" t="s">
        <v>175</v>
      </c>
      <c r="D37" s="124">
        <f t="shared" ref="D37:F41" si="0">BW296</f>
        <v>3.7999999999999999E-2</v>
      </c>
      <c r="E37" s="124">
        <f t="shared" si="0"/>
        <v>4.0099999999999997E-2</v>
      </c>
      <c r="F37" s="124">
        <f t="shared" si="0"/>
        <v>4.6699999999999998E-2</v>
      </c>
      <c r="G37" s="125">
        <v>4.0099999999999997E-2</v>
      </c>
      <c r="H37" s="126"/>
      <c r="I37" s="127"/>
      <c r="J37" s="127">
        <f>TRUNC(G37,4)</f>
        <v>4.0099999999999997E-2</v>
      </c>
    </row>
    <row r="38" spans="2:10" ht="23.45" customHeight="1" x14ac:dyDescent="0.2">
      <c r="B38" s="97"/>
      <c r="C38" s="123" t="s">
        <v>176</v>
      </c>
      <c r="D38" s="124">
        <f t="shared" si="0"/>
        <v>3.2000000000000002E-3</v>
      </c>
      <c r="E38" s="124">
        <f t="shared" si="0"/>
        <v>4.0000000000000001E-3</v>
      </c>
      <c r="F38" s="124">
        <f t="shared" si="0"/>
        <v>7.4000000000000003E-3</v>
      </c>
      <c r="G38" s="125">
        <v>4.0000000000000001E-3</v>
      </c>
      <c r="H38" s="126"/>
      <c r="I38" s="127"/>
      <c r="J38" s="127">
        <f>TRUNC(G38,4)</f>
        <v>4.0000000000000001E-3</v>
      </c>
    </row>
    <row r="39" spans="2:10" x14ac:dyDescent="0.2">
      <c r="B39" s="97"/>
      <c r="C39" s="123" t="s">
        <v>177</v>
      </c>
      <c r="D39" s="124">
        <f t="shared" si="0"/>
        <v>5.0000000000000001E-3</v>
      </c>
      <c r="E39" s="124">
        <f t="shared" si="0"/>
        <v>5.5999999999999999E-3</v>
      </c>
      <c r="F39" s="124">
        <f t="shared" si="0"/>
        <v>9.7000000000000003E-3</v>
      </c>
      <c r="G39" s="125">
        <v>5.5999999999999999E-3</v>
      </c>
      <c r="H39" s="126"/>
      <c r="I39" s="127"/>
      <c r="J39" s="127">
        <f>TRUNC(G39,4)</f>
        <v>5.5999999999999999E-3</v>
      </c>
    </row>
    <row r="40" spans="2:10" x14ac:dyDescent="0.2">
      <c r="B40" s="97"/>
      <c r="C40" s="123" t="s">
        <v>178</v>
      </c>
      <c r="D40" s="124">
        <f t="shared" si="0"/>
        <v>1.0200000000000001E-2</v>
      </c>
      <c r="E40" s="124">
        <f t="shared" si="0"/>
        <v>1.11E-2</v>
      </c>
      <c r="F40" s="124">
        <f t="shared" si="0"/>
        <v>1.21E-2</v>
      </c>
      <c r="G40" s="125">
        <v>1.11E-2</v>
      </c>
      <c r="H40" s="126"/>
      <c r="I40" s="127"/>
      <c r="J40" s="127">
        <f>TRUNC(G40,4)</f>
        <v>1.11E-2</v>
      </c>
    </row>
    <row r="41" spans="2:10" x14ac:dyDescent="0.2">
      <c r="B41" s="97"/>
      <c r="C41" s="123" t="s">
        <v>179</v>
      </c>
      <c r="D41" s="124">
        <f t="shared" si="0"/>
        <v>6.6400000000000001E-2</v>
      </c>
      <c r="E41" s="124">
        <f t="shared" si="0"/>
        <v>7.2999999999999995E-2</v>
      </c>
      <c r="F41" s="124">
        <f t="shared" si="0"/>
        <v>8.6900000000000005E-2</v>
      </c>
      <c r="G41" s="125">
        <v>7.2999999999999995E-2</v>
      </c>
      <c r="H41" s="126"/>
      <c r="I41" s="127"/>
      <c r="J41" s="127">
        <f>TRUNC(G41,4)</f>
        <v>7.2999999999999995E-2</v>
      </c>
    </row>
    <row r="42" spans="2:10" ht="3.75" customHeight="1" x14ac:dyDescent="0.2">
      <c r="B42" s="97"/>
      <c r="C42" s="123"/>
      <c r="D42" s="124"/>
      <c r="E42" s="124"/>
      <c r="F42" s="124"/>
      <c r="H42" s="126"/>
      <c r="I42" s="127"/>
    </row>
    <row r="43" spans="2:10" x14ac:dyDescent="0.2">
      <c r="B43" s="97"/>
      <c r="C43" s="128" t="s">
        <v>180</v>
      </c>
      <c r="D43" s="124"/>
      <c r="E43" s="124"/>
      <c r="F43" s="124"/>
      <c r="G43" s="129">
        <f>G28</f>
        <v>6.6500000000000004E-2</v>
      </c>
      <c r="H43" s="126"/>
      <c r="I43" s="127"/>
      <c r="J43" s="130">
        <f>TRUNC(G43,5)</f>
        <v>6.6500000000000004E-2</v>
      </c>
    </row>
    <row r="44" spans="2:10" ht="3.75" customHeight="1" x14ac:dyDescent="0.2">
      <c r="B44" s="97"/>
      <c r="C44" s="128"/>
      <c r="D44" s="124"/>
      <c r="E44" s="124"/>
      <c r="F44" s="124"/>
      <c r="G44" s="129"/>
      <c r="H44" s="126"/>
      <c r="I44" s="127"/>
      <c r="J44" s="130"/>
    </row>
    <row r="45" spans="2:10" x14ac:dyDescent="0.2">
      <c r="B45" s="97"/>
      <c r="H45" s="126"/>
      <c r="I45" s="127"/>
    </row>
    <row r="46" spans="2:10" x14ac:dyDescent="0.2">
      <c r="B46" s="97"/>
      <c r="H46" s="99"/>
    </row>
    <row r="47" spans="2:10" x14ac:dyDescent="0.2">
      <c r="B47" s="97"/>
      <c r="H47" s="99"/>
    </row>
    <row r="48" spans="2:10" x14ac:dyDescent="0.2">
      <c r="B48" s="97"/>
      <c r="H48" s="99"/>
    </row>
    <row r="49" spans="2:10" x14ac:dyDescent="0.2">
      <c r="B49" s="97"/>
      <c r="H49" s="99"/>
    </row>
    <row r="50" spans="2:10" ht="15.75" x14ac:dyDescent="0.25">
      <c r="B50" s="97"/>
      <c r="C50" s="131" t="s">
        <v>181</v>
      </c>
      <c r="F50" s="240">
        <f>ROUND((((1+J37+J38+J39)*(1+J40)*(1+J41))/(1-J43))-1,4)</f>
        <v>0.22</v>
      </c>
      <c r="G50" s="240"/>
      <c r="H50" s="99"/>
    </row>
    <row r="51" spans="2:10" ht="3.75" customHeight="1" x14ac:dyDescent="0.25">
      <c r="B51" s="97"/>
      <c r="C51" s="131"/>
      <c r="F51" s="132"/>
      <c r="G51" s="132"/>
      <c r="H51" s="99"/>
    </row>
    <row r="52" spans="2:10" x14ac:dyDescent="0.2">
      <c r="B52" s="97"/>
      <c r="C52" s="241" t="str">
        <f>IF(F50&lt;D54,"ERRO - BDI INFERIOR AO 1º QUARTIL",IF(F50&gt;F54,"ERRO - BDI SUPERIOR AO 3º QUARTIL",""))</f>
        <v/>
      </c>
      <c r="D52" s="241"/>
      <c r="E52" s="241"/>
      <c r="F52" s="241"/>
      <c r="G52" s="241"/>
      <c r="H52" s="99"/>
    </row>
    <row r="53" spans="2:10" x14ac:dyDescent="0.2">
      <c r="B53" s="97"/>
      <c r="D53" s="120" t="s">
        <v>92</v>
      </c>
      <c r="E53" s="120" t="s">
        <v>91</v>
      </c>
      <c r="F53" s="120" t="s">
        <v>90</v>
      </c>
      <c r="H53" s="99"/>
    </row>
    <row r="54" spans="2:10" x14ac:dyDescent="0.2">
      <c r="B54" s="97"/>
      <c r="C54" s="128" t="s">
        <v>182</v>
      </c>
      <c r="D54" s="124">
        <f>BW295</f>
        <v>0.19600000000000001</v>
      </c>
      <c r="E54" s="124">
        <f>BX295</f>
        <v>0.2097</v>
      </c>
      <c r="F54" s="124">
        <f>BY295</f>
        <v>0.24229999999999999</v>
      </c>
      <c r="H54" s="99"/>
    </row>
    <row r="55" spans="2:10" ht="3.75" customHeight="1" x14ac:dyDescent="0.2">
      <c r="B55" s="97"/>
      <c r="C55" s="128"/>
      <c r="D55" s="124"/>
      <c r="E55" s="124"/>
      <c r="F55" s="124"/>
      <c r="H55" s="99"/>
    </row>
    <row r="56" spans="2:10" x14ac:dyDescent="0.2">
      <c r="B56" s="97"/>
      <c r="C56" s="239" t="s">
        <v>183</v>
      </c>
      <c r="D56" s="239"/>
      <c r="E56" s="239"/>
      <c r="F56" s="239"/>
      <c r="G56" s="239"/>
      <c r="H56" s="99"/>
    </row>
    <row r="57" spans="2:10" ht="3.75" customHeight="1" x14ac:dyDescent="0.2">
      <c r="B57" s="97"/>
      <c r="C57" s="110"/>
      <c r="D57" s="110"/>
      <c r="E57" s="110"/>
      <c r="F57" s="110"/>
      <c r="G57" s="110"/>
      <c r="H57" s="99"/>
    </row>
    <row r="58" spans="2:10" ht="37.5" customHeight="1" x14ac:dyDescent="0.2">
      <c r="B58" s="97"/>
      <c r="C58" s="242" t="s">
        <v>184</v>
      </c>
      <c r="D58" s="242"/>
      <c r="E58" s="242"/>
      <c r="F58" s="243">
        <f>TRUNC((((1+J37+J38+J39)*(1+J40)*(1+J41))/(1-J60))-1,4)</f>
        <v>0.26879999999999998</v>
      </c>
      <c r="G58" s="243"/>
      <c r="H58" s="99"/>
    </row>
    <row r="59" spans="2:10" ht="3.75" customHeight="1" x14ac:dyDescent="0.2">
      <c r="B59" s="97"/>
      <c r="C59" s="133"/>
      <c r="D59" s="134"/>
      <c r="E59" s="134"/>
      <c r="F59" s="134"/>
      <c r="G59" s="135"/>
      <c r="H59" s="99"/>
    </row>
    <row r="60" spans="2:10" ht="15.75" x14ac:dyDescent="0.25">
      <c r="B60" s="97"/>
      <c r="C60" s="136" t="s">
        <v>185</v>
      </c>
      <c r="D60" s="137">
        <v>3.5999999999999997E-2</v>
      </c>
      <c r="E60" s="244" t="s">
        <v>169</v>
      </c>
      <c r="F60" s="244"/>
      <c r="G60" s="138">
        <f>+G28+D60</f>
        <v>0.10250000000000001</v>
      </c>
      <c r="H60" s="99"/>
      <c r="J60" s="130">
        <f>TRUNC(G60,5)</f>
        <v>0.10249999999999999</v>
      </c>
    </row>
    <row r="61" spans="2:10" ht="3.75" customHeight="1" x14ac:dyDescent="0.2">
      <c r="B61" s="97"/>
      <c r="C61" s="133"/>
      <c r="D61" s="134"/>
      <c r="E61" s="134"/>
      <c r="F61" s="134"/>
      <c r="G61" s="135"/>
      <c r="H61" s="99"/>
    </row>
    <row r="62" spans="2:10" x14ac:dyDescent="0.2">
      <c r="B62" s="97"/>
      <c r="C62" s="135"/>
      <c r="D62" s="135"/>
      <c r="E62" s="135"/>
      <c r="F62" s="135"/>
      <c r="G62" s="135"/>
      <c r="H62" s="99"/>
    </row>
    <row r="63" spans="2:10" ht="15" x14ac:dyDescent="0.25">
      <c r="B63" s="97"/>
      <c r="C63" s="135"/>
      <c r="D63" s="135"/>
      <c r="E63" s="135"/>
      <c r="F63" s="135"/>
      <c r="G63" s="135"/>
      <c r="H63" s="99"/>
      <c r="J63" s="139"/>
    </row>
    <row r="64" spans="2:10" ht="15" x14ac:dyDescent="0.25">
      <c r="B64" s="97"/>
      <c r="C64" s="135"/>
      <c r="D64" s="135"/>
      <c r="E64" s="135"/>
      <c r="F64" s="135"/>
      <c r="G64" s="135"/>
      <c r="H64" s="99"/>
      <c r="J64" s="139"/>
    </row>
    <row r="65" spans="2:10" x14ac:dyDescent="0.2">
      <c r="B65" s="245" t="s">
        <v>186</v>
      </c>
      <c r="C65" s="246"/>
      <c r="D65" s="246"/>
      <c r="E65" s="246"/>
      <c r="F65" s="246"/>
      <c r="G65" s="246"/>
      <c r="H65" s="247"/>
      <c r="J65" s="140"/>
    </row>
    <row r="66" spans="2:10" ht="25.5" customHeight="1" x14ac:dyDescent="0.25">
      <c r="B66" s="248" t="s">
        <v>187</v>
      </c>
      <c r="C66" s="246"/>
      <c r="D66" s="246"/>
      <c r="E66" s="246"/>
      <c r="F66" s="246"/>
      <c r="G66" s="246"/>
      <c r="H66" s="247"/>
      <c r="J66" s="139"/>
    </row>
    <row r="67" spans="2:10" ht="15.75" thickBot="1" x14ac:dyDescent="0.3">
      <c r="B67" s="249"/>
      <c r="C67" s="235"/>
      <c r="D67" s="235"/>
      <c r="E67" s="235"/>
      <c r="F67" s="235"/>
      <c r="G67" s="235"/>
      <c r="H67" s="250"/>
      <c r="J67" s="139"/>
    </row>
    <row r="73" spans="2:10" x14ac:dyDescent="0.2">
      <c r="J73" s="141"/>
    </row>
    <row r="74" spans="2:10" ht="15" x14ac:dyDescent="0.25">
      <c r="J74" s="142"/>
    </row>
    <row r="75" spans="2:10" ht="15" x14ac:dyDescent="0.25">
      <c r="J75" s="142"/>
    </row>
    <row r="76" spans="2:10" ht="15" x14ac:dyDescent="0.25">
      <c r="J76" s="142"/>
    </row>
    <row r="77" spans="2:10" ht="15" x14ac:dyDescent="0.25">
      <c r="J77" s="142"/>
    </row>
    <row r="78" spans="2:10" ht="15" x14ac:dyDescent="0.25">
      <c r="J78" s="142"/>
    </row>
    <row r="79" spans="2:10" ht="15" x14ac:dyDescent="0.25">
      <c r="J79" s="142"/>
    </row>
    <row r="80" spans="2:10" ht="15" x14ac:dyDescent="0.25">
      <c r="J80" s="142"/>
    </row>
    <row r="81" spans="10:16" ht="15" x14ac:dyDescent="0.25">
      <c r="J81" s="142"/>
    </row>
    <row r="82" spans="10:16" ht="15" x14ac:dyDescent="0.25">
      <c r="J82" s="142"/>
    </row>
    <row r="83" spans="10:16" ht="15" x14ac:dyDescent="0.25">
      <c r="J83" s="143"/>
    </row>
    <row r="84" spans="10:16" ht="15" x14ac:dyDescent="0.25">
      <c r="J84" s="143"/>
    </row>
    <row r="85" spans="10:16" ht="15" x14ac:dyDescent="0.25">
      <c r="J85" s="143"/>
    </row>
    <row r="89" spans="10:16" ht="15" x14ac:dyDescent="0.25">
      <c r="O89" s="142"/>
      <c r="P89" s="127"/>
    </row>
    <row r="90" spans="10:16" ht="15" x14ac:dyDescent="0.25">
      <c r="O90" s="142"/>
      <c r="P90" s="127"/>
    </row>
    <row r="91" spans="10:16" ht="15" x14ac:dyDescent="0.25">
      <c r="O91" s="142"/>
      <c r="P91" s="127"/>
    </row>
    <row r="92" spans="10:16" ht="15" x14ac:dyDescent="0.25">
      <c r="O92" s="142"/>
      <c r="P92" s="127"/>
    </row>
    <row r="93" spans="10:16" ht="15" x14ac:dyDescent="0.25">
      <c r="O93" s="142"/>
      <c r="P93" s="127"/>
    </row>
    <row r="94" spans="10:16" ht="15" x14ac:dyDescent="0.25">
      <c r="O94" s="142"/>
      <c r="P94" s="127"/>
    </row>
    <row r="95" spans="10:16" ht="15" x14ac:dyDescent="0.25">
      <c r="O95" s="142"/>
      <c r="P95" s="127"/>
    </row>
    <row r="96" spans="10:16" ht="15" x14ac:dyDescent="0.25">
      <c r="O96" s="142"/>
      <c r="P96" s="127"/>
    </row>
    <row r="97" spans="15:16" ht="15" x14ac:dyDescent="0.25">
      <c r="O97" s="142"/>
      <c r="P97" s="127"/>
    </row>
    <row r="98" spans="15:16" ht="15" x14ac:dyDescent="0.25">
      <c r="O98" s="142"/>
      <c r="P98" s="127"/>
    </row>
    <row r="99" spans="15:16" ht="15" x14ac:dyDescent="0.25">
      <c r="O99" s="142"/>
      <c r="P99" s="127"/>
    </row>
    <row r="100" spans="15:16" ht="15" x14ac:dyDescent="0.25">
      <c r="O100" s="142"/>
    </row>
    <row r="101" spans="15:16" ht="15" x14ac:dyDescent="0.25">
      <c r="O101" s="142"/>
    </row>
    <row r="102" spans="15:16" ht="15" x14ac:dyDescent="0.25">
      <c r="O102" s="142"/>
    </row>
    <row r="103" spans="15:16" ht="15" x14ac:dyDescent="0.25">
      <c r="O103" s="142"/>
    </row>
    <row r="254" spans="73:77" ht="13.5" thickBot="1" x14ac:dyDescent="0.25"/>
    <row r="255" spans="73:77" x14ac:dyDescent="0.2">
      <c r="BU255" s="232" t="s">
        <v>188</v>
      </c>
      <c r="BV255" s="233"/>
      <c r="BW255" s="233"/>
      <c r="BX255" s="233"/>
      <c r="BY255" s="234"/>
    </row>
    <row r="256" spans="73:77" x14ac:dyDescent="0.2">
      <c r="BU256" s="97"/>
      <c r="BV256" s="94" t="s">
        <v>189</v>
      </c>
      <c r="BW256" s="94" t="s">
        <v>27</v>
      </c>
      <c r="BX256" s="94" t="s">
        <v>190</v>
      </c>
      <c r="BY256" s="99"/>
    </row>
    <row r="257" spans="73:88" x14ac:dyDescent="0.2">
      <c r="BU257" s="144">
        <v>100</v>
      </c>
      <c r="BV257" s="145" t="s">
        <v>191</v>
      </c>
      <c r="BW257" s="103">
        <f t="shared" ref="BW257:BW262" si="1">+BU257</f>
        <v>100</v>
      </c>
      <c r="BX257" s="108" t="s">
        <v>192</v>
      </c>
      <c r="BY257" s="99"/>
    </row>
    <row r="258" spans="73:88" ht="25.5" x14ac:dyDescent="0.2">
      <c r="BU258" s="144">
        <v>200</v>
      </c>
      <c r="BV258" s="145" t="s">
        <v>154</v>
      </c>
      <c r="BW258" s="103">
        <f t="shared" si="1"/>
        <v>200</v>
      </c>
      <c r="BX258" s="108" t="s">
        <v>193</v>
      </c>
      <c r="BY258" s="99"/>
    </row>
    <row r="259" spans="73:88" ht="57" x14ac:dyDescent="0.2">
      <c r="BU259" s="144">
        <v>300</v>
      </c>
      <c r="BV259" s="146" t="s">
        <v>194</v>
      </c>
      <c r="BW259" s="103">
        <f t="shared" si="1"/>
        <v>300</v>
      </c>
      <c r="BX259" s="108" t="s">
        <v>195</v>
      </c>
      <c r="BY259" s="99"/>
    </row>
    <row r="260" spans="73:88" ht="57" x14ac:dyDescent="0.2">
      <c r="BU260" s="144">
        <v>400</v>
      </c>
      <c r="BV260" s="146" t="s">
        <v>196</v>
      </c>
      <c r="BW260" s="103">
        <f t="shared" si="1"/>
        <v>400</v>
      </c>
      <c r="BX260" s="108" t="s">
        <v>197</v>
      </c>
      <c r="BY260" s="99"/>
    </row>
    <row r="261" spans="73:88" x14ac:dyDescent="0.2">
      <c r="BU261" s="144">
        <v>500</v>
      </c>
      <c r="BV261" s="145" t="s">
        <v>198</v>
      </c>
      <c r="BW261" s="103">
        <f t="shared" si="1"/>
        <v>500</v>
      </c>
      <c r="BX261" s="108" t="s">
        <v>199</v>
      </c>
      <c r="BY261" s="99"/>
    </row>
    <row r="262" spans="73:88" ht="25.5" x14ac:dyDescent="0.2">
      <c r="BU262" s="144">
        <v>600</v>
      </c>
      <c r="BV262" s="145" t="s">
        <v>200</v>
      </c>
      <c r="BW262" s="103">
        <f t="shared" si="1"/>
        <v>600</v>
      </c>
      <c r="BX262" s="108" t="s">
        <v>201</v>
      </c>
      <c r="BY262" s="99"/>
    </row>
    <row r="263" spans="73:88" x14ac:dyDescent="0.2">
      <c r="BU263" s="144"/>
      <c r="BV263" s="103"/>
      <c r="BW263" s="103"/>
      <c r="BX263" s="108"/>
      <c r="BY263" s="99"/>
    </row>
    <row r="264" spans="73:88" x14ac:dyDescent="0.2">
      <c r="BU264" s="147"/>
      <c r="BV264" s="108"/>
      <c r="BW264" s="108"/>
      <c r="BX264" s="108"/>
      <c r="BY264" s="99"/>
    </row>
    <row r="265" spans="73:88" x14ac:dyDescent="0.2">
      <c r="BU265" s="147"/>
      <c r="BV265" s="108"/>
      <c r="BW265" s="108"/>
      <c r="BX265" s="108"/>
      <c r="BY265" s="99"/>
      <c r="CG265" s="94" t="s">
        <v>94</v>
      </c>
      <c r="CH265" s="94" t="s">
        <v>202</v>
      </c>
      <c r="CI265" s="94" t="s">
        <v>203</v>
      </c>
    </row>
    <row r="266" spans="73:88" x14ac:dyDescent="0.2">
      <c r="BU266" s="97"/>
      <c r="BY266" s="99"/>
      <c r="CF266" s="94" t="s">
        <v>161</v>
      </c>
      <c r="CG266" s="127">
        <v>6.4999999999999997E-3</v>
      </c>
      <c r="CH266" s="148">
        <v>0.03</v>
      </c>
      <c r="CI266" s="94" t="s">
        <v>204</v>
      </c>
      <c r="CJ266" s="127">
        <f>(D20+D21)+D26</f>
        <v>6.6500000000000004E-2</v>
      </c>
    </row>
    <row r="267" spans="73:88" x14ac:dyDescent="0.2">
      <c r="BU267" s="97"/>
      <c r="BY267" s="99"/>
      <c r="CF267" s="94" t="s">
        <v>205</v>
      </c>
      <c r="CG267" s="127">
        <v>1.6500000000000001E-2</v>
      </c>
      <c r="CH267" s="127">
        <v>7.5999999999999998E-2</v>
      </c>
      <c r="CI267" s="94" t="s">
        <v>93</v>
      </c>
      <c r="CJ267" s="127">
        <f>(D20+D21)*(G41/(1+G41))+D26</f>
        <v>3.2483224603914257E-2</v>
      </c>
    </row>
    <row r="268" spans="73:88" x14ac:dyDescent="0.2">
      <c r="BU268" s="97"/>
      <c r="BY268" s="99"/>
    </row>
    <row r="269" spans="73:88" x14ac:dyDescent="0.2">
      <c r="BU269" s="149"/>
      <c r="BV269" s="150"/>
      <c r="BW269" s="150"/>
      <c r="BY269" s="99"/>
    </row>
    <row r="270" spans="73:88" x14ac:dyDescent="0.2">
      <c r="BU270" s="97"/>
      <c r="BY270" s="99"/>
    </row>
    <row r="271" spans="73:88" ht="13.5" thickBot="1" x14ac:dyDescent="0.25">
      <c r="BU271" s="97"/>
      <c r="BY271" s="99"/>
      <c r="CE271" s="94">
        <f>BU257</f>
        <v>100</v>
      </c>
      <c r="CF271" s="235" t="str">
        <f>BV257</f>
        <v>Construção de edificios</v>
      </c>
      <c r="CG271" s="235"/>
      <c r="CH271" s="235"/>
      <c r="CI271" s="235"/>
    </row>
    <row r="272" spans="73:88" ht="15" thickBot="1" x14ac:dyDescent="0.25">
      <c r="BU272" s="97"/>
      <c r="BY272" s="99"/>
      <c r="CE272" s="94">
        <f>+CE271+1</f>
        <v>101</v>
      </c>
      <c r="CF272" s="151" t="s">
        <v>175</v>
      </c>
      <c r="CG272" s="152">
        <v>0.03</v>
      </c>
      <c r="CH272" s="152">
        <v>0.04</v>
      </c>
      <c r="CI272" s="152">
        <v>5.5E-2</v>
      </c>
    </row>
    <row r="273" spans="73:87" ht="15" thickBot="1" x14ac:dyDescent="0.25">
      <c r="BU273" s="97"/>
      <c r="BY273" s="99"/>
      <c r="CE273" s="94">
        <f>+CE272+1</f>
        <v>102</v>
      </c>
      <c r="CF273" s="151" t="s">
        <v>176</v>
      </c>
      <c r="CG273" s="152">
        <v>8.0000000000000002E-3</v>
      </c>
      <c r="CH273" s="152">
        <v>8.0000000000000002E-3</v>
      </c>
      <c r="CI273" s="152">
        <v>0.01</v>
      </c>
    </row>
    <row r="274" spans="73:87" ht="15" thickBot="1" x14ac:dyDescent="0.25">
      <c r="BU274" s="97"/>
      <c r="BY274" s="99"/>
      <c r="CE274" s="94">
        <f>+CE273+1</f>
        <v>103</v>
      </c>
      <c r="CF274" s="151" t="s">
        <v>177</v>
      </c>
      <c r="CG274" s="152">
        <v>9.7000000000000003E-3</v>
      </c>
      <c r="CH274" s="152">
        <v>1.2699999999999999E-2</v>
      </c>
      <c r="CI274" s="152">
        <v>1.2699999999999999E-2</v>
      </c>
    </row>
    <row r="275" spans="73:87" ht="15" thickBot="1" x14ac:dyDescent="0.25">
      <c r="BU275" s="149"/>
      <c r="BV275" s="150"/>
      <c r="BW275" s="150"/>
      <c r="BY275" s="99"/>
      <c r="CE275" s="94">
        <f>+CE274+1</f>
        <v>104</v>
      </c>
      <c r="CF275" s="151" t="s">
        <v>178</v>
      </c>
      <c r="CG275" s="152">
        <v>5.8999999999999999E-3</v>
      </c>
      <c r="CH275" s="152">
        <v>1.23E-2</v>
      </c>
      <c r="CI275" s="152">
        <v>1.3899999999999999E-2</v>
      </c>
    </row>
    <row r="276" spans="73:87" ht="15" thickBot="1" x14ac:dyDescent="0.25">
      <c r="BU276" s="97"/>
      <c r="BY276" s="99"/>
      <c r="CE276" s="94">
        <f>+CE275+1</f>
        <v>105</v>
      </c>
      <c r="CF276" s="151" t="s">
        <v>179</v>
      </c>
      <c r="CG276" s="152">
        <v>6.1600000000000002E-2</v>
      </c>
      <c r="CH276" s="152">
        <v>7.3999999999999996E-2</v>
      </c>
      <c r="CI276" s="152">
        <v>8.9599999999999999E-2</v>
      </c>
    </row>
    <row r="277" spans="73:87" x14ac:dyDescent="0.2">
      <c r="BU277" s="97"/>
      <c r="BY277" s="99"/>
    </row>
    <row r="278" spans="73:87" x14ac:dyDescent="0.2">
      <c r="BU278" s="97"/>
      <c r="BY278" s="99"/>
    </row>
    <row r="279" spans="73:87" ht="13.5" thickBot="1" x14ac:dyDescent="0.25">
      <c r="BU279" s="97"/>
      <c r="BY279" s="99"/>
      <c r="CE279" s="94">
        <f>BU258</f>
        <v>200</v>
      </c>
      <c r="CF279" s="235" t="str">
        <f>BV258</f>
        <v>Construção de rodovias e ferrovias</v>
      </c>
      <c r="CG279" s="235"/>
      <c r="CH279" s="235"/>
      <c r="CI279" s="235"/>
    </row>
    <row r="280" spans="73:87" ht="15" thickBot="1" x14ac:dyDescent="0.25">
      <c r="BU280" s="97"/>
      <c r="BY280" s="99"/>
      <c r="CE280" s="94">
        <f>+CE279+1</f>
        <v>201</v>
      </c>
      <c r="CF280" s="151" t="s">
        <v>175</v>
      </c>
      <c r="CG280" s="152">
        <v>3.7999999999999999E-2</v>
      </c>
      <c r="CH280" s="152">
        <v>4.0099999999999997E-2</v>
      </c>
      <c r="CI280" s="152">
        <v>4.6699999999999998E-2</v>
      </c>
    </row>
    <row r="281" spans="73:87" ht="15" thickBot="1" x14ac:dyDescent="0.25">
      <c r="BU281" s="97"/>
      <c r="BY281" s="99"/>
      <c r="CE281" s="94">
        <f>+CE280+1</f>
        <v>202</v>
      </c>
      <c r="CF281" s="151" t="s">
        <v>176</v>
      </c>
      <c r="CG281" s="152">
        <v>3.2000000000000002E-3</v>
      </c>
      <c r="CH281" s="152">
        <v>4.0000000000000001E-3</v>
      </c>
      <c r="CI281" s="152">
        <v>7.4000000000000003E-3</v>
      </c>
    </row>
    <row r="282" spans="73:87" ht="15" thickBot="1" x14ac:dyDescent="0.25">
      <c r="BU282" s="232"/>
      <c r="BV282" s="233"/>
      <c r="BW282" s="233"/>
      <c r="BX282" s="233"/>
      <c r="BY282" s="234"/>
      <c r="CE282" s="94">
        <f>+CE281+1</f>
        <v>203</v>
      </c>
      <c r="CF282" s="151" t="s">
        <v>177</v>
      </c>
      <c r="CG282" s="152">
        <v>5.0000000000000001E-3</v>
      </c>
      <c r="CH282" s="152">
        <v>5.5999999999999999E-3</v>
      </c>
      <c r="CI282" s="152">
        <v>9.7000000000000003E-3</v>
      </c>
    </row>
    <row r="283" spans="73:87" ht="15" thickBot="1" x14ac:dyDescent="0.25">
      <c r="BU283" s="97"/>
      <c r="BY283" s="99"/>
      <c r="CE283" s="94">
        <f>+CE282+1</f>
        <v>204</v>
      </c>
      <c r="CF283" s="151" t="s">
        <v>178</v>
      </c>
      <c r="CG283" s="152">
        <v>1.0200000000000001E-2</v>
      </c>
      <c r="CH283" s="152">
        <v>1.11E-2</v>
      </c>
      <c r="CI283" s="152">
        <v>1.21E-2</v>
      </c>
    </row>
    <row r="284" spans="73:87" ht="15" thickBot="1" x14ac:dyDescent="0.25">
      <c r="BU284" s="97"/>
      <c r="BY284" s="99"/>
      <c r="CE284" s="94">
        <f>+CE283+1</f>
        <v>205</v>
      </c>
      <c r="CF284" s="151" t="s">
        <v>179</v>
      </c>
      <c r="CG284" s="152">
        <v>6.6400000000000001E-2</v>
      </c>
      <c r="CH284" s="152">
        <v>7.2999999999999995E-2</v>
      </c>
      <c r="CI284" s="152">
        <v>8.6900000000000005E-2</v>
      </c>
    </row>
    <row r="285" spans="73:87" x14ac:dyDescent="0.2">
      <c r="BU285" s="97"/>
      <c r="BY285" s="99"/>
    </row>
    <row r="286" spans="73:87" ht="13.5" thickBot="1" x14ac:dyDescent="0.25">
      <c r="BU286" s="117"/>
      <c r="BV286" s="153"/>
      <c r="BW286" s="153"/>
      <c r="BX286" s="153"/>
      <c r="BY286" s="118"/>
    </row>
    <row r="287" spans="73:87" ht="13.5" thickBot="1" x14ac:dyDescent="0.25">
      <c r="BU287" s="232"/>
      <c r="BV287" s="233"/>
      <c r="BW287" s="233"/>
      <c r="BX287" s="233"/>
      <c r="BY287" s="234"/>
      <c r="CE287" s="94">
        <f>BU259</f>
        <v>300</v>
      </c>
      <c r="CF287" s="235" t="str">
        <f>BV259</f>
        <v>Construção de Redes de Abastecimento de Água, Coleta de Esgoto e Construções Correlatas</v>
      </c>
      <c r="CG287" s="235"/>
      <c r="CH287" s="235"/>
      <c r="CI287" s="235"/>
    </row>
    <row r="288" spans="73:87" ht="15" thickBot="1" x14ac:dyDescent="0.25">
      <c r="BU288" s="236"/>
      <c r="BV288" s="237"/>
      <c r="BW288" s="237"/>
      <c r="BX288" s="237"/>
      <c r="BY288" s="238"/>
      <c r="CE288" s="94">
        <f>+CE287+1</f>
        <v>301</v>
      </c>
      <c r="CF288" s="154" t="s">
        <v>175</v>
      </c>
      <c r="CG288" s="155">
        <v>3.4299999999999997E-2</v>
      </c>
      <c r="CH288" s="155">
        <v>4.9299999999999997E-2</v>
      </c>
      <c r="CI288" s="155">
        <v>6.7100000000000007E-2</v>
      </c>
    </row>
    <row r="289" spans="73:87" ht="15" thickBot="1" x14ac:dyDescent="0.25">
      <c r="BU289" s="236"/>
      <c r="BV289" s="237"/>
      <c r="BW289" s="237"/>
      <c r="BX289" s="237"/>
      <c r="BY289" s="238"/>
      <c r="CE289" s="94">
        <f>+CE288+1</f>
        <v>302</v>
      </c>
      <c r="CF289" s="151" t="s">
        <v>176</v>
      </c>
      <c r="CG289" s="152">
        <v>2.8E-3</v>
      </c>
      <c r="CH289" s="152">
        <v>4.8999999999999998E-3</v>
      </c>
      <c r="CI289" s="152">
        <v>7.4999999999999997E-3</v>
      </c>
    </row>
    <row r="290" spans="73:87" ht="27" customHeight="1" thickBot="1" x14ac:dyDescent="0.25">
      <c r="BU290" s="156"/>
      <c r="BV290" s="157"/>
      <c r="BW290" s="158"/>
      <c r="BX290" s="158"/>
      <c r="BY290" s="159"/>
      <c r="CE290" s="94">
        <f>+CE289+1</f>
        <v>303</v>
      </c>
      <c r="CF290" s="151" t="s">
        <v>177</v>
      </c>
      <c r="CG290" s="152">
        <v>0.01</v>
      </c>
      <c r="CH290" s="152">
        <v>1.3899999999999999E-2</v>
      </c>
      <c r="CI290" s="152">
        <v>1.7399999999999999E-2</v>
      </c>
    </row>
    <row r="291" spans="73:87" ht="15" thickBot="1" x14ac:dyDescent="0.25">
      <c r="BU291" s="97"/>
      <c r="BY291" s="99"/>
      <c r="CE291" s="94">
        <f>+CE290+1</f>
        <v>304</v>
      </c>
      <c r="CF291" s="151" t="s">
        <v>178</v>
      </c>
      <c r="CG291" s="152">
        <v>9.4000000000000004E-3</v>
      </c>
      <c r="CH291" s="152">
        <v>9.9000000000000008E-3</v>
      </c>
      <c r="CI291" s="152">
        <v>1.17E-2</v>
      </c>
    </row>
    <row r="292" spans="73:87" ht="15" thickBot="1" x14ac:dyDescent="0.25">
      <c r="BU292" s="117"/>
      <c r="BV292" s="153"/>
      <c r="BW292" s="153"/>
      <c r="BX292" s="153"/>
      <c r="BY292" s="118"/>
      <c r="CE292" s="94">
        <f>+CE291+1</f>
        <v>305</v>
      </c>
      <c r="CF292" s="151" t="s">
        <v>179</v>
      </c>
      <c r="CG292" s="152">
        <v>6.7400000000000002E-2</v>
      </c>
      <c r="CH292" s="152">
        <v>8.0399999999999999E-2</v>
      </c>
      <c r="CI292" s="152">
        <v>9.4E-2</v>
      </c>
    </row>
    <row r="293" spans="73:87" x14ac:dyDescent="0.2">
      <c r="BU293" s="232"/>
      <c r="BV293" s="233"/>
      <c r="BW293" s="233"/>
      <c r="BX293" s="233"/>
      <c r="BY293" s="234"/>
    </row>
    <row r="294" spans="73:87" ht="13.5" thickBot="1" x14ac:dyDescent="0.25">
      <c r="BU294" s="160"/>
      <c r="BV294" s="161" t="s">
        <v>206</v>
      </c>
      <c r="BW294" s="161" t="s">
        <v>207</v>
      </c>
      <c r="BX294" s="161" t="s">
        <v>208</v>
      </c>
      <c r="BY294" s="161" t="s">
        <v>209</v>
      </c>
      <c r="CE294" s="94">
        <f>BU260</f>
        <v>400</v>
      </c>
      <c r="CF294" s="235" t="str">
        <f>BV260</f>
        <v>Construção e Manutenção de Estações e Redes de Distribuição de Energia Elétrica</v>
      </c>
      <c r="CG294" s="235"/>
      <c r="CH294" s="235"/>
      <c r="CI294" s="235"/>
    </row>
    <row r="295" spans="73:87" ht="15" thickBot="1" x14ac:dyDescent="0.25">
      <c r="BU295" s="160" t="s">
        <v>112</v>
      </c>
      <c r="BV295" s="161">
        <f>VLOOKUP(D7,BV257:BW262,2,0)</f>
        <v>200</v>
      </c>
      <c r="BW295" s="162">
        <f>VLOOKUP($BV295,$BU$306:$BY$311,3,0)</f>
        <v>0.19600000000000001</v>
      </c>
      <c r="BX295" s="162">
        <f>VLOOKUP($BV295,$BU$306:$BY$311,4,0)</f>
        <v>0.2097</v>
      </c>
      <c r="BY295" s="162">
        <f>VLOOKUP($BV295,$BU$306:$BY$311,5,0)</f>
        <v>0.24229999999999999</v>
      </c>
      <c r="CE295" s="94">
        <f>+CE294+1</f>
        <v>401</v>
      </c>
      <c r="CF295" s="154" t="s">
        <v>175</v>
      </c>
      <c r="CG295" s="155">
        <v>5.2900000000000003E-2</v>
      </c>
      <c r="CH295" s="155">
        <v>5.9200000000000003E-2</v>
      </c>
      <c r="CI295" s="155">
        <v>7.9299999999999995E-2</v>
      </c>
    </row>
    <row r="296" spans="73:87" ht="15" thickBot="1" x14ac:dyDescent="0.25">
      <c r="BU296" s="163" t="s">
        <v>175</v>
      </c>
      <c r="BV296" s="161">
        <f>+BV295+1</f>
        <v>201</v>
      </c>
      <c r="BW296" s="162">
        <f>VLOOKUP($BV296,$CE$271:$CI$312,3,0)</f>
        <v>3.7999999999999999E-2</v>
      </c>
      <c r="BX296" s="162">
        <f>VLOOKUP($BV296,$CE$271:$CI$312,4,0)</f>
        <v>4.0099999999999997E-2</v>
      </c>
      <c r="BY296" s="162">
        <f>VLOOKUP($BV296,$CE$271:$CI$312,5,0)</f>
        <v>4.6699999999999998E-2</v>
      </c>
      <c r="CE296" s="94">
        <f>+CE295+1</f>
        <v>402</v>
      </c>
      <c r="CF296" s="151" t="s">
        <v>176</v>
      </c>
      <c r="CG296" s="152">
        <v>2.5000000000000001E-3</v>
      </c>
      <c r="CH296" s="152">
        <v>5.1000000000000004E-3</v>
      </c>
      <c r="CI296" s="152">
        <v>5.5999999999999999E-3</v>
      </c>
    </row>
    <row r="297" spans="73:87" ht="15" thickBot="1" x14ac:dyDescent="0.25">
      <c r="BU297" s="163" t="s">
        <v>176</v>
      </c>
      <c r="BV297" s="161">
        <f>+BV296+1</f>
        <v>202</v>
      </c>
      <c r="BW297" s="162">
        <f>VLOOKUP($BV297,$CE$271:$CI$312,3,0)</f>
        <v>3.2000000000000002E-3</v>
      </c>
      <c r="BX297" s="162">
        <f>VLOOKUP($BV297,$CE$271:$CI$312,4,0)</f>
        <v>4.0000000000000001E-3</v>
      </c>
      <c r="BY297" s="162">
        <f>VLOOKUP($BV297,$CE$271:$CI$312,5,0)</f>
        <v>7.4000000000000003E-3</v>
      </c>
      <c r="CE297" s="94">
        <f>+CE296+1</f>
        <v>403</v>
      </c>
      <c r="CF297" s="151" t="s">
        <v>177</v>
      </c>
      <c r="CG297" s="152">
        <v>0.01</v>
      </c>
      <c r="CH297" s="152">
        <v>1.4800000000000001E-2</v>
      </c>
      <c r="CI297" s="152">
        <v>1.9699999999999999E-2</v>
      </c>
    </row>
    <row r="298" spans="73:87" ht="15" thickBot="1" x14ac:dyDescent="0.25">
      <c r="BU298" s="163" t="s">
        <v>177</v>
      </c>
      <c r="BV298" s="161">
        <f>+BV297+1</f>
        <v>203</v>
      </c>
      <c r="BW298" s="162">
        <f>VLOOKUP($BV298,$CE$271:$CI$312,3,0)</f>
        <v>5.0000000000000001E-3</v>
      </c>
      <c r="BX298" s="162">
        <f>VLOOKUP($BV298,$CE$271:$CI$312,4,0)</f>
        <v>5.5999999999999999E-3</v>
      </c>
      <c r="BY298" s="162">
        <f>VLOOKUP($BV298,$CE$271:$CI$312,5,0)</f>
        <v>9.7000000000000003E-3</v>
      </c>
      <c r="CE298" s="94">
        <f>+CE297+1</f>
        <v>404</v>
      </c>
      <c r="CF298" s="151" t="s">
        <v>178</v>
      </c>
      <c r="CG298" s="152">
        <v>1.01E-2</v>
      </c>
      <c r="CH298" s="152">
        <v>1.0699999999999999E-2</v>
      </c>
      <c r="CI298" s="152">
        <v>1.11E-2</v>
      </c>
    </row>
    <row r="299" spans="73:87" ht="15" thickBot="1" x14ac:dyDescent="0.25">
      <c r="BU299" s="163" t="s">
        <v>178</v>
      </c>
      <c r="BV299" s="161">
        <f>+BV298+1</f>
        <v>204</v>
      </c>
      <c r="BW299" s="162">
        <f>VLOOKUP($BV299,$CE$271:$CI$312,3,0)</f>
        <v>1.0200000000000001E-2</v>
      </c>
      <c r="BX299" s="162">
        <f>VLOOKUP($BV299,$CE$271:$CI$312,4,0)</f>
        <v>1.11E-2</v>
      </c>
      <c r="BY299" s="162">
        <f>VLOOKUP($BV299,$CE$271:$CI$312,5,0)</f>
        <v>1.21E-2</v>
      </c>
      <c r="CE299" s="94">
        <f>+CE298+1</f>
        <v>405</v>
      </c>
      <c r="CF299" s="151" t="s">
        <v>179</v>
      </c>
      <c r="CG299" s="152">
        <v>0.08</v>
      </c>
      <c r="CH299" s="152">
        <v>8.3099999999999993E-2</v>
      </c>
      <c r="CI299" s="152">
        <v>9.5100000000000004E-2</v>
      </c>
    </row>
    <row r="300" spans="73:87" ht="15" thickBot="1" x14ac:dyDescent="0.25">
      <c r="BU300" s="163" t="s">
        <v>179</v>
      </c>
      <c r="BV300" s="161">
        <f>+BV299+1</f>
        <v>205</v>
      </c>
      <c r="BW300" s="162">
        <f>VLOOKUP($BV300,$CE$271:$CI$312,3,0)</f>
        <v>6.6400000000000001E-2</v>
      </c>
      <c r="BX300" s="162">
        <f>VLOOKUP($BV300,$CE$271:$CI$312,4,0)</f>
        <v>7.2999999999999995E-2</v>
      </c>
      <c r="BY300" s="162">
        <f>VLOOKUP($BV300,$CE$271:$CI$312,5,0)</f>
        <v>8.6900000000000005E-2</v>
      </c>
      <c r="CE300" s="94">
        <f>BU261</f>
        <v>500</v>
      </c>
      <c r="CF300" s="235" t="str">
        <f>BV261</f>
        <v>Portuárias, Marítimas e Fluviais</v>
      </c>
      <c r="CG300" s="235"/>
      <c r="CH300" s="235"/>
      <c r="CI300" s="235"/>
    </row>
    <row r="301" spans="73:87" ht="15" thickBot="1" x14ac:dyDescent="0.25">
      <c r="BU301" s="97"/>
      <c r="BY301" s="99"/>
      <c r="CE301" s="94">
        <f>+CE300+1</f>
        <v>501</v>
      </c>
      <c r="CF301" s="154" t="s">
        <v>175</v>
      </c>
      <c r="CG301" s="155">
        <v>0.04</v>
      </c>
      <c r="CH301" s="155">
        <v>5.5199999999999999E-2</v>
      </c>
      <c r="CI301" s="155">
        <v>7.85E-2</v>
      </c>
    </row>
    <row r="302" spans="73:87" ht="15" thickBot="1" x14ac:dyDescent="0.25">
      <c r="CE302" s="94">
        <f>+CE301+1</f>
        <v>502</v>
      </c>
      <c r="CF302" s="151" t="s">
        <v>176</v>
      </c>
      <c r="CG302" s="152">
        <v>8.0999999999999996E-3</v>
      </c>
      <c r="CH302" s="152">
        <v>1.2200000000000001E-2</v>
      </c>
      <c r="CI302" s="152">
        <v>1.9900000000000001E-2</v>
      </c>
    </row>
    <row r="303" spans="73:87" ht="15" thickBot="1" x14ac:dyDescent="0.25">
      <c r="CE303" s="94">
        <f>+CE302+1</f>
        <v>503</v>
      </c>
      <c r="CF303" s="151" t="s">
        <v>177</v>
      </c>
      <c r="CG303" s="152">
        <v>1.46E-2</v>
      </c>
      <c r="CH303" s="152">
        <v>2.3199999999999998E-2</v>
      </c>
      <c r="CI303" s="152">
        <v>3.1600000000000003E-2</v>
      </c>
    </row>
    <row r="304" spans="73:87" ht="15" thickBot="1" x14ac:dyDescent="0.25">
      <c r="CE304" s="94">
        <f>+CE303+1</f>
        <v>504</v>
      </c>
      <c r="CF304" s="151" t="s">
        <v>178</v>
      </c>
      <c r="CG304" s="152">
        <v>9.4000000000000004E-3</v>
      </c>
      <c r="CH304" s="152">
        <v>1.0200000000000001E-2</v>
      </c>
      <c r="CI304" s="152">
        <v>1.3299999999999999E-2</v>
      </c>
    </row>
    <row r="305" spans="73:87" ht="15" thickBot="1" x14ac:dyDescent="0.25">
      <c r="BW305" s="164" t="s">
        <v>210</v>
      </c>
      <c r="BX305" s="165" t="s">
        <v>208</v>
      </c>
      <c r="BY305" s="165" t="s">
        <v>211</v>
      </c>
      <c r="CE305" s="94">
        <f>+CE304+1</f>
        <v>505</v>
      </c>
      <c r="CF305" s="151" t="s">
        <v>179</v>
      </c>
      <c r="CG305" s="152">
        <v>7.1400000000000005E-2</v>
      </c>
      <c r="CH305" s="152">
        <v>8.4000000000000005E-2</v>
      </c>
      <c r="CI305" s="152">
        <v>0.1043</v>
      </c>
    </row>
    <row r="306" spans="73:87" ht="15" thickBot="1" x14ac:dyDescent="0.25">
      <c r="BU306" s="94">
        <f>BU257</f>
        <v>100</v>
      </c>
      <c r="BV306" s="154" t="str">
        <f t="shared" ref="BV306:BV311" si="2">VLOOKUP(BU306,BU257:BV262,2,0)</f>
        <v>Construção de edificios</v>
      </c>
      <c r="BW306" s="155">
        <v>0.2034</v>
      </c>
      <c r="BX306" s="155">
        <v>0.22120000000000001</v>
      </c>
      <c r="BY306" s="155">
        <v>0.25</v>
      </c>
    </row>
    <row r="307" spans="73:87" ht="29.25" thickBot="1" x14ac:dyDescent="0.25">
      <c r="BU307" s="94">
        <v>200</v>
      </c>
      <c r="BV307" s="154" t="str">
        <f t="shared" si="2"/>
        <v>Construção de rodovias e ferrovias</v>
      </c>
      <c r="BW307" s="152">
        <v>0.19600000000000001</v>
      </c>
      <c r="BX307" s="152">
        <v>0.2097</v>
      </c>
      <c r="BY307" s="152">
        <v>0.24229999999999999</v>
      </c>
      <c r="CE307" s="94">
        <f>BU262</f>
        <v>600</v>
      </c>
      <c r="CF307" s="235" t="str">
        <f>BV262</f>
        <v>Fornecimento de Materiais e Equipamentos</v>
      </c>
      <c r="CG307" s="235"/>
      <c r="CH307" s="235"/>
      <c r="CI307" s="235"/>
    </row>
    <row r="308" spans="73:87" ht="57.75" thickBot="1" x14ac:dyDescent="0.25">
      <c r="BU308" s="94">
        <f>BU259</f>
        <v>300</v>
      </c>
      <c r="BV308" s="154" t="str">
        <f t="shared" si="2"/>
        <v>Construção de Redes de Abastecimento de Água, Coleta de Esgoto e Construções Correlatas</v>
      </c>
      <c r="BW308" s="152">
        <v>0.20760000000000001</v>
      </c>
      <c r="BX308" s="152">
        <v>0.24179999999999999</v>
      </c>
      <c r="BY308" s="152">
        <v>0.26440000000000002</v>
      </c>
      <c r="CE308" s="94">
        <f>+CE307+1</f>
        <v>601</v>
      </c>
      <c r="CF308" s="154" t="s">
        <v>175</v>
      </c>
      <c r="CG308" s="155">
        <v>1.4999999999999999E-2</v>
      </c>
      <c r="CH308" s="155">
        <v>3.4500000000000003E-2</v>
      </c>
      <c r="CI308" s="155">
        <v>4.4900000000000002E-2</v>
      </c>
    </row>
    <row r="309" spans="73:87" ht="57.75" thickBot="1" x14ac:dyDescent="0.25">
      <c r="BU309" s="94">
        <v>400</v>
      </c>
      <c r="BV309" s="154" t="str">
        <f t="shared" si="2"/>
        <v>Construção e Manutenção de Estações e Redes de Distribuição de Energia Elétrica</v>
      </c>
      <c r="BW309" s="152">
        <v>0.24</v>
      </c>
      <c r="BX309" s="152">
        <v>0.25840000000000002</v>
      </c>
      <c r="BY309" s="152">
        <v>0.27860000000000001</v>
      </c>
      <c r="CE309" s="94">
        <f>+CE308+1</f>
        <v>602</v>
      </c>
      <c r="CF309" s="151" t="s">
        <v>176</v>
      </c>
      <c r="CG309" s="152">
        <v>3.0000000000000001E-3</v>
      </c>
      <c r="CH309" s="152">
        <v>4.7999999999999996E-3</v>
      </c>
      <c r="CI309" s="152">
        <v>8.2000000000000007E-3</v>
      </c>
    </row>
    <row r="310" spans="73:87" ht="29.25" thickBot="1" x14ac:dyDescent="0.25">
      <c r="BU310" s="94">
        <v>500</v>
      </c>
      <c r="BV310" s="154" t="str">
        <f t="shared" si="2"/>
        <v>Portuárias, Marítimas e Fluviais</v>
      </c>
      <c r="BW310" s="152">
        <v>0.22800000000000001</v>
      </c>
      <c r="BX310" s="152">
        <v>0.27479999999999999</v>
      </c>
      <c r="BY310" s="152">
        <v>0.3095</v>
      </c>
      <c r="CE310" s="94">
        <f>+CE309+1</f>
        <v>603</v>
      </c>
      <c r="CF310" s="151" t="s">
        <v>177</v>
      </c>
      <c r="CG310" s="152">
        <v>5.5999999999999999E-3</v>
      </c>
      <c r="CH310" s="152">
        <v>8.5000000000000006E-3</v>
      </c>
      <c r="CI310" s="152">
        <v>8.8999999999999999E-3</v>
      </c>
    </row>
    <row r="311" spans="73:87" ht="29.25" thickBot="1" x14ac:dyDescent="0.25">
      <c r="BU311" s="94">
        <v>600</v>
      </c>
      <c r="BV311" s="154" t="str">
        <f t="shared" si="2"/>
        <v>Fornecimento de Materiais e Equipamentos</v>
      </c>
      <c r="BW311" s="152">
        <v>0.111</v>
      </c>
      <c r="BX311" s="152">
        <v>0.14019999999999999</v>
      </c>
      <c r="BY311" s="152">
        <v>0.16800000000000001</v>
      </c>
      <c r="CE311" s="94">
        <f>+CE310+1</f>
        <v>604</v>
      </c>
      <c r="CF311" s="151" t="s">
        <v>178</v>
      </c>
      <c r="CG311" s="152">
        <v>8.5000000000000006E-3</v>
      </c>
      <c r="CH311" s="152">
        <v>8.5000000000000006E-3</v>
      </c>
      <c r="CI311" s="152">
        <v>1.11E-2</v>
      </c>
    </row>
    <row r="312" spans="73:87" ht="15" thickBot="1" x14ac:dyDescent="0.25">
      <c r="CE312" s="94">
        <f>+CE311+1</f>
        <v>605</v>
      </c>
      <c r="CF312" s="151" t="s">
        <v>179</v>
      </c>
      <c r="CG312" s="152">
        <v>3.5000000000000003E-2</v>
      </c>
      <c r="CH312" s="152">
        <v>5.11E-2</v>
      </c>
      <c r="CI312" s="152">
        <v>6.2199999999999998E-2</v>
      </c>
    </row>
  </sheetData>
  <sheetProtection formatCells="0" formatColumns="0" formatRows="0" selectLockedCells="1"/>
  <mergeCells count="36">
    <mergeCell ref="L17:AW19"/>
    <mergeCell ref="E19:G19"/>
    <mergeCell ref="C31:G31"/>
    <mergeCell ref="C2:G2"/>
    <mergeCell ref="C5:G5"/>
    <mergeCell ref="D7:G7"/>
    <mergeCell ref="C13:G13"/>
    <mergeCell ref="F17:G17"/>
    <mergeCell ref="E20:G21"/>
    <mergeCell ref="E23:G23"/>
    <mergeCell ref="E24:G24"/>
    <mergeCell ref="E28:F28"/>
    <mergeCell ref="C30:G30"/>
    <mergeCell ref="CF271:CI271"/>
    <mergeCell ref="C34:G34"/>
    <mergeCell ref="C35:G35"/>
    <mergeCell ref="F50:G50"/>
    <mergeCell ref="C52:G52"/>
    <mergeCell ref="C56:G56"/>
    <mergeCell ref="C58:E58"/>
    <mergeCell ref="F58:G58"/>
    <mergeCell ref="E60:F60"/>
    <mergeCell ref="B65:H65"/>
    <mergeCell ref="B66:H66"/>
    <mergeCell ref="B67:H67"/>
    <mergeCell ref="BU255:BY255"/>
    <mergeCell ref="BU293:BY293"/>
    <mergeCell ref="CF294:CI294"/>
    <mergeCell ref="CF300:CI300"/>
    <mergeCell ref="CF307:CI307"/>
    <mergeCell ref="CF279:CI279"/>
    <mergeCell ref="BU282:BY282"/>
    <mergeCell ref="BU287:BY287"/>
    <mergeCell ref="CF287:CI287"/>
    <mergeCell ref="BU288:BY288"/>
    <mergeCell ref="BU289:BY289"/>
  </mergeCells>
  <conditionalFormatting sqref="C56:G60">
    <cfRule type="expression" dxfId="1" priority="2" stopIfTrue="1">
      <formula>OR($G$9="NÃO",$G$9="")</formula>
    </cfRule>
  </conditionalFormatting>
  <conditionalFormatting sqref="G37:G41">
    <cfRule type="cellIs" dxfId="0" priority="1" stopIfTrue="1" operator="between">
      <formula>$D37</formula>
      <formula>$F37</formula>
    </cfRule>
  </conditionalFormatting>
  <dataValidations count="5">
    <dataValidation type="decimal" allowBlank="1" showInputMessage="1" showErrorMessage="1" errorTitle="FORA DO INTERVALO" error="Deve-se adotar valor entre o 1º e 3º quartil" sqref="G37:G41 JC37:JC41 SY37:SY41 ACU37:ACU41 AMQ37:AMQ41 AWM37:AWM41 BGI37:BGI41 BQE37:BQE41 CAA37:CAA41 CJW37:CJW41 CTS37:CTS41 DDO37:DDO41 DNK37:DNK41 DXG37:DXG41 EHC37:EHC41 EQY37:EQY41 FAU37:FAU41 FKQ37:FKQ41 FUM37:FUM41 GEI37:GEI41 GOE37:GOE41 GYA37:GYA41 HHW37:HHW41 HRS37:HRS41 IBO37:IBO41 ILK37:ILK41 IVG37:IVG41 JFC37:JFC41 JOY37:JOY41 JYU37:JYU41 KIQ37:KIQ41 KSM37:KSM41 LCI37:LCI41 LME37:LME41 LWA37:LWA41 MFW37:MFW41 MPS37:MPS41 MZO37:MZO41 NJK37:NJK41 NTG37:NTG41 ODC37:ODC41 OMY37:OMY41 OWU37:OWU41 PGQ37:PGQ41 PQM37:PQM41 QAI37:QAI41 QKE37:QKE41 QUA37:QUA41 RDW37:RDW41 RNS37:RNS41 RXO37:RXO41 SHK37:SHK41 SRG37:SRG41 TBC37:TBC41 TKY37:TKY41 TUU37:TUU41 UEQ37:UEQ41 UOM37:UOM41 UYI37:UYI41 VIE37:VIE41 VSA37:VSA41 WBW37:WBW41 WLS37:WLS41 WVO37:WVO41 G65573:G65577 JC65573:JC65577 SY65573:SY65577 ACU65573:ACU65577 AMQ65573:AMQ65577 AWM65573:AWM65577 BGI65573:BGI65577 BQE65573:BQE65577 CAA65573:CAA65577 CJW65573:CJW65577 CTS65573:CTS65577 DDO65573:DDO65577 DNK65573:DNK65577 DXG65573:DXG65577 EHC65573:EHC65577 EQY65573:EQY65577 FAU65573:FAU65577 FKQ65573:FKQ65577 FUM65573:FUM65577 GEI65573:GEI65577 GOE65573:GOE65577 GYA65573:GYA65577 HHW65573:HHW65577 HRS65573:HRS65577 IBO65573:IBO65577 ILK65573:ILK65577 IVG65573:IVG65577 JFC65573:JFC65577 JOY65573:JOY65577 JYU65573:JYU65577 KIQ65573:KIQ65577 KSM65573:KSM65577 LCI65573:LCI65577 LME65573:LME65577 LWA65573:LWA65577 MFW65573:MFW65577 MPS65573:MPS65577 MZO65573:MZO65577 NJK65573:NJK65577 NTG65573:NTG65577 ODC65573:ODC65577 OMY65573:OMY65577 OWU65573:OWU65577 PGQ65573:PGQ65577 PQM65573:PQM65577 QAI65573:QAI65577 QKE65573:QKE65577 QUA65573:QUA65577 RDW65573:RDW65577 RNS65573:RNS65577 RXO65573:RXO65577 SHK65573:SHK65577 SRG65573:SRG65577 TBC65573:TBC65577 TKY65573:TKY65577 TUU65573:TUU65577 UEQ65573:UEQ65577 UOM65573:UOM65577 UYI65573:UYI65577 VIE65573:VIE65577 VSA65573:VSA65577 WBW65573:WBW65577 WLS65573:WLS65577 WVO65573:WVO65577 G131109:G131113 JC131109:JC131113 SY131109:SY131113 ACU131109:ACU131113 AMQ131109:AMQ131113 AWM131109:AWM131113 BGI131109:BGI131113 BQE131109:BQE131113 CAA131109:CAA131113 CJW131109:CJW131113 CTS131109:CTS131113 DDO131109:DDO131113 DNK131109:DNK131113 DXG131109:DXG131113 EHC131109:EHC131113 EQY131109:EQY131113 FAU131109:FAU131113 FKQ131109:FKQ131113 FUM131109:FUM131113 GEI131109:GEI131113 GOE131109:GOE131113 GYA131109:GYA131113 HHW131109:HHW131113 HRS131109:HRS131113 IBO131109:IBO131113 ILK131109:ILK131113 IVG131109:IVG131113 JFC131109:JFC131113 JOY131109:JOY131113 JYU131109:JYU131113 KIQ131109:KIQ131113 KSM131109:KSM131113 LCI131109:LCI131113 LME131109:LME131113 LWA131109:LWA131113 MFW131109:MFW131113 MPS131109:MPS131113 MZO131109:MZO131113 NJK131109:NJK131113 NTG131109:NTG131113 ODC131109:ODC131113 OMY131109:OMY131113 OWU131109:OWU131113 PGQ131109:PGQ131113 PQM131109:PQM131113 QAI131109:QAI131113 QKE131109:QKE131113 QUA131109:QUA131113 RDW131109:RDW131113 RNS131109:RNS131113 RXO131109:RXO131113 SHK131109:SHK131113 SRG131109:SRG131113 TBC131109:TBC131113 TKY131109:TKY131113 TUU131109:TUU131113 UEQ131109:UEQ131113 UOM131109:UOM131113 UYI131109:UYI131113 VIE131109:VIE131113 VSA131109:VSA131113 WBW131109:WBW131113 WLS131109:WLS131113 WVO131109:WVO131113 G196645:G196649 JC196645:JC196649 SY196645:SY196649 ACU196645:ACU196649 AMQ196645:AMQ196649 AWM196645:AWM196649 BGI196645:BGI196649 BQE196645:BQE196649 CAA196645:CAA196649 CJW196645:CJW196649 CTS196645:CTS196649 DDO196645:DDO196649 DNK196645:DNK196649 DXG196645:DXG196649 EHC196645:EHC196649 EQY196645:EQY196649 FAU196645:FAU196649 FKQ196645:FKQ196649 FUM196645:FUM196649 GEI196645:GEI196649 GOE196645:GOE196649 GYA196645:GYA196649 HHW196645:HHW196649 HRS196645:HRS196649 IBO196645:IBO196649 ILK196645:ILK196649 IVG196645:IVG196649 JFC196645:JFC196649 JOY196645:JOY196649 JYU196645:JYU196649 KIQ196645:KIQ196649 KSM196645:KSM196649 LCI196645:LCI196649 LME196645:LME196649 LWA196645:LWA196649 MFW196645:MFW196649 MPS196645:MPS196649 MZO196645:MZO196649 NJK196645:NJK196649 NTG196645:NTG196649 ODC196645:ODC196649 OMY196645:OMY196649 OWU196645:OWU196649 PGQ196645:PGQ196649 PQM196645:PQM196649 QAI196645:QAI196649 QKE196645:QKE196649 QUA196645:QUA196649 RDW196645:RDW196649 RNS196645:RNS196649 RXO196645:RXO196649 SHK196645:SHK196649 SRG196645:SRG196649 TBC196645:TBC196649 TKY196645:TKY196649 TUU196645:TUU196649 UEQ196645:UEQ196649 UOM196645:UOM196649 UYI196645:UYI196649 VIE196645:VIE196649 VSA196645:VSA196649 WBW196645:WBW196649 WLS196645:WLS196649 WVO196645:WVO196649 G262181:G262185 JC262181:JC262185 SY262181:SY262185 ACU262181:ACU262185 AMQ262181:AMQ262185 AWM262181:AWM262185 BGI262181:BGI262185 BQE262181:BQE262185 CAA262181:CAA262185 CJW262181:CJW262185 CTS262181:CTS262185 DDO262181:DDO262185 DNK262181:DNK262185 DXG262181:DXG262185 EHC262181:EHC262185 EQY262181:EQY262185 FAU262181:FAU262185 FKQ262181:FKQ262185 FUM262181:FUM262185 GEI262181:GEI262185 GOE262181:GOE262185 GYA262181:GYA262185 HHW262181:HHW262185 HRS262181:HRS262185 IBO262181:IBO262185 ILK262181:ILK262185 IVG262181:IVG262185 JFC262181:JFC262185 JOY262181:JOY262185 JYU262181:JYU262185 KIQ262181:KIQ262185 KSM262181:KSM262185 LCI262181:LCI262185 LME262181:LME262185 LWA262181:LWA262185 MFW262181:MFW262185 MPS262181:MPS262185 MZO262181:MZO262185 NJK262181:NJK262185 NTG262181:NTG262185 ODC262181:ODC262185 OMY262181:OMY262185 OWU262181:OWU262185 PGQ262181:PGQ262185 PQM262181:PQM262185 QAI262181:QAI262185 QKE262181:QKE262185 QUA262181:QUA262185 RDW262181:RDW262185 RNS262181:RNS262185 RXO262181:RXO262185 SHK262181:SHK262185 SRG262181:SRG262185 TBC262181:TBC262185 TKY262181:TKY262185 TUU262181:TUU262185 UEQ262181:UEQ262185 UOM262181:UOM262185 UYI262181:UYI262185 VIE262181:VIE262185 VSA262181:VSA262185 WBW262181:WBW262185 WLS262181:WLS262185 WVO262181:WVO262185 G327717:G327721 JC327717:JC327721 SY327717:SY327721 ACU327717:ACU327721 AMQ327717:AMQ327721 AWM327717:AWM327721 BGI327717:BGI327721 BQE327717:BQE327721 CAA327717:CAA327721 CJW327717:CJW327721 CTS327717:CTS327721 DDO327717:DDO327721 DNK327717:DNK327721 DXG327717:DXG327721 EHC327717:EHC327721 EQY327717:EQY327721 FAU327717:FAU327721 FKQ327717:FKQ327721 FUM327717:FUM327721 GEI327717:GEI327721 GOE327717:GOE327721 GYA327717:GYA327721 HHW327717:HHW327721 HRS327717:HRS327721 IBO327717:IBO327721 ILK327717:ILK327721 IVG327717:IVG327721 JFC327717:JFC327721 JOY327717:JOY327721 JYU327717:JYU327721 KIQ327717:KIQ327721 KSM327717:KSM327721 LCI327717:LCI327721 LME327717:LME327721 LWA327717:LWA327721 MFW327717:MFW327721 MPS327717:MPS327721 MZO327717:MZO327721 NJK327717:NJK327721 NTG327717:NTG327721 ODC327717:ODC327721 OMY327717:OMY327721 OWU327717:OWU327721 PGQ327717:PGQ327721 PQM327717:PQM327721 QAI327717:QAI327721 QKE327717:QKE327721 QUA327717:QUA327721 RDW327717:RDW327721 RNS327717:RNS327721 RXO327717:RXO327721 SHK327717:SHK327721 SRG327717:SRG327721 TBC327717:TBC327721 TKY327717:TKY327721 TUU327717:TUU327721 UEQ327717:UEQ327721 UOM327717:UOM327721 UYI327717:UYI327721 VIE327717:VIE327721 VSA327717:VSA327721 WBW327717:WBW327721 WLS327717:WLS327721 WVO327717:WVO327721 G393253:G393257 JC393253:JC393257 SY393253:SY393257 ACU393253:ACU393257 AMQ393253:AMQ393257 AWM393253:AWM393257 BGI393253:BGI393257 BQE393253:BQE393257 CAA393253:CAA393257 CJW393253:CJW393257 CTS393253:CTS393257 DDO393253:DDO393257 DNK393253:DNK393257 DXG393253:DXG393257 EHC393253:EHC393257 EQY393253:EQY393257 FAU393253:FAU393257 FKQ393253:FKQ393257 FUM393253:FUM393257 GEI393253:GEI393257 GOE393253:GOE393257 GYA393253:GYA393257 HHW393253:HHW393257 HRS393253:HRS393257 IBO393253:IBO393257 ILK393253:ILK393257 IVG393253:IVG393257 JFC393253:JFC393257 JOY393253:JOY393257 JYU393253:JYU393257 KIQ393253:KIQ393257 KSM393253:KSM393257 LCI393253:LCI393257 LME393253:LME393257 LWA393253:LWA393257 MFW393253:MFW393257 MPS393253:MPS393257 MZO393253:MZO393257 NJK393253:NJK393257 NTG393253:NTG393257 ODC393253:ODC393257 OMY393253:OMY393257 OWU393253:OWU393257 PGQ393253:PGQ393257 PQM393253:PQM393257 QAI393253:QAI393257 QKE393253:QKE393257 QUA393253:QUA393257 RDW393253:RDW393257 RNS393253:RNS393257 RXO393253:RXO393257 SHK393253:SHK393257 SRG393253:SRG393257 TBC393253:TBC393257 TKY393253:TKY393257 TUU393253:TUU393257 UEQ393253:UEQ393257 UOM393253:UOM393257 UYI393253:UYI393257 VIE393253:VIE393257 VSA393253:VSA393257 WBW393253:WBW393257 WLS393253:WLS393257 WVO393253:WVO393257 G458789:G458793 JC458789:JC458793 SY458789:SY458793 ACU458789:ACU458793 AMQ458789:AMQ458793 AWM458789:AWM458793 BGI458789:BGI458793 BQE458789:BQE458793 CAA458789:CAA458793 CJW458789:CJW458793 CTS458789:CTS458793 DDO458789:DDO458793 DNK458789:DNK458793 DXG458789:DXG458793 EHC458789:EHC458793 EQY458789:EQY458793 FAU458789:FAU458793 FKQ458789:FKQ458793 FUM458789:FUM458793 GEI458789:GEI458793 GOE458789:GOE458793 GYA458789:GYA458793 HHW458789:HHW458793 HRS458789:HRS458793 IBO458789:IBO458793 ILK458789:ILK458793 IVG458789:IVG458793 JFC458789:JFC458793 JOY458789:JOY458793 JYU458789:JYU458793 KIQ458789:KIQ458793 KSM458789:KSM458793 LCI458789:LCI458793 LME458789:LME458793 LWA458789:LWA458793 MFW458789:MFW458793 MPS458789:MPS458793 MZO458789:MZO458793 NJK458789:NJK458793 NTG458789:NTG458793 ODC458789:ODC458793 OMY458789:OMY458793 OWU458789:OWU458793 PGQ458789:PGQ458793 PQM458789:PQM458793 QAI458789:QAI458793 QKE458789:QKE458793 QUA458789:QUA458793 RDW458789:RDW458793 RNS458789:RNS458793 RXO458789:RXO458793 SHK458789:SHK458793 SRG458789:SRG458793 TBC458789:TBC458793 TKY458789:TKY458793 TUU458789:TUU458793 UEQ458789:UEQ458793 UOM458789:UOM458793 UYI458789:UYI458793 VIE458789:VIE458793 VSA458789:VSA458793 WBW458789:WBW458793 WLS458789:WLS458793 WVO458789:WVO458793 G524325:G524329 JC524325:JC524329 SY524325:SY524329 ACU524325:ACU524329 AMQ524325:AMQ524329 AWM524325:AWM524329 BGI524325:BGI524329 BQE524325:BQE524329 CAA524325:CAA524329 CJW524325:CJW524329 CTS524325:CTS524329 DDO524325:DDO524329 DNK524325:DNK524329 DXG524325:DXG524329 EHC524325:EHC524329 EQY524325:EQY524329 FAU524325:FAU524329 FKQ524325:FKQ524329 FUM524325:FUM524329 GEI524325:GEI524329 GOE524325:GOE524329 GYA524325:GYA524329 HHW524325:HHW524329 HRS524325:HRS524329 IBO524325:IBO524329 ILK524325:ILK524329 IVG524325:IVG524329 JFC524325:JFC524329 JOY524325:JOY524329 JYU524325:JYU524329 KIQ524325:KIQ524329 KSM524325:KSM524329 LCI524325:LCI524329 LME524325:LME524329 LWA524325:LWA524329 MFW524325:MFW524329 MPS524325:MPS524329 MZO524325:MZO524329 NJK524325:NJK524329 NTG524325:NTG524329 ODC524325:ODC524329 OMY524325:OMY524329 OWU524325:OWU524329 PGQ524325:PGQ524329 PQM524325:PQM524329 QAI524325:QAI524329 QKE524325:QKE524329 QUA524325:QUA524329 RDW524325:RDW524329 RNS524325:RNS524329 RXO524325:RXO524329 SHK524325:SHK524329 SRG524325:SRG524329 TBC524325:TBC524329 TKY524325:TKY524329 TUU524325:TUU524329 UEQ524325:UEQ524329 UOM524325:UOM524329 UYI524325:UYI524329 VIE524325:VIE524329 VSA524325:VSA524329 WBW524325:WBW524329 WLS524325:WLS524329 WVO524325:WVO524329 G589861:G589865 JC589861:JC589865 SY589861:SY589865 ACU589861:ACU589865 AMQ589861:AMQ589865 AWM589861:AWM589865 BGI589861:BGI589865 BQE589861:BQE589865 CAA589861:CAA589865 CJW589861:CJW589865 CTS589861:CTS589865 DDO589861:DDO589865 DNK589861:DNK589865 DXG589861:DXG589865 EHC589861:EHC589865 EQY589861:EQY589865 FAU589861:FAU589865 FKQ589861:FKQ589865 FUM589861:FUM589865 GEI589861:GEI589865 GOE589861:GOE589865 GYA589861:GYA589865 HHW589861:HHW589865 HRS589861:HRS589865 IBO589861:IBO589865 ILK589861:ILK589865 IVG589861:IVG589865 JFC589861:JFC589865 JOY589861:JOY589865 JYU589861:JYU589865 KIQ589861:KIQ589865 KSM589861:KSM589865 LCI589861:LCI589865 LME589861:LME589865 LWA589861:LWA589865 MFW589861:MFW589865 MPS589861:MPS589865 MZO589861:MZO589865 NJK589861:NJK589865 NTG589861:NTG589865 ODC589861:ODC589865 OMY589861:OMY589865 OWU589861:OWU589865 PGQ589861:PGQ589865 PQM589861:PQM589865 QAI589861:QAI589865 QKE589861:QKE589865 QUA589861:QUA589865 RDW589861:RDW589865 RNS589861:RNS589865 RXO589861:RXO589865 SHK589861:SHK589865 SRG589861:SRG589865 TBC589861:TBC589865 TKY589861:TKY589865 TUU589861:TUU589865 UEQ589861:UEQ589865 UOM589861:UOM589865 UYI589861:UYI589865 VIE589861:VIE589865 VSA589861:VSA589865 WBW589861:WBW589865 WLS589861:WLS589865 WVO589861:WVO589865 G655397:G655401 JC655397:JC655401 SY655397:SY655401 ACU655397:ACU655401 AMQ655397:AMQ655401 AWM655397:AWM655401 BGI655397:BGI655401 BQE655397:BQE655401 CAA655397:CAA655401 CJW655397:CJW655401 CTS655397:CTS655401 DDO655397:DDO655401 DNK655397:DNK655401 DXG655397:DXG655401 EHC655397:EHC655401 EQY655397:EQY655401 FAU655397:FAU655401 FKQ655397:FKQ655401 FUM655397:FUM655401 GEI655397:GEI655401 GOE655397:GOE655401 GYA655397:GYA655401 HHW655397:HHW655401 HRS655397:HRS655401 IBO655397:IBO655401 ILK655397:ILK655401 IVG655397:IVG655401 JFC655397:JFC655401 JOY655397:JOY655401 JYU655397:JYU655401 KIQ655397:KIQ655401 KSM655397:KSM655401 LCI655397:LCI655401 LME655397:LME655401 LWA655397:LWA655401 MFW655397:MFW655401 MPS655397:MPS655401 MZO655397:MZO655401 NJK655397:NJK655401 NTG655397:NTG655401 ODC655397:ODC655401 OMY655397:OMY655401 OWU655397:OWU655401 PGQ655397:PGQ655401 PQM655397:PQM655401 QAI655397:QAI655401 QKE655397:QKE655401 QUA655397:QUA655401 RDW655397:RDW655401 RNS655397:RNS655401 RXO655397:RXO655401 SHK655397:SHK655401 SRG655397:SRG655401 TBC655397:TBC655401 TKY655397:TKY655401 TUU655397:TUU655401 UEQ655397:UEQ655401 UOM655397:UOM655401 UYI655397:UYI655401 VIE655397:VIE655401 VSA655397:VSA655401 WBW655397:WBW655401 WLS655397:WLS655401 WVO655397:WVO655401 G720933:G720937 JC720933:JC720937 SY720933:SY720937 ACU720933:ACU720937 AMQ720933:AMQ720937 AWM720933:AWM720937 BGI720933:BGI720937 BQE720933:BQE720937 CAA720933:CAA720937 CJW720933:CJW720937 CTS720933:CTS720937 DDO720933:DDO720937 DNK720933:DNK720937 DXG720933:DXG720937 EHC720933:EHC720937 EQY720933:EQY720937 FAU720933:FAU720937 FKQ720933:FKQ720937 FUM720933:FUM720937 GEI720933:GEI720937 GOE720933:GOE720937 GYA720933:GYA720937 HHW720933:HHW720937 HRS720933:HRS720937 IBO720933:IBO720937 ILK720933:ILK720937 IVG720933:IVG720937 JFC720933:JFC720937 JOY720933:JOY720937 JYU720933:JYU720937 KIQ720933:KIQ720937 KSM720933:KSM720937 LCI720933:LCI720937 LME720933:LME720937 LWA720933:LWA720937 MFW720933:MFW720937 MPS720933:MPS720937 MZO720933:MZO720937 NJK720933:NJK720937 NTG720933:NTG720937 ODC720933:ODC720937 OMY720933:OMY720937 OWU720933:OWU720937 PGQ720933:PGQ720937 PQM720933:PQM720937 QAI720933:QAI720937 QKE720933:QKE720937 QUA720933:QUA720937 RDW720933:RDW720937 RNS720933:RNS720937 RXO720933:RXO720937 SHK720933:SHK720937 SRG720933:SRG720937 TBC720933:TBC720937 TKY720933:TKY720937 TUU720933:TUU720937 UEQ720933:UEQ720937 UOM720933:UOM720937 UYI720933:UYI720937 VIE720933:VIE720937 VSA720933:VSA720937 WBW720933:WBW720937 WLS720933:WLS720937 WVO720933:WVO720937 G786469:G786473 JC786469:JC786473 SY786469:SY786473 ACU786469:ACU786473 AMQ786469:AMQ786473 AWM786469:AWM786473 BGI786469:BGI786473 BQE786469:BQE786473 CAA786469:CAA786473 CJW786469:CJW786473 CTS786469:CTS786473 DDO786469:DDO786473 DNK786469:DNK786473 DXG786469:DXG786473 EHC786469:EHC786473 EQY786469:EQY786473 FAU786469:FAU786473 FKQ786469:FKQ786473 FUM786469:FUM786473 GEI786469:GEI786473 GOE786469:GOE786473 GYA786469:GYA786473 HHW786469:HHW786473 HRS786469:HRS786473 IBO786469:IBO786473 ILK786469:ILK786473 IVG786469:IVG786473 JFC786469:JFC786473 JOY786469:JOY786473 JYU786469:JYU786473 KIQ786469:KIQ786473 KSM786469:KSM786473 LCI786469:LCI786473 LME786469:LME786473 LWA786469:LWA786473 MFW786469:MFW786473 MPS786469:MPS786473 MZO786469:MZO786473 NJK786469:NJK786473 NTG786469:NTG786473 ODC786469:ODC786473 OMY786469:OMY786473 OWU786469:OWU786473 PGQ786469:PGQ786473 PQM786469:PQM786473 QAI786469:QAI786473 QKE786469:QKE786473 QUA786469:QUA786473 RDW786469:RDW786473 RNS786469:RNS786473 RXO786469:RXO786473 SHK786469:SHK786473 SRG786469:SRG786473 TBC786469:TBC786473 TKY786469:TKY786473 TUU786469:TUU786473 UEQ786469:UEQ786473 UOM786469:UOM786473 UYI786469:UYI786473 VIE786469:VIE786473 VSA786469:VSA786473 WBW786469:WBW786473 WLS786469:WLS786473 WVO786469:WVO786473 G852005:G852009 JC852005:JC852009 SY852005:SY852009 ACU852005:ACU852009 AMQ852005:AMQ852009 AWM852005:AWM852009 BGI852005:BGI852009 BQE852005:BQE852009 CAA852005:CAA852009 CJW852005:CJW852009 CTS852005:CTS852009 DDO852005:DDO852009 DNK852005:DNK852009 DXG852005:DXG852009 EHC852005:EHC852009 EQY852005:EQY852009 FAU852005:FAU852009 FKQ852005:FKQ852009 FUM852005:FUM852009 GEI852005:GEI852009 GOE852005:GOE852009 GYA852005:GYA852009 HHW852005:HHW852009 HRS852005:HRS852009 IBO852005:IBO852009 ILK852005:ILK852009 IVG852005:IVG852009 JFC852005:JFC852009 JOY852005:JOY852009 JYU852005:JYU852009 KIQ852005:KIQ852009 KSM852005:KSM852009 LCI852005:LCI852009 LME852005:LME852009 LWA852005:LWA852009 MFW852005:MFW852009 MPS852005:MPS852009 MZO852005:MZO852009 NJK852005:NJK852009 NTG852005:NTG852009 ODC852005:ODC852009 OMY852005:OMY852009 OWU852005:OWU852009 PGQ852005:PGQ852009 PQM852005:PQM852009 QAI852005:QAI852009 QKE852005:QKE852009 QUA852005:QUA852009 RDW852005:RDW852009 RNS852005:RNS852009 RXO852005:RXO852009 SHK852005:SHK852009 SRG852005:SRG852009 TBC852005:TBC852009 TKY852005:TKY852009 TUU852005:TUU852009 UEQ852005:UEQ852009 UOM852005:UOM852009 UYI852005:UYI852009 VIE852005:VIE852009 VSA852005:VSA852009 WBW852005:WBW852009 WLS852005:WLS852009 WVO852005:WVO852009 G917541:G917545 JC917541:JC917545 SY917541:SY917545 ACU917541:ACU917545 AMQ917541:AMQ917545 AWM917541:AWM917545 BGI917541:BGI917545 BQE917541:BQE917545 CAA917541:CAA917545 CJW917541:CJW917545 CTS917541:CTS917545 DDO917541:DDO917545 DNK917541:DNK917545 DXG917541:DXG917545 EHC917541:EHC917545 EQY917541:EQY917545 FAU917541:FAU917545 FKQ917541:FKQ917545 FUM917541:FUM917545 GEI917541:GEI917545 GOE917541:GOE917545 GYA917541:GYA917545 HHW917541:HHW917545 HRS917541:HRS917545 IBO917541:IBO917545 ILK917541:ILK917545 IVG917541:IVG917545 JFC917541:JFC917545 JOY917541:JOY917545 JYU917541:JYU917545 KIQ917541:KIQ917545 KSM917541:KSM917545 LCI917541:LCI917545 LME917541:LME917545 LWA917541:LWA917545 MFW917541:MFW917545 MPS917541:MPS917545 MZO917541:MZO917545 NJK917541:NJK917545 NTG917541:NTG917545 ODC917541:ODC917545 OMY917541:OMY917545 OWU917541:OWU917545 PGQ917541:PGQ917545 PQM917541:PQM917545 QAI917541:QAI917545 QKE917541:QKE917545 QUA917541:QUA917545 RDW917541:RDW917545 RNS917541:RNS917545 RXO917541:RXO917545 SHK917541:SHK917545 SRG917541:SRG917545 TBC917541:TBC917545 TKY917541:TKY917545 TUU917541:TUU917545 UEQ917541:UEQ917545 UOM917541:UOM917545 UYI917541:UYI917545 VIE917541:VIE917545 VSA917541:VSA917545 WBW917541:WBW917545 WLS917541:WLS917545 WVO917541:WVO917545 G983077:G983081 JC983077:JC983081 SY983077:SY983081 ACU983077:ACU983081 AMQ983077:AMQ983081 AWM983077:AWM983081 BGI983077:BGI983081 BQE983077:BQE983081 CAA983077:CAA983081 CJW983077:CJW983081 CTS983077:CTS983081 DDO983077:DDO983081 DNK983077:DNK983081 DXG983077:DXG983081 EHC983077:EHC983081 EQY983077:EQY983081 FAU983077:FAU983081 FKQ983077:FKQ983081 FUM983077:FUM983081 GEI983077:GEI983081 GOE983077:GOE983081 GYA983077:GYA983081 HHW983077:HHW983081 HRS983077:HRS983081 IBO983077:IBO983081 ILK983077:ILK983081 IVG983077:IVG983081 JFC983077:JFC983081 JOY983077:JOY983081 JYU983077:JYU983081 KIQ983077:KIQ983081 KSM983077:KSM983081 LCI983077:LCI983081 LME983077:LME983081 LWA983077:LWA983081 MFW983077:MFW983081 MPS983077:MPS983081 MZO983077:MZO983081 NJK983077:NJK983081 NTG983077:NTG983081 ODC983077:ODC983081 OMY983077:OMY983081 OWU983077:OWU983081 PGQ983077:PGQ983081 PQM983077:PQM983081 QAI983077:QAI983081 QKE983077:QKE983081 QUA983077:QUA983081 RDW983077:RDW983081 RNS983077:RNS983081 RXO983077:RXO983081 SHK983077:SHK983081 SRG983077:SRG983081 TBC983077:TBC983081 TKY983077:TKY983081 TUU983077:TUU983081 UEQ983077:UEQ983081 UOM983077:UOM983081 UYI983077:UYI983081 VIE983077:VIE983081 VSA983077:VSA983081 WBW983077:WBW983081 WLS983077:WLS983081 WVO983077:WVO983081" xr:uid="{00000000-0002-0000-0300-000000000000}">
      <formula1>D37</formula1>
      <formula2>F37</formula2>
    </dataValidation>
    <dataValidation type="list" allowBlank="1" showInputMessage="1" showErrorMessage="1" sqref="F17:G18 JB17:JC18 SX17:SY18 ACT17:ACU18 AMP17:AMQ18 AWL17:AWM18 BGH17:BGI18 BQD17:BQE18 BZZ17:CAA18 CJV17:CJW18 CTR17:CTS18 DDN17:DDO18 DNJ17:DNK18 DXF17:DXG18 EHB17:EHC18 EQX17:EQY18 FAT17:FAU18 FKP17:FKQ18 FUL17:FUM18 GEH17:GEI18 GOD17:GOE18 GXZ17:GYA18 HHV17:HHW18 HRR17:HRS18 IBN17:IBO18 ILJ17:ILK18 IVF17:IVG18 JFB17:JFC18 JOX17:JOY18 JYT17:JYU18 KIP17:KIQ18 KSL17:KSM18 LCH17:LCI18 LMD17:LME18 LVZ17:LWA18 MFV17:MFW18 MPR17:MPS18 MZN17:MZO18 NJJ17:NJK18 NTF17:NTG18 ODB17:ODC18 OMX17:OMY18 OWT17:OWU18 PGP17:PGQ18 PQL17:PQM18 QAH17:QAI18 QKD17:QKE18 QTZ17:QUA18 RDV17:RDW18 RNR17:RNS18 RXN17:RXO18 SHJ17:SHK18 SRF17:SRG18 TBB17:TBC18 TKX17:TKY18 TUT17:TUU18 UEP17:UEQ18 UOL17:UOM18 UYH17:UYI18 VID17:VIE18 VRZ17:VSA18 WBV17:WBW18 WLR17:WLS18 WVN17:WVO18 F65553:G65554 JB65553:JC65554 SX65553:SY65554 ACT65553:ACU65554 AMP65553:AMQ65554 AWL65553:AWM65554 BGH65553:BGI65554 BQD65553:BQE65554 BZZ65553:CAA65554 CJV65553:CJW65554 CTR65553:CTS65554 DDN65553:DDO65554 DNJ65553:DNK65554 DXF65553:DXG65554 EHB65553:EHC65554 EQX65553:EQY65554 FAT65553:FAU65554 FKP65553:FKQ65554 FUL65553:FUM65554 GEH65553:GEI65554 GOD65553:GOE65554 GXZ65553:GYA65554 HHV65553:HHW65554 HRR65553:HRS65554 IBN65553:IBO65554 ILJ65553:ILK65554 IVF65553:IVG65554 JFB65553:JFC65554 JOX65553:JOY65554 JYT65553:JYU65554 KIP65553:KIQ65554 KSL65553:KSM65554 LCH65553:LCI65554 LMD65553:LME65554 LVZ65553:LWA65554 MFV65553:MFW65554 MPR65553:MPS65554 MZN65553:MZO65554 NJJ65553:NJK65554 NTF65553:NTG65554 ODB65553:ODC65554 OMX65553:OMY65554 OWT65553:OWU65554 PGP65553:PGQ65554 PQL65553:PQM65554 QAH65553:QAI65554 QKD65553:QKE65554 QTZ65553:QUA65554 RDV65553:RDW65554 RNR65553:RNS65554 RXN65553:RXO65554 SHJ65553:SHK65554 SRF65553:SRG65554 TBB65553:TBC65554 TKX65553:TKY65554 TUT65553:TUU65554 UEP65553:UEQ65554 UOL65553:UOM65554 UYH65553:UYI65554 VID65553:VIE65554 VRZ65553:VSA65554 WBV65553:WBW65554 WLR65553:WLS65554 WVN65553:WVO65554 F131089:G131090 JB131089:JC131090 SX131089:SY131090 ACT131089:ACU131090 AMP131089:AMQ131090 AWL131089:AWM131090 BGH131089:BGI131090 BQD131089:BQE131090 BZZ131089:CAA131090 CJV131089:CJW131090 CTR131089:CTS131090 DDN131089:DDO131090 DNJ131089:DNK131090 DXF131089:DXG131090 EHB131089:EHC131090 EQX131089:EQY131090 FAT131089:FAU131090 FKP131089:FKQ131090 FUL131089:FUM131090 GEH131089:GEI131090 GOD131089:GOE131090 GXZ131089:GYA131090 HHV131089:HHW131090 HRR131089:HRS131090 IBN131089:IBO131090 ILJ131089:ILK131090 IVF131089:IVG131090 JFB131089:JFC131090 JOX131089:JOY131090 JYT131089:JYU131090 KIP131089:KIQ131090 KSL131089:KSM131090 LCH131089:LCI131090 LMD131089:LME131090 LVZ131089:LWA131090 MFV131089:MFW131090 MPR131089:MPS131090 MZN131089:MZO131090 NJJ131089:NJK131090 NTF131089:NTG131090 ODB131089:ODC131090 OMX131089:OMY131090 OWT131089:OWU131090 PGP131089:PGQ131090 PQL131089:PQM131090 QAH131089:QAI131090 QKD131089:QKE131090 QTZ131089:QUA131090 RDV131089:RDW131090 RNR131089:RNS131090 RXN131089:RXO131090 SHJ131089:SHK131090 SRF131089:SRG131090 TBB131089:TBC131090 TKX131089:TKY131090 TUT131089:TUU131090 UEP131089:UEQ131090 UOL131089:UOM131090 UYH131089:UYI131090 VID131089:VIE131090 VRZ131089:VSA131090 WBV131089:WBW131090 WLR131089:WLS131090 WVN131089:WVO131090 F196625:G196626 JB196625:JC196626 SX196625:SY196626 ACT196625:ACU196626 AMP196625:AMQ196626 AWL196625:AWM196626 BGH196625:BGI196626 BQD196625:BQE196626 BZZ196625:CAA196626 CJV196625:CJW196626 CTR196625:CTS196626 DDN196625:DDO196626 DNJ196625:DNK196626 DXF196625:DXG196626 EHB196625:EHC196626 EQX196625:EQY196626 FAT196625:FAU196626 FKP196625:FKQ196626 FUL196625:FUM196626 GEH196625:GEI196626 GOD196625:GOE196626 GXZ196625:GYA196626 HHV196625:HHW196626 HRR196625:HRS196626 IBN196625:IBO196626 ILJ196625:ILK196626 IVF196625:IVG196626 JFB196625:JFC196626 JOX196625:JOY196626 JYT196625:JYU196626 KIP196625:KIQ196626 KSL196625:KSM196626 LCH196625:LCI196626 LMD196625:LME196626 LVZ196625:LWA196626 MFV196625:MFW196626 MPR196625:MPS196626 MZN196625:MZO196626 NJJ196625:NJK196626 NTF196625:NTG196626 ODB196625:ODC196626 OMX196625:OMY196626 OWT196625:OWU196626 PGP196625:PGQ196626 PQL196625:PQM196626 QAH196625:QAI196626 QKD196625:QKE196626 QTZ196625:QUA196626 RDV196625:RDW196626 RNR196625:RNS196626 RXN196625:RXO196626 SHJ196625:SHK196626 SRF196625:SRG196626 TBB196625:TBC196626 TKX196625:TKY196626 TUT196625:TUU196626 UEP196625:UEQ196626 UOL196625:UOM196626 UYH196625:UYI196626 VID196625:VIE196626 VRZ196625:VSA196626 WBV196625:WBW196626 WLR196625:WLS196626 WVN196625:WVO196626 F262161:G262162 JB262161:JC262162 SX262161:SY262162 ACT262161:ACU262162 AMP262161:AMQ262162 AWL262161:AWM262162 BGH262161:BGI262162 BQD262161:BQE262162 BZZ262161:CAA262162 CJV262161:CJW262162 CTR262161:CTS262162 DDN262161:DDO262162 DNJ262161:DNK262162 DXF262161:DXG262162 EHB262161:EHC262162 EQX262161:EQY262162 FAT262161:FAU262162 FKP262161:FKQ262162 FUL262161:FUM262162 GEH262161:GEI262162 GOD262161:GOE262162 GXZ262161:GYA262162 HHV262161:HHW262162 HRR262161:HRS262162 IBN262161:IBO262162 ILJ262161:ILK262162 IVF262161:IVG262162 JFB262161:JFC262162 JOX262161:JOY262162 JYT262161:JYU262162 KIP262161:KIQ262162 KSL262161:KSM262162 LCH262161:LCI262162 LMD262161:LME262162 LVZ262161:LWA262162 MFV262161:MFW262162 MPR262161:MPS262162 MZN262161:MZO262162 NJJ262161:NJK262162 NTF262161:NTG262162 ODB262161:ODC262162 OMX262161:OMY262162 OWT262161:OWU262162 PGP262161:PGQ262162 PQL262161:PQM262162 QAH262161:QAI262162 QKD262161:QKE262162 QTZ262161:QUA262162 RDV262161:RDW262162 RNR262161:RNS262162 RXN262161:RXO262162 SHJ262161:SHK262162 SRF262161:SRG262162 TBB262161:TBC262162 TKX262161:TKY262162 TUT262161:TUU262162 UEP262161:UEQ262162 UOL262161:UOM262162 UYH262161:UYI262162 VID262161:VIE262162 VRZ262161:VSA262162 WBV262161:WBW262162 WLR262161:WLS262162 WVN262161:WVO262162 F327697:G327698 JB327697:JC327698 SX327697:SY327698 ACT327697:ACU327698 AMP327697:AMQ327698 AWL327697:AWM327698 BGH327697:BGI327698 BQD327697:BQE327698 BZZ327697:CAA327698 CJV327697:CJW327698 CTR327697:CTS327698 DDN327697:DDO327698 DNJ327697:DNK327698 DXF327697:DXG327698 EHB327697:EHC327698 EQX327697:EQY327698 FAT327697:FAU327698 FKP327697:FKQ327698 FUL327697:FUM327698 GEH327697:GEI327698 GOD327697:GOE327698 GXZ327697:GYA327698 HHV327697:HHW327698 HRR327697:HRS327698 IBN327697:IBO327698 ILJ327697:ILK327698 IVF327697:IVG327698 JFB327697:JFC327698 JOX327697:JOY327698 JYT327697:JYU327698 KIP327697:KIQ327698 KSL327697:KSM327698 LCH327697:LCI327698 LMD327697:LME327698 LVZ327697:LWA327698 MFV327697:MFW327698 MPR327697:MPS327698 MZN327697:MZO327698 NJJ327697:NJK327698 NTF327697:NTG327698 ODB327697:ODC327698 OMX327697:OMY327698 OWT327697:OWU327698 PGP327697:PGQ327698 PQL327697:PQM327698 QAH327697:QAI327698 QKD327697:QKE327698 QTZ327697:QUA327698 RDV327697:RDW327698 RNR327697:RNS327698 RXN327697:RXO327698 SHJ327697:SHK327698 SRF327697:SRG327698 TBB327697:TBC327698 TKX327697:TKY327698 TUT327697:TUU327698 UEP327697:UEQ327698 UOL327697:UOM327698 UYH327697:UYI327698 VID327697:VIE327698 VRZ327697:VSA327698 WBV327697:WBW327698 WLR327697:WLS327698 WVN327697:WVO327698 F393233:G393234 JB393233:JC393234 SX393233:SY393234 ACT393233:ACU393234 AMP393233:AMQ393234 AWL393233:AWM393234 BGH393233:BGI393234 BQD393233:BQE393234 BZZ393233:CAA393234 CJV393233:CJW393234 CTR393233:CTS393234 DDN393233:DDO393234 DNJ393233:DNK393234 DXF393233:DXG393234 EHB393233:EHC393234 EQX393233:EQY393234 FAT393233:FAU393234 FKP393233:FKQ393234 FUL393233:FUM393234 GEH393233:GEI393234 GOD393233:GOE393234 GXZ393233:GYA393234 HHV393233:HHW393234 HRR393233:HRS393234 IBN393233:IBO393234 ILJ393233:ILK393234 IVF393233:IVG393234 JFB393233:JFC393234 JOX393233:JOY393234 JYT393233:JYU393234 KIP393233:KIQ393234 KSL393233:KSM393234 LCH393233:LCI393234 LMD393233:LME393234 LVZ393233:LWA393234 MFV393233:MFW393234 MPR393233:MPS393234 MZN393233:MZO393234 NJJ393233:NJK393234 NTF393233:NTG393234 ODB393233:ODC393234 OMX393233:OMY393234 OWT393233:OWU393234 PGP393233:PGQ393234 PQL393233:PQM393234 QAH393233:QAI393234 QKD393233:QKE393234 QTZ393233:QUA393234 RDV393233:RDW393234 RNR393233:RNS393234 RXN393233:RXO393234 SHJ393233:SHK393234 SRF393233:SRG393234 TBB393233:TBC393234 TKX393233:TKY393234 TUT393233:TUU393234 UEP393233:UEQ393234 UOL393233:UOM393234 UYH393233:UYI393234 VID393233:VIE393234 VRZ393233:VSA393234 WBV393233:WBW393234 WLR393233:WLS393234 WVN393233:WVO393234 F458769:G458770 JB458769:JC458770 SX458769:SY458770 ACT458769:ACU458770 AMP458769:AMQ458770 AWL458769:AWM458770 BGH458769:BGI458770 BQD458769:BQE458770 BZZ458769:CAA458770 CJV458769:CJW458770 CTR458769:CTS458770 DDN458769:DDO458770 DNJ458769:DNK458770 DXF458769:DXG458770 EHB458769:EHC458770 EQX458769:EQY458770 FAT458769:FAU458770 FKP458769:FKQ458770 FUL458769:FUM458770 GEH458769:GEI458770 GOD458769:GOE458770 GXZ458769:GYA458770 HHV458769:HHW458770 HRR458769:HRS458770 IBN458769:IBO458770 ILJ458769:ILK458770 IVF458769:IVG458770 JFB458769:JFC458770 JOX458769:JOY458770 JYT458769:JYU458770 KIP458769:KIQ458770 KSL458769:KSM458770 LCH458769:LCI458770 LMD458769:LME458770 LVZ458769:LWA458770 MFV458769:MFW458770 MPR458769:MPS458770 MZN458769:MZO458770 NJJ458769:NJK458770 NTF458769:NTG458770 ODB458769:ODC458770 OMX458769:OMY458770 OWT458769:OWU458770 PGP458769:PGQ458770 PQL458769:PQM458770 QAH458769:QAI458770 QKD458769:QKE458770 QTZ458769:QUA458770 RDV458769:RDW458770 RNR458769:RNS458770 RXN458769:RXO458770 SHJ458769:SHK458770 SRF458769:SRG458770 TBB458769:TBC458770 TKX458769:TKY458770 TUT458769:TUU458770 UEP458769:UEQ458770 UOL458769:UOM458770 UYH458769:UYI458770 VID458769:VIE458770 VRZ458769:VSA458770 WBV458769:WBW458770 WLR458769:WLS458770 WVN458769:WVO458770 F524305:G524306 JB524305:JC524306 SX524305:SY524306 ACT524305:ACU524306 AMP524305:AMQ524306 AWL524305:AWM524306 BGH524305:BGI524306 BQD524305:BQE524306 BZZ524305:CAA524306 CJV524305:CJW524306 CTR524305:CTS524306 DDN524305:DDO524306 DNJ524305:DNK524306 DXF524305:DXG524306 EHB524305:EHC524306 EQX524305:EQY524306 FAT524305:FAU524306 FKP524305:FKQ524306 FUL524305:FUM524306 GEH524305:GEI524306 GOD524305:GOE524306 GXZ524305:GYA524306 HHV524305:HHW524306 HRR524305:HRS524306 IBN524305:IBO524306 ILJ524305:ILK524306 IVF524305:IVG524306 JFB524305:JFC524306 JOX524305:JOY524306 JYT524305:JYU524306 KIP524305:KIQ524306 KSL524305:KSM524306 LCH524305:LCI524306 LMD524305:LME524306 LVZ524305:LWA524306 MFV524305:MFW524306 MPR524305:MPS524306 MZN524305:MZO524306 NJJ524305:NJK524306 NTF524305:NTG524306 ODB524305:ODC524306 OMX524305:OMY524306 OWT524305:OWU524306 PGP524305:PGQ524306 PQL524305:PQM524306 QAH524305:QAI524306 QKD524305:QKE524306 QTZ524305:QUA524306 RDV524305:RDW524306 RNR524305:RNS524306 RXN524305:RXO524306 SHJ524305:SHK524306 SRF524305:SRG524306 TBB524305:TBC524306 TKX524305:TKY524306 TUT524305:TUU524306 UEP524305:UEQ524306 UOL524305:UOM524306 UYH524305:UYI524306 VID524305:VIE524306 VRZ524305:VSA524306 WBV524305:WBW524306 WLR524305:WLS524306 WVN524305:WVO524306 F589841:G589842 JB589841:JC589842 SX589841:SY589842 ACT589841:ACU589842 AMP589841:AMQ589842 AWL589841:AWM589842 BGH589841:BGI589842 BQD589841:BQE589842 BZZ589841:CAA589842 CJV589841:CJW589842 CTR589841:CTS589842 DDN589841:DDO589842 DNJ589841:DNK589842 DXF589841:DXG589842 EHB589841:EHC589842 EQX589841:EQY589842 FAT589841:FAU589842 FKP589841:FKQ589842 FUL589841:FUM589842 GEH589841:GEI589842 GOD589841:GOE589842 GXZ589841:GYA589842 HHV589841:HHW589842 HRR589841:HRS589842 IBN589841:IBO589842 ILJ589841:ILK589842 IVF589841:IVG589842 JFB589841:JFC589842 JOX589841:JOY589842 JYT589841:JYU589842 KIP589841:KIQ589842 KSL589841:KSM589842 LCH589841:LCI589842 LMD589841:LME589842 LVZ589841:LWA589842 MFV589841:MFW589842 MPR589841:MPS589842 MZN589841:MZO589842 NJJ589841:NJK589842 NTF589841:NTG589842 ODB589841:ODC589842 OMX589841:OMY589842 OWT589841:OWU589842 PGP589841:PGQ589842 PQL589841:PQM589842 QAH589841:QAI589842 QKD589841:QKE589842 QTZ589841:QUA589842 RDV589841:RDW589842 RNR589841:RNS589842 RXN589841:RXO589842 SHJ589841:SHK589842 SRF589841:SRG589842 TBB589841:TBC589842 TKX589841:TKY589842 TUT589841:TUU589842 UEP589841:UEQ589842 UOL589841:UOM589842 UYH589841:UYI589842 VID589841:VIE589842 VRZ589841:VSA589842 WBV589841:WBW589842 WLR589841:WLS589842 WVN589841:WVO589842 F655377:G655378 JB655377:JC655378 SX655377:SY655378 ACT655377:ACU655378 AMP655377:AMQ655378 AWL655377:AWM655378 BGH655377:BGI655378 BQD655377:BQE655378 BZZ655377:CAA655378 CJV655377:CJW655378 CTR655377:CTS655378 DDN655377:DDO655378 DNJ655377:DNK655378 DXF655377:DXG655378 EHB655377:EHC655378 EQX655377:EQY655378 FAT655377:FAU655378 FKP655377:FKQ655378 FUL655377:FUM655378 GEH655377:GEI655378 GOD655377:GOE655378 GXZ655377:GYA655378 HHV655377:HHW655378 HRR655377:HRS655378 IBN655377:IBO655378 ILJ655377:ILK655378 IVF655377:IVG655378 JFB655377:JFC655378 JOX655377:JOY655378 JYT655377:JYU655378 KIP655377:KIQ655378 KSL655377:KSM655378 LCH655377:LCI655378 LMD655377:LME655378 LVZ655377:LWA655378 MFV655377:MFW655378 MPR655377:MPS655378 MZN655377:MZO655378 NJJ655377:NJK655378 NTF655377:NTG655378 ODB655377:ODC655378 OMX655377:OMY655378 OWT655377:OWU655378 PGP655377:PGQ655378 PQL655377:PQM655378 QAH655377:QAI655378 QKD655377:QKE655378 QTZ655377:QUA655378 RDV655377:RDW655378 RNR655377:RNS655378 RXN655377:RXO655378 SHJ655377:SHK655378 SRF655377:SRG655378 TBB655377:TBC655378 TKX655377:TKY655378 TUT655377:TUU655378 UEP655377:UEQ655378 UOL655377:UOM655378 UYH655377:UYI655378 VID655377:VIE655378 VRZ655377:VSA655378 WBV655377:WBW655378 WLR655377:WLS655378 WVN655377:WVO655378 F720913:G720914 JB720913:JC720914 SX720913:SY720914 ACT720913:ACU720914 AMP720913:AMQ720914 AWL720913:AWM720914 BGH720913:BGI720914 BQD720913:BQE720914 BZZ720913:CAA720914 CJV720913:CJW720914 CTR720913:CTS720914 DDN720913:DDO720914 DNJ720913:DNK720914 DXF720913:DXG720914 EHB720913:EHC720914 EQX720913:EQY720914 FAT720913:FAU720914 FKP720913:FKQ720914 FUL720913:FUM720914 GEH720913:GEI720914 GOD720913:GOE720914 GXZ720913:GYA720914 HHV720913:HHW720914 HRR720913:HRS720914 IBN720913:IBO720914 ILJ720913:ILK720914 IVF720913:IVG720914 JFB720913:JFC720914 JOX720913:JOY720914 JYT720913:JYU720914 KIP720913:KIQ720914 KSL720913:KSM720914 LCH720913:LCI720914 LMD720913:LME720914 LVZ720913:LWA720914 MFV720913:MFW720914 MPR720913:MPS720914 MZN720913:MZO720914 NJJ720913:NJK720914 NTF720913:NTG720914 ODB720913:ODC720914 OMX720913:OMY720914 OWT720913:OWU720914 PGP720913:PGQ720914 PQL720913:PQM720914 QAH720913:QAI720914 QKD720913:QKE720914 QTZ720913:QUA720914 RDV720913:RDW720914 RNR720913:RNS720914 RXN720913:RXO720914 SHJ720913:SHK720914 SRF720913:SRG720914 TBB720913:TBC720914 TKX720913:TKY720914 TUT720913:TUU720914 UEP720913:UEQ720914 UOL720913:UOM720914 UYH720913:UYI720914 VID720913:VIE720914 VRZ720913:VSA720914 WBV720913:WBW720914 WLR720913:WLS720914 WVN720913:WVO720914 F786449:G786450 JB786449:JC786450 SX786449:SY786450 ACT786449:ACU786450 AMP786449:AMQ786450 AWL786449:AWM786450 BGH786449:BGI786450 BQD786449:BQE786450 BZZ786449:CAA786450 CJV786449:CJW786450 CTR786449:CTS786450 DDN786449:DDO786450 DNJ786449:DNK786450 DXF786449:DXG786450 EHB786449:EHC786450 EQX786449:EQY786450 FAT786449:FAU786450 FKP786449:FKQ786450 FUL786449:FUM786450 GEH786449:GEI786450 GOD786449:GOE786450 GXZ786449:GYA786450 HHV786449:HHW786450 HRR786449:HRS786450 IBN786449:IBO786450 ILJ786449:ILK786450 IVF786449:IVG786450 JFB786449:JFC786450 JOX786449:JOY786450 JYT786449:JYU786450 KIP786449:KIQ786450 KSL786449:KSM786450 LCH786449:LCI786450 LMD786449:LME786450 LVZ786449:LWA786450 MFV786449:MFW786450 MPR786449:MPS786450 MZN786449:MZO786450 NJJ786449:NJK786450 NTF786449:NTG786450 ODB786449:ODC786450 OMX786449:OMY786450 OWT786449:OWU786450 PGP786449:PGQ786450 PQL786449:PQM786450 QAH786449:QAI786450 QKD786449:QKE786450 QTZ786449:QUA786450 RDV786449:RDW786450 RNR786449:RNS786450 RXN786449:RXO786450 SHJ786449:SHK786450 SRF786449:SRG786450 TBB786449:TBC786450 TKX786449:TKY786450 TUT786449:TUU786450 UEP786449:UEQ786450 UOL786449:UOM786450 UYH786449:UYI786450 VID786449:VIE786450 VRZ786449:VSA786450 WBV786449:WBW786450 WLR786449:WLS786450 WVN786449:WVO786450 F851985:G851986 JB851985:JC851986 SX851985:SY851986 ACT851985:ACU851986 AMP851985:AMQ851986 AWL851985:AWM851986 BGH851985:BGI851986 BQD851985:BQE851986 BZZ851985:CAA851986 CJV851985:CJW851986 CTR851985:CTS851986 DDN851985:DDO851986 DNJ851985:DNK851986 DXF851985:DXG851986 EHB851985:EHC851986 EQX851985:EQY851986 FAT851985:FAU851986 FKP851985:FKQ851986 FUL851985:FUM851986 GEH851985:GEI851986 GOD851985:GOE851986 GXZ851985:GYA851986 HHV851985:HHW851986 HRR851985:HRS851986 IBN851985:IBO851986 ILJ851985:ILK851986 IVF851985:IVG851986 JFB851985:JFC851986 JOX851985:JOY851986 JYT851985:JYU851986 KIP851985:KIQ851986 KSL851985:KSM851986 LCH851985:LCI851986 LMD851985:LME851986 LVZ851985:LWA851986 MFV851985:MFW851986 MPR851985:MPS851986 MZN851985:MZO851986 NJJ851985:NJK851986 NTF851985:NTG851986 ODB851985:ODC851986 OMX851985:OMY851986 OWT851985:OWU851986 PGP851985:PGQ851986 PQL851985:PQM851986 QAH851985:QAI851986 QKD851985:QKE851986 QTZ851985:QUA851986 RDV851985:RDW851986 RNR851985:RNS851986 RXN851985:RXO851986 SHJ851985:SHK851986 SRF851985:SRG851986 TBB851985:TBC851986 TKX851985:TKY851986 TUT851985:TUU851986 UEP851985:UEQ851986 UOL851985:UOM851986 UYH851985:UYI851986 VID851985:VIE851986 VRZ851985:VSA851986 WBV851985:WBW851986 WLR851985:WLS851986 WVN851985:WVO851986 F917521:G917522 JB917521:JC917522 SX917521:SY917522 ACT917521:ACU917522 AMP917521:AMQ917522 AWL917521:AWM917522 BGH917521:BGI917522 BQD917521:BQE917522 BZZ917521:CAA917522 CJV917521:CJW917522 CTR917521:CTS917522 DDN917521:DDO917522 DNJ917521:DNK917522 DXF917521:DXG917522 EHB917521:EHC917522 EQX917521:EQY917522 FAT917521:FAU917522 FKP917521:FKQ917522 FUL917521:FUM917522 GEH917521:GEI917522 GOD917521:GOE917522 GXZ917521:GYA917522 HHV917521:HHW917522 HRR917521:HRS917522 IBN917521:IBO917522 ILJ917521:ILK917522 IVF917521:IVG917522 JFB917521:JFC917522 JOX917521:JOY917522 JYT917521:JYU917522 KIP917521:KIQ917522 KSL917521:KSM917522 LCH917521:LCI917522 LMD917521:LME917522 LVZ917521:LWA917522 MFV917521:MFW917522 MPR917521:MPS917522 MZN917521:MZO917522 NJJ917521:NJK917522 NTF917521:NTG917522 ODB917521:ODC917522 OMX917521:OMY917522 OWT917521:OWU917522 PGP917521:PGQ917522 PQL917521:PQM917522 QAH917521:QAI917522 QKD917521:QKE917522 QTZ917521:QUA917522 RDV917521:RDW917522 RNR917521:RNS917522 RXN917521:RXO917522 SHJ917521:SHK917522 SRF917521:SRG917522 TBB917521:TBC917522 TKX917521:TKY917522 TUT917521:TUU917522 UEP917521:UEQ917522 UOL917521:UOM917522 UYH917521:UYI917522 VID917521:VIE917522 VRZ917521:VSA917522 WBV917521:WBW917522 WLR917521:WLS917522 WVN917521:WVO917522 F983057:G983058 JB983057:JC983058 SX983057:SY983058 ACT983057:ACU983058 AMP983057:AMQ983058 AWL983057:AWM983058 BGH983057:BGI983058 BQD983057:BQE983058 BZZ983057:CAA983058 CJV983057:CJW983058 CTR983057:CTS983058 DDN983057:DDO983058 DNJ983057:DNK983058 DXF983057:DXG983058 EHB983057:EHC983058 EQX983057:EQY983058 FAT983057:FAU983058 FKP983057:FKQ983058 FUL983057:FUM983058 GEH983057:GEI983058 GOD983057:GOE983058 GXZ983057:GYA983058 HHV983057:HHW983058 HRR983057:HRS983058 IBN983057:IBO983058 ILJ983057:ILK983058 IVF983057:IVG983058 JFB983057:JFC983058 JOX983057:JOY983058 JYT983057:JYU983058 KIP983057:KIQ983058 KSL983057:KSM983058 LCH983057:LCI983058 LMD983057:LME983058 LVZ983057:LWA983058 MFV983057:MFW983058 MPR983057:MPS983058 MZN983057:MZO983058 NJJ983057:NJK983058 NTF983057:NTG983058 ODB983057:ODC983058 OMX983057:OMY983058 OWT983057:OWU983058 PGP983057:PGQ983058 PQL983057:PQM983058 QAH983057:QAI983058 QKD983057:QKE983058 QTZ983057:QUA983058 RDV983057:RDW983058 RNR983057:RNS983058 RXN983057:RXO983058 SHJ983057:SHK983058 SRF983057:SRG983058 TBB983057:TBC983058 TKX983057:TKY983058 TUT983057:TUU983058 UEP983057:UEQ983058 UOL983057:UOM983058 UYH983057:UYI983058 VID983057:VIE983058 VRZ983057:VSA983058 WBV983057:WBW983058 WLR983057:WLS983058 WVN983057:WVO983058" xr:uid="{00000000-0002-0000-0300-000001000000}">
      <formula1>$CF$266:$CF$267</formula1>
    </dataValidation>
    <dataValidation type="list" allowBlank="1" showInputMessage="1" showErrorMessage="1" sqref="D7:G7 IZ7:JC7 SV7:SY7 ACR7:ACU7 AMN7:AMQ7 AWJ7:AWM7 BGF7:BGI7 BQB7:BQE7 BZX7:CAA7 CJT7:CJW7 CTP7:CTS7 DDL7:DDO7 DNH7:DNK7 DXD7:DXG7 EGZ7:EHC7 EQV7:EQY7 FAR7:FAU7 FKN7:FKQ7 FUJ7:FUM7 GEF7:GEI7 GOB7:GOE7 GXX7:GYA7 HHT7:HHW7 HRP7:HRS7 IBL7:IBO7 ILH7:ILK7 IVD7:IVG7 JEZ7:JFC7 JOV7:JOY7 JYR7:JYU7 KIN7:KIQ7 KSJ7:KSM7 LCF7:LCI7 LMB7:LME7 LVX7:LWA7 MFT7:MFW7 MPP7:MPS7 MZL7:MZO7 NJH7:NJK7 NTD7:NTG7 OCZ7:ODC7 OMV7:OMY7 OWR7:OWU7 PGN7:PGQ7 PQJ7:PQM7 QAF7:QAI7 QKB7:QKE7 QTX7:QUA7 RDT7:RDW7 RNP7:RNS7 RXL7:RXO7 SHH7:SHK7 SRD7:SRG7 TAZ7:TBC7 TKV7:TKY7 TUR7:TUU7 UEN7:UEQ7 UOJ7:UOM7 UYF7:UYI7 VIB7:VIE7 VRX7:VSA7 WBT7:WBW7 WLP7:WLS7 WVL7:WVO7 D65543:G65543 IZ65543:JC65543 SV65543:SY65543 ACR65543:ACU65543 AMN65543:AMQ65543 AWJ65543:AWM65543 BGF65543:BGI65543 BQB65543:BQE65543 BZX65543:CAA65543 CJT65543:CJW65543 CTP65543:CTS65543 DDL65543:DDO65543 DNH65543:DNK65543 DXD65543:DXG65543 EGZ65543:EHC65543 EQV65543:EQY65543 FAR65543:FAU65543 FKN65543:FKQ65543 FUJ65543:FUM65543 GEF65543:GEI65543 GOB65543:GOE65543 GXX65543:GYA65543 HHT65543:HHW65543 HRP65543:HRS65543 IBL65543:IBO65543 ILH65543:ILK65543 IVD65543:IVG65543 JEZ65543:JFC65543 JOV65543:JOY65543 JYR65543:JYU65543 KIN65543:KIQ65543 KSJ65543:KSM65543 LCF65543:LCI65543 LMB65543:LME65543 LVX65543:LWA65543 MFT65543:MFW65543 MPP65543:MPS65543 MZL65543:MZO65543 NJH65543:NJK65543 NTD65543:NTG65543 OCZ65543:ODC65543 OMV65543:OMY65543 OWR65543:OWU65543 PGN65543:PGQ65543 PQJ65543:PQM65543 QAF65543:QAI65543 QKB65543:QKE65543 QTX65543:QUA65543 RDT65543:RDW65543 RNP65543:RNS65543 RXL65543:RXO65543 SHH65543:SHK65543 SRD65543:SRG65543 TAZ65543:TBC65543 TKV65543:TKY65543 TUR65543:TUU65543 UEN65543:UEQ65543 UOJ65543:UOM65543 UYF65543:UYI65543 VIB65543:VIE65543 VRX65543:VSA65543 WBT65543:WBW65543 WLP65543:WLS65543 WVL65543:WVO65543 D131079:G131079 IZ131079:JC131079 SV131079:SY131079 ACR131079:ACU131079 AMN131079:AMQ131079 AWJ131079:AWM131079 BGF131079:BGI131079 BQB131079:BQE131079 BZX131079:CAA131079 CJT131079:CJW131079 CTP131079:CTS131079 DDL131079:DDO131079 DNH131079:DNK131079 DXD131079:DXG131079 EGZ131079:EHC131079 EQV131079:EQY131079 FAR131079:FAU131079 FKN131079:FKQ131079 FUJ131079:FUM131079 GEF131079:GEI131079 GOB131079:GOE131079 GXX131079:GYA131079 HHT131079:HHW131079 HRP131079:HRS131079 IBL131079:IBO131079 ILH131079:ILK131079 IVD131079:IVG131079 JEZ131079:JFC131079 JOV131079:JOY131079 JYR131079:JYU131079 KIN131079:KIQ131079 KSJ131079:KSM131079 LCF131079:LCI131079 LMB131079:LME131079 LVX131079:LWA131079 MFT131079:MFW131079 MPP131079:MPS131079 MZL131079:MZO131079 NJH131079:NJK131079 NTD131079:NTG131079 OCZ131079:ODC131079 OMV131079:OMY131079 OWR131079:OWU131079 PGN131079:PGQ131079 PQJ131079:PQM131079 QAF131079:QAI131079 QKB131079:QKE131079 QTX131079:QUA131079 RDT131079:RDW131079 RNP131079:RNS131079 RXL131079:RXO131079 SHH131079:SHK131079 SRD131079:SRG131079 TAZ131079:TBC131079 TKV131079:TKY131079 TUR131079:TUU131079 UEN131079:UEQ131079 UOJ131079:UOM131079 UYF131079:UYI131079 VIB131079:VIE131079 VRX131079:VSA131079 WBT131079:WBW131079 WLP131079:WLS131079 WVL131079:WVO131079 D196615:G196615 IZ196615:JC196615 SV196615:SY196615 ACR196615:ACU196615 AMN196615:AMQ196615 AWJ196615:AWM196615 BGF196615:BGI196615 BQB196615:BQE196615 BZX196615:CAA196615 CJT196615:CJW196615 CTP196615:CTS196615 DDL196615:DDO196615 DNH196615:DNK196615 DXD196615:DXG196615 EGZ196615:EHC196615 EQV196615:EQY196615 FAR196615:FAU196615 FKN196615:FKQ196615 FUJ196615:FUM196615 GEF196615:GEI196615 GOB196615:GOE196615 GXX196615:GYA196615 HHT196615:HHW196615 HRP196615:HRS196615 IBL196615:IBO196615 ILH196615:ILK196615 IVD196615:IVG196615 JEZ196615:JFC196615 JOV196615:JOY196615 JYR196615:JYU196615 KIN196615:KIQ196615 KSJ196615:KSM196615 LCF196615:LCI196615 LMB196615:LME196615 LVX196615:LWA196615 MFT196615:MFW196615 MPP196615:MPS196615 MZL196615:MZO196615 NJH196615:NJK196615 NTD196615:NTG196615 OCZ196615:ODC196615 OMV196615:OMY196615 OWR196615:OWU196615 PGN196615:PGQ196615 PQJ196615:PQM196615 QAF196615:QAI196615 QKB196615:QKE196615 QTX196615:QUA196615 RDT196615:RDW196615 RNP196615:RNS196615 RXL196615:RXO196615 SHH196615:SHK196615 SRD196615:SRG196615 TAZ196615:TBC196615 TKV196615:TKY196615 TUR196615:TUU196615 UEN196615:UEQ196615 UOJ196615:UOM196615 UYF196615:UYI196615 VIB196615:VIE196615 VRX196615:VSA196615 WBT196615:WBW196615 WLP196615:WLS196615 WVL196615:WVO196615 D262151:G262151 IZ262151:JC262151 SV262151:SY262151 ACR262151:ACU262151 AMN262151:AMQ262151 AWJ262151:AWM262151 BGF262151:BGI262151 BQB262151:BQE262151 BZX262151:CAA262151 CJT262151:CJW262151 CTP262151:CTS262151 DDL262151:DDO262151 DNH262151:DNK262151 DXD262151:DXG262151 EGZ262151:EHC262151 EQV262151:EQY262151 FAR262151:FAU262151 FKN262151:FKQ262151 FUJ262151:FUM262151 GEF262151:GEI262151 GOB262151:GOE262151 GXX262151:GYA262151 HHT262151:HHW262151 HRP262151:HRS262151 IBL262151:IBO262151 ILH262151:ILK262151 IVD262151:IVG262151 JEZ262151:JFC262151 JOV262151:JOY262151 JYR262151:JYU262151 KIN262151:KIQ262151 KSJ262151:KSM262151 LCF262151:LCI262151 LMB262151:LME262151 LVX262151:LWA262151 MFT262151:MFW262151 MPP262151:MPS262151 MZL262151:MZO262151 NJH262151:NJK262151 NTD262151:NTG262151 OCZ262151:ODC262151 OMV262151:OMY262151 OWR262151:OWU262151 PGN262151:PGQ262151 PQJ262151:PQM262151 QAF262151:QAI262151 QKB262151:QKE262151 QTX262151:QUA262151 RDT262151:RDW262151 RNP262151:RNS262151 RXL262151:RXO262151 SHH262151:SHK262151 SRD262151:SRG262151 TAZ262151:TBC262151 TKV262151:TKY262151 TUR262151:TUU262151 UEN262151:UEQ262151 UOJ262151:UOM262151 UYF262151:UYI262151 VIB262151:VIE262151 VRX262151:VSA262151 WBT262151:WBW262151 WLP262151:WLS262151 WVL262151:WVO262151 D327687:G327687 IZ327687:JC327687 SV327687:SY327687 ACR327687:ACU327687 AMN327687:AMQ327687 AWJ327687:AWM327687 BGF327687:BGI327687 BQB327687:BQE327687 BZX327687:CAA327687 CJT327687:CJW327687 CTP327687:CTS327687 DDL327687:DDO327687 DNH327687:DNK327687 DXD327687:DXG327687 EGZ327687:EHC327687 EQV327687:EQY327687 FAR327687:FAU327687 FKN327687:FKQ327687 FUJ327687:FUM327687 GEF327687:GEI327687 GOB327687:GOE327687 GXX327687:GYA327687 HHT327687:HHW327687 HRP327687:HRS327687 IBL327687:IBO327687 ILH327687:ILK327687 IVD327687:IVG327687 JEZ327687:JFC327687 JOV327687:JOY327687 JYR327687:JYU327687 KIN327687:KIQ327687 KSJ327687:KSM327687 LCF327687:LCI327687 LMB327687:LME327687 LVX327687:LWA327687 MFT327687:MFW327687 MPP327687:MPS327687 MZL327687:MZO327687 NJH327687:NJK327687 NTD327687:NTG327687 OCZ327687:ODC327687 OMV327687:OMY327687 OWR327687:OWU327687 PGN327687:PGQ327687 PQJ327687:PQM327687 QAF327687:QAI327687 QKB327687:QKE327687 QTX327687:QUA327687 RDT327687:RDW327687 RNP327687:RNS327687 RXL327687:RXO327687 SHH327687:SHK327687 SRD327687:SRG327687 TAZ327687:TBC327687 TKV327687:TKY327687 TUR327687:TUU327687 UEN327687:UEQ327687 UOJ327687:UOM327687 UYF327687:UYI327687 VIB327687:VIE327687 VRX327687:VSA327687 WBT327687:WBW327687 WLP327687:WLS327687 WVL327687:WVO327687 D393223:G393223 IZ393223:JC393223 SV393223:SY393223 ACR393223:ACU393223 AMN393223:AMQ393223 AWJ393223:AWM393223 BGF393223:BGI393223 BQB393223:BQE393223 BZX393223:CAA393223 CJT393223:CJW393223 CTP393223:CTS393223 DDL393223:DDO393223 DNH393223:DNK393223 DXD393223:DXG393223 EGZ393223:EHC393223 EQV393223:EQY393223 FAR393223:FAU393223 FKN393223:FKQ393223 FUJ393223:FUM393223 GEF393223:GEI393223 GOB393223:GOE393223 GXX393223:GYA393223 HHT393223:HHW393223 HRP393223:HRS393223 IBL393223:IBO393223 ILH393223:ILK393223 IVD393223:IVG393223 JEZ393223:JFC393223 JOV393223:JOY393223 JYR393223:JYU393223 KIN393223:KIQ393223 KSJ393223:KSM393223 LCF393223:LCI393223 LMB393223:LME393223 LVX393223:LWA393223 MFT393223:MFW393223 MPP393223:MPS393223 MZL393223:MZO393223 NJH393223:NJK393223 NTD393223:NTG393223 OCZ393223:ODC393223 OMV393223:OMY393223 OWR393223:OWU393223 PGN393223:PGQ393223 PQJ393223:PQM393223 QAF393223:QAI393223 QKB393223:QKE393223 QTX393223:QUA393223 RDT393223:RDW393223 RNP393223:RNS393223 RXL393223:RXO393223 SHH393223:SHK393223 SRD393223:SRG393223 TAZ393223:TBC393223 TKV393223:TKY393223 TUR393223:TUU393223 UEN393223:UEQ393223 UOJ393223:UOM393223 UYF393223:UYI393223 VIB393223:VIE393223 VRX393223:VSA393223 WBT393223:WBW393223 WLP393223:WLS393223 WVL393223:WVO393223 D458759:G458759 IZ458759:JC458759 SV458759:SY458759 ACR458759:ACU458759 AMN458759:AMQ458759 AWJ458759:AWM458759 BGF458759:BGI458759 BQB458759:BQE458759 BZX458759:CAA458759 CJT458759:CJW458759 CTP458759:CTS458759 DDL458759:DDO458759 DNH458759:DNK458759 DXD458759:DXG458759 EGZ458759:EHC458759 EQV458759:EQY458759 FAR458759:FAU458759 FKN458759:FKQ458759 FUJ458759:FUM458759 GEF458759:GEI458759 GOB458759:GOE458759 GXX458759:GYA458759 HHT458759:HHW458759 HRP458759:HRS458759 IBL458759:IBO458759 ILH458759:ILK458759 IVD458759:IVG458759 JEZ458759:JFC458759 JOV458759:JOY458759 JYR458759:JYU458759 KIN458759:KIQ458759 KSJ458759:KSM458759 LCF458759:LCI458759 LMB458759:LME458759 LVX458759:LWA458759 MFT458759:MFW458759 MPP458759:MPS458759 MZL458759:MZO458759 NJH458759:NJK458759 NTD458759:NTG458759 OCZ458759:ODC458759 OMV458759:OMY458759 OWR458759:OWU458759 PGN458759:PGQ458759 PQJ458759:PQM458759 QAF458759:QAI458759 QKB458759:QKE458759 QTX458759:QUA458759 RDT458759:RDW458759 RNP458759:RNS458759 RXL458759:RXO458759 SHH458759:SHK458759 SRD458759:SRG458759 TAZ458759:TBC458759 TKV458759:TKY458759 TUR458759:TUU458759 UEN458759:UEQ458759 UOJ458759:UOM458759 UYF458759:UYI458759 VIB458759:VIE458759 VRX458759:VSA458759 WBT458759:WBW458759 WLP458759:WLS458759 WVL458759:WVO458759 D524295:G524295 IZ524295:JC524295 SV524295:SY524295 ACR524295:ACU524295 AMN524295:AMQ524295 AWJ524295:AWM524295 BGF524295:BGI524295 BQB524295:BQE524295 BZX524295:CAA524295 CJT524295:CJW524295 CTP524295:CTS524295 DDL524295:DDO524295 DNH524295:DNK524295 DXD524295:DXG524295 EGZ524295:EHC524295 EQV524295:EQY524295 FAR524295:FAU524295 FKN524295:FKQ524295 FUJ524295:FUM524295 GEF524295:GEI524295 GOB524295:GOE524295 GXX524295:GYA524295 HHT524295:HHW524295 HRP524295:HRS524295 IBL524295:IBO524295 ILH524295:ILK524295 IVD524295:IVG524295 JEZ524295:JFC524295 JOV524295:JOY524295 JYR524295:JYU524295 KIN524295:KIQ524295 KSJ524295:KSM524295 LCF524295:LCI524295 LMB524295:LME524295 LVX524295:LWA524295 MFT524295:MFW524295 MPP524295:MPS524295 MZL524295:MZO524295 NJH524295:NJK524295 NTD524295:NTG524295 OCZ524295:ODC524295 OMV524295:OMY524295 OWR524295:OWU524295 PGN524295:PGQ524295 PQJ524295:PQM524295 QAF524295:QAI524295 QKB524295:QKE524295 QTX524295:QUA524295 RDT524295:RDW524295 RNP524295:RNS524295 RXL524295:RXO524295 SHH524295:SHK524295 SRD524295:SRG524295 TAZ524295:TBC524295 TKV524295:TKY524295 TUR524295:TUU524295 UEN524295:UEQ524295 UOJ524295:UOM524295 UYF524295:UYI524295 VIB524295:VIE524295 VRX524295:VSA524295 WBT524295:WBW524295 WLP524295:WLS524295 WVL524295:WVO524295 D589831:G589831 IZ589831:JC589831 SV589831:SY589831 ACR589831:ACU589831 AMN589831:AMQ589831 AWJ589831:AWM589831 BGF589831:BGI589831 BQB589831:BQE589831 BZX589831:CAA589831 CJT589831:CJW589831 CTP589831:CTS589831 DDL589831:DDO589831 DNH589831:DNK589831 DXD589831:DXG589831 EGZ589831:EHC589831 EQV589831:EQY589831 FAR589831:FAU589831 FKN589831:FKQ589831 FUJ589831:FUM589831 GEF589831:GEI589831 GOB589831:GOE589831 GXX589831:GYA589831 HHT589831:HHW589831 HRP589831:HRS589831 IBL589831:IBO589831 ILH589831:ILK589831 IVD589831:IVG589831 JEZ589831:JFC589831 JOV589831:JOY589831 JYR589831:JYU589831 KIN589831:KIQ589831 KSJ589831:KSM589831 LCF589831:LCI589831 LMB589831:LME589831 LVX589831:LWA589831 MFT589831:MFW589831 MPP589831:MPS589831 MZL589831:MZO589831 NJH589831:NJK589831 NTD589831:NTG589831 OCZ589831:ODC589831 OMV589831:OMY589831 OWR589831:OWU589831 PGN589831:PGQ589831 PQJ589831:PQM589831 QAF589831:QAI589831 QKB589831:QKE589831 QTX589831:QUA589831 RDT589831:RDW589831 RNP589831:RNS589831 RXL589831:RXO589831 SHH589831:SHK589831 SRD589831:SRG589831 TAZ589831:TBC589831 TKV589831:TKY589831 TUR589831:TUU589831 UEN589831:UEQ589831 UOJ589831:UOM589831 UYF589831:UYI589831 VIB589831:VIE589831 VRX589831:VSA589831 WBT589831:WBW589831 WLP589831:WLS589831 WVL589831:WVO589831 D655367:G655367 IZ655367:JC655367 SV655367:SY655367 ACR655367:ACU655367 AMN655367:AMQ655367 AWJ655367:AWM655367 BGF655367:BGI655367 BQB655367:BQE655367 BZX655367:CAA655367 CJT655367:CJW655367 CTP655367:CTS655367 DDL655367:DDO655367 DNH655367:DNK655367 DXD655367:DXG655367 EGZ655367:EHC655367 EQV655367:EQY655367 FAR655367:FAU655367 FKN655367:FKQ655367 FUJ655367:FUM655367 GEF655367:GEI655367 GOB655367:GOE655367 GXX655367:GYA655367 HHT655367:HHW655367 HRP655367:HRS655367 IBL655367:IBO655367 ILH655367:ILK655367 IVD655367:IVG655367 JEZ655367:JFC655367 JOV655367:JOY655367 JYR655367:JYU655367 KIN655367:KIQ655367 KSJ655367:KSM655367 LCF655367:LCI655367 LMB655367:LME655367 LVX655367:LWA655367 MFT655367:MFW655367 MPP655367:MPS655367 MZL655367:MZO655367 NJH655367:NJK655367 NTD655367:NTG655367 OCZ655367:ODC655367 OMV655367:OMY655367 OWR655367:OWU655367 PGN655367:PGQ655367 PQJ655367:PQM655367 QAF655367:QAI655367 QKB655367:QKE655367 QTX655367:QUA655367 RDT655367:RDW655367 RNP655367:RNS655367 RXL655367:RXO655367 SHH655367:SHK655367 SRD655367:SRG655367 TAZ655367:TBC655367 TKV655367:TKY655367 TUR655367:TUU655367 UEN655367:UEQ655367 UOJ655367:UOM655367 UYF655367:UYI655367 VIB655367:VIE655367 VRX655367:VSA655367 WBT655367:WBW655367 WLP655367:WLS655367 WVL655367:WVO655367 D720903:G720903 IZ720903:JC720903 SV720903:SY720903 ACR720903:ACU720903 AMN720903:AMQ720903 AWJ720903:AWM720903 BGF720903:BGI720903 BQB720903:BQE720903 BZX720903:CAA720903 CJT720903:CJW720903 CTP720903:CTS720903 DDL720903:DDO720903 DNH720903:DNK720903 DXD720903:DXG720903 EGZ720903:EHC720903 EQV720903:EQY720903 FAR720903:FAU720903 FKN720903:FKQ720903 FUJ720903:FUM720903 GEF720903:GEI720903 GOB720903:GOE720903 GXX720903:GYA720903 HHT720903:HHW720903 HRP720903:HRS720903 IBL720903:IBO720903 ILH720903:ILK720903 IVD720903:IVG720903 JEZ720903:JFC720903 JOV720903:JOY720903 JYR720903:JYU720903 KIN720903:KIQ720903 KSJ720903:KSM720903 LCF720903:LCI720903 LMB720903:LME720903 LVX720903:LWA720903 MFT720903:MFW720903 MPP720903:MPS720903 MZL720903:MZO720903 NJH720903:NJK720903 NTD720903:NTG720903 OCZ720903:ODC720903 OMV720903:OMY720903 OWR720903:OWU720903 PGN720903:PGQ720903 PQJ720903:PQM720903 QAF720903:QAI720903 QKB720903:QKE720903 QTX720903:QUA720903 RDT720903:RDW720903 RNP720903:RNS720903 RXL720903:RXO720903 SHH720903:SHK720903 SRD720903:SRG720903 TAZ720903:TBC720903 TKV720903:TKY720903 TUR720903:TUU720903 UEN720903:UEQ720903 UOJ720903:UOM720903 UYF720903:UYI720903 VIB720903:VIE720903 VRX720903:VSA720903 WBT720903:WBW720903 WLP720903:WLS720903 WVL720903:WVO720903 D786439:G786439 IZ786439:JC786439 SV786439:SY786439 ACR786439:ACU786439 AMN786439:AMQ786439 AWJ786439:AWM786439 BGF786439:BGI786439 BQB786439:BQE786439 BZX786439:CAA786439 CJT786439:CJW786439 CTP786439:CTS786439 DDL786439:DDO786439 DNH786439:DNK786439 DXD786439:DXG786439 EGZ786439:EHC786439 EQV786439:EQY786439 FAR786439:FAU786439 FKN786439:FKQ786439 FUJ786439:FUM786439 GEF786439:GEI786439 GOB786439:GOE786439 GXX786439:GYA786439 HHT786439:HHW786439 HRP786439:HRS786439 IBL786439:IBO786439 ILH786439:ILK786439 IVD786439:IVG786439 JEZ786439:JFC786439 JOV786439:JOY786439 JYR786439:JYU786439 KIN786439:KIQ786439 KSJ786439:KSM786439 LCF786439:LCI786439 LMB786439:LME786439 LVX786439:LWA786439 MFT786439:MFW786439 MPP786439:MPS786439 MZL786439:MZO786439 NJH786439:NJK786439 NTD786439:NTG786439 OCZ786439:ODC786439 OMV786439:OMY786439 OWR786439:OWU786439 PGN786439:PGQ786439 PQJ786439:PQM786439 QAF786439:QAI786439 QKB786439:QKE786439 QTX786439:QUA786439 RDT786439:RDW786439 RNP786439:RNS786439 RXL786439:RXO786439 SHH786439:SHK786439 SRD786439:SRG786439 TAZ786439:TBC786439 TKV786439:TKY786439 TUR786439:TUU786439 UEN786439:UEQ786439 UOJ786439:UOM786439 UYF786439:UYI786439 VIB786439:VIE786439 VRX786439:VSA786439 WBT786439:WBW786439 WLP786439:WLS786439 WVL786439:WVO786439 D851975:G851975 IZ851975:JC851975 SV851975:SY851975 ACR851975:ACU851975 AMN851975:AMQ851975 AWJ851975:AWM851975 BGF851975:BGI851975 BQB851975:BQE851975 BZX851975:CAA851975 CJT851975:CJW851975 CTP851975:CTS851975 DDL851975:DDO851975 DNH851975:DNK851975 DXD851975:DXG851975 EGZ851975:EHC851975 EQV851975:EQY851975 FAR851975:FAU851975 FKN851975:FKQ851975 FUJ851975:FUM851975 GEF851975:GEI851975 GOB851975:GOE851975 GXX851975:GYA851975 HHT851975:HHW851975 HRP851975:HRS851975 IBL851975:IBO851975 ILH851975:ILK851975 IVD851975:IVG851975 JEZ851975:JFC851975 JOV851975:JOY851975 JYR851975:JYU851975 KIN851975:KIQ851975 KSJ851975:KSM851975 LCF851975:LCI851975 LMB851975:LME851975 LVX851975:LWA851975 MFT851975:MFW851975 MPP851975:MPS851975 MZL851975:MZO851975 NJH851975:NJK851975 NTD851975:NTG851975 OCZ851975:ODC851975 OMV851975:OMY851975 OWR851975:OWU851975 PGN851975:PGQ851975 PQJ851975:PQM851975 QAF851975:QAI851975 QKB851975:QKE851975 QTX851975:QUA851975 RDT851975:RDW851975 RNP851975:RNS851975 RXL851975:RXO851975 SHH851975:SHK851975 SRD851975:SRG851975 TAZ851975:TBC851975 TKV851975:TKY851975 TUR851975:TUU851975 UEN851975:UEQ851975 UOJ851975:UOM851975 UYF851975:UYI851975 VIB851975:VIE851975 VRX851975:VSA851975 WBT851975:WBW851975 WLP851975:WLS851975 WVL851975:WVO851975 D917511:G917511 IZ917511:JC917511 SV917511:SY917511 ACR917511:ACU917511 AMN917511:AMQ917511 AWJ917511:AWM917511 BGF917511:BGI917511 BQB917511:BQE917511 BZX917511:CAA917511 CJT917511:CJW917511 CTP917511:CTS917511 DDL917511:DDO917511 DNH917511:DNK917511 DXD917511:DXG917511 EGZ917511:EHC917511 EQV917511:EQY917511 FAR917511:FAU917511 FKN917511:FKQ917511 FUJ917511:FUM917511 GEF917511:GEI917511 GOB917511:GOE917511 GXX917511:GYA917511 HHT917511:HHW917511 HRP917511:HRS917511 IBL917511:IBO917511 ILH917511:ILK917511 IVD917511:IVG917511 JEZ917511:JFC917511 JOV917511:JOY917511 JYR917511:JYU917511 KIN917511:KIQ917511 KSJ917511:KSM917511 LCF917511:LCI917511 LMB917511:LME917511 LVX917511:LWA917511 MFT917511:MFW917511 MPP917511:MPS917511 MZL917511:MZO917511 NJH917511:NJK917511 NTD917511:NTG917511 OCZ917511:ODC917511 OMV917511:OMY917511 OWR917511:OWU917511 PGN917511:PGQ917511 PQJ917511:PQM917511 QAF917511:QAI917511 QKB917511:QKE917511 QTX917511:QUA917511 RDT917511:RDW917511 RNP917511:RNS917511 RXL917511:RXO917511 SHH917511:SHK917511 SRD917511:SRG917511 TAZ917511:TBC917511 TKV917511:TKY917511 TUR917511:TUU917511 UEN917511:UEQ917511 UOJ917511:UOM917511 UYF917511:UYI917511 VIB917511:VIE917511 VRX917511:VSA917511 WBT917511:WBW917511 WLP917511:WLS917511 WVL917511:WVO917511 D983047:G983047 IZ983047:JC983047 SV983047:SY983047 ACR983047:ACU983047 AMN983047:AMQ983047 AWJ983047:AWM983047 BGF983047:BGI983047 BQB983047:BQE983047 BZX983047:CAA983047 CJT983047:CJW983047 CTP983047:CTS983047 DDL983047:DDO983047 DNH983047:DNK983047 DXD983047:DXG983047 EGZ983047:EHC983047 EQV983047:EQY983047 FAR983047:FAU983047 FKN983047:FKQ983047 FUJ983047:FUM983047 GEF983047:GEI983047 GOB983047:GOE983047 GXX983047:GYA983047 HHT983047:HHW983047 HRP983047:HRS983047 IBL983047:IBO983047 ILH983047:ILK983047 IVD983047:IVG983047 JEZ983047:JFC983047 JOV983047:JOY983047 JYR983047:JYU983047 KIN983047:KIQ983047 KSJ983047:KSM983047 LCF983047:LCI983047 LMB983047:LME983047 LVX983047:LWA983047 MFT983047:MFW983047 MPP983047:MPS983047 MZL983047:MZO983047 NJH983047:NJK983047 NTD983047:NTG983047 OCZ983047:ODC983047 OMV983047:OMY983047 OWR983047:OWU983047 PGN983047:PGQ983047 PQJ983047:PQM983047 QAF983047:QAI983047 QKB983047:QKE983047 QTX983047:QUA983047 RDT983047:RDW983047 RNP983047:RNS983047 RXL983047:RXO983047 SHH983047:SHK983047 SRD983047:SRG983047 TAZ983047:TBC983047 TKV983047:TKY983047 TUR983047:TUU983047 UEN983047:UEQ983047 UOJ983047:UOM983047 UYF983047:UYI983047 VIB983047:VIE983047 VRX983047:VSA983047 WBT983047:WBW983047 WLP983047:WLS983047 WVL983047:WVO983047" xr:uid="{00000000-0002-0000-0300-000002000000}">
      <formula1>$BV$257:$BV$262</formula1>
    </dataValidation>
    <dataValidation type="list" allowBlank="1" showInputMessage="1" showErrorMessage="1" sqref="G9 JC9 SY9 ACU9 AMQ9 AWM9 BGI9 BQE9 CAA9 CJW9 CTS9 DDO9 DNK9 DXG9 EHC9 EQY9 FAU9 FKQ9 FUM9 GEI9 GOE9 GYA9 HHW9 HRS9 IBO9 ILK9 IVG9 JFC9 JOY9 JYU9 KIQ9 KSM9 LCI9 LME9 LWA9 MFW9 MPS9 MZO9 NJK9 NTG9 ODC9 OMY9 OWU9 PGQ9 PQM9 QAI9 QKE9 QUA9 RDW9 RNS9 RXO9 SHK9 SRG9 TBC9 TKY9 TUU9 UEQ9 UOM9 UYI9 VIE9 VSA9 WBW9 WLS9 WVO9 G65545 JC65545 SY65545 ACU65545 AMQ65545 AWM65545 BGI65545 BQE65545 CAA65545 CJW65545 CTS65545 DDO65545 DNK65545 DXG65545 EHC65545 EQY65545 FAU65545 FKQ65545 FUM65545 GEI65545 GOE65545 GYA65545 HHW65545 HRS65545 IBO65545 ILK65545 IVG65545 JFC65545 JOY65545 JYU65545 KIQ65545 KSM65545 LCI65545 LME65545 LWA65545 MFW65545 MPS65545 MZO65545 NJK65545 NTG65545 ODC65545 OMY65545 OWU65545 PGQ65545 PQM65545 QAI65545 QKE65545 QUA65545 RDW65545 RNS65545 RXO65545 SHK65545 SRG65545 TBC65545 TKY65545 TUU65545 UEQ65545 UOM65545 UYI65545 VIE65545 VSA65545 WBW65545 WLS65545 WVO65545 G131081 JC131081 SY131081 ACU131081 AMQ131081 AWM131081 BGI131081 BQE131081 CAA131081 CJW131081 CTS131081 DDO131081 DNK131081 DXG131081 EHC131081 EQY131081 FAU131081 FKQ131081 FUM131081 GEI131081 GOE131081 GYA131081 HHW131081 HRS131081 IBO131081 ILK131081 IVG131081 JFC131081 JOY131081 JYU131081 KIQ131081 KSM131081 LCI131081 LME131081 LWA131081 MFW131081 MPS131081 MZO131081 NJK131081 NTG131081 ODC131081 OMY131081 OWU131081 PGQ131081 PQM131081 QAI131081 QKE131081 QUA131081 RDW131081 RNS131081 RXO131081 SHK131081 SRG131081 TBC131081 TKY131081 TUU131081 UEQ131081 UOM131081 UYI131081 VIE131081 VSA131081 WBW131081 WLS131081 WVO131081 G196617 JC196617 SY196617 ACU196617 AMQ196617 AWM196617 BGI196617 BQE196617 CAA196617 CJW196617 CTS196617 DDO196617 DNK196617 DXG196617 EHC196617 EQY196617 FAU196617 FKQ196617 FUM196617 GEI196617 GOE196617 GYA196617 HHW196617 HRS196617 IBO196617 ILK196617 IVG196617 JFC196617 JOY196617 JYU196617 KIQ196617 KSM196617 LCI196617 LME196617 LWA196617 MFW196617 MPS196617 MZO196617 NJK196617 NTG196617 ODC196617 OMY196617 OWU196617 PGQ196617 PQM196617 QAI196617 QKE196617 QUA196617 RDW196617 RNS196617 RXO196617 SHK196617 SRG196617 TBC196617 TKY196617 TUU196617 UEQ196617 UOM196617 UYI196617 VIE196617 VSA196617 WBW196617 WLS196617 WVO196617 G262153 JC262153 SY262153 ACU262153 AMQ262153 AWM262153 BGI262153 BQE262153 CAA262153 CJW262153 CTS262153 DDO262153 DNK262153 DXG262153 EHC262153 EQY262153 FAU262153 FKQ262153 FUM262153 GEI262153 GOE262153 GYA262153 HHW262153 HRS262153 IBO262153 ILK262153 IVG262153 JFC262153 JOY262153 JYU262153 KIQ262153 KSM262153 LCI262153 LME262153 LWA262153 MFW262153 MPS262153 MZO262153 NJK262153 NTG262153 ODC262153 OMY262153 OWU262153 PGQ262153 PQM262153 QAI262153 QKE262153 QUA262153 RDW262153 RNS262153 RXO262153 SHK262153 SRG262153 TBC262153 TKY262153 TUU262153 UEQ262153 UOM262153 UYI262153 VIE262153 VSA262153 WBW262153 WLS262153 WVO262153 G327689 JC327689 SY327689 ACU327689 AMQ327689 AWM327689 BGI327689 BQE327689 CAA327689 CJW327689 CTS327689 DDO327689 DNK327689 DXG327689 EHC327689 EQY327689 FAU327689 FKQ327689 FUM327689 GEI327689 GOE327689 GYA327689 HHW327689 HRS327689 IBO327689 ILK327689 IVG327689 JFC327689 JOY327689 JYU327689 KIQ327689 KSM327689 LCI327689 LME327689 LWA327689 MFW327689 MPS327689 MZO327689 NJK327689 NTG327689 ODC327689 OMY327689 OWU327689 PGQ327689 PQM327689 QAI327689 QKE327689 QUA327689 RDW327689 RNS327689 RXO327689 SHK327689 SRG327689 TBC327689 TKY327689 TUU327689 UEQ327689 UOM327689 UYI327689 VIE327689 VSA327689 WBW327689 WLS327689 WVO327689 G393225 JC393225 SY393225 ACU393225 AMQ393225 AWM393225 BGI393225 BQE393225 CAA393225 CJW393225 CTS393225 DDO393225 DNK393225 DXG393225 EHC393225 EQY393225 FAU393225 FKQ393225 FUM393225 GEI393225 GOE393225 GYA393225 HHW393225 HRS393225 IBO393225 ILK393225 IVG393225 JFC393225 JOY393225 JYU393225 KIQ393225 KSM393225 LCI393225 LME393225 LWA393225 MFW393225 MPS393225 MZO393225 NJK393225 NTG393225 ODC393225 OMY393225 OWU393225 PGQ393225 PQM393225 QAI393225 QKE393225 QUA393225 RDW393225 RNS393225 RXO393225 SHK393225 SRG393225 TBC393225 TKY393225 TUU393225 UEQ393225 UOM393225 UYI393225 VIE393225 VSA393225 WBW393225 WLS393225 WVO393225 G458761 JC458761 SY458761 ACU458761 AMQ458761 AWM458761 BGI458761 BQE458761 CAA458761 CJW458761 CTS458761 DDO458761 DNK458761 DXG458761 EHC458761 EQY458761 FAU458761 FKQ458761 FUM458761 GEI458761 GOE458761 GYA458761 HHW458761 HRS458761 IBO458761 ILK458761 IVG458761 JFC458761 JOY458761 JYU458761 KIQ458761 KSM458761 LCI458761 LME458761 LWA458761 MFW458761 MPS458761 MZO458761 NJK458761 NTG458761 ODC458761 OMY458761 OWU458761 PGQ458761 PQM458761 QAI458761 QKE458761 QUA458761 RDW458761 RNS458761 RXO458761 SHK458761 SRG458761 TBC458761 TKY458761 TUU458761 UEQ458761 UOM458761 UYI458761 VIE458761 VSA458761 WBW458761 WLS458761 WVO458761 G524297 JC524297 SY524297 ACU524297 AMQ524297 AWM524297 BGI524297 BQE524297 CAA524297 CJW524297 CTS524297 DDO524297 DNK524297 DXG524297 EHC524297 EQY524297 FAU524297 FKQ524297 FUM524297 GEI524297 GOE524297 GYA524297 HHW524297 HRS524297 IBO524297 ILK524297 IVG524297 JFC524297 JOY524297 JYU524297 KIQ524297 KSM524297 LCI524297 LME524297 LWA524297 MFW524297 MPS524297 MZO524297 NJK524297 NTG524297 ODC524297 OMY524297 OWU524297 PGQ524297 PQM524297 QAI524297 QKE524297 QUA524297 RDW524297 RNS524297 RXO524297 SHK524297 SRG524297 TBC524297 TKY524297 TUU524297 UEQ524297 UOM524297 UYI524297 VIE524297 VSA524297 WBW524297 WLS524297 WVO524297 G589833 JC589833 SY589833 ACU589833 AMQ589833 AWM589833 BGI589833 BQE589833 CAA589833 CJW589833 CTS589833 DDO589833 DNK589833 DXG589833 EHC589833 EQY589833 FAU589833 FKQ589833 FUM589833 GEI589833 GOE589833 GYA589833 HHW589833 HRS589833 IBO589833 ILK589833 IVG589833 JFC589833 JOY589833 JYU589833 KIQ589833 KSM589833 LCI589833 LME589833 LWA589833 MFW589833 MPS589833 MZO589833 NJK589833 NTG589833 ODC589833 OMY589833 OWU589833 PGQ589833 PQM589833 QAI589833 QKE589833 QUA589833 RDW589833 RNS589833 RXO589833 SHK589833 SRG589833 TBC589833 TKY589833 TUU589833 UEQ589833 UOM589833 UYI589833 VIE589833 VSA589833 WBW589833 WLS589833 WVO589833 G655369 JC655369 SY655369 ACU655369 AMQ655369 AWM655369 BGI655369 BQE655369 CAA655369 CJW655369 CTS655369 DDO655369 DNK655369 DXG655369 EHC655369 EQY655369 FAU655369 FKQ655369 FUM655369 GEI655369 GOE655369 GYA655369 HHW655369 HRS655369 IBO655369 ILK655369 IVG655369 JFC655369 JOY655369 JYU655369 KIQ655369 KSM655369 LCI655369 LME655369 LWA655369 MFW655369 MPS655369 MZO655369 NJK655369 NTG655369 ODC655369 OMY655369 OWU655369 PGQ655369 PQM655369 QAI655369 QKE655369 QUA655369 RDW655369 RNS655369 RXO655369 SHK655369 SRG655369 TBC655369 TKY655369 TUU655369 UEQ655369 UOM655369 UYI655369 VIE655369 VSA655369 WBW655369 WLS655369 WVO655369 G720905 JC720905 SY720905 ACU720905 AMQ720905 AWM720905 BGI720905 BQE720905 CAA720905 CJW720905 CTS720905 DDO720905 DNK720905 DXG720905 EHC720905 EQY720905 FAU720905 FKQ720905 FUM720905 GEI720905 GOE720905 GYA720905 HHW720905 HRS720905 IBO720905 ILK720905 IVG720905 JFC720905 JOY720905 JYU720905 KIQ720905 KSM720905 LCI720905 LME720905 LWA720905 MFW720905 MPS720905 MZO720905 NJK720905 NTG720905 ODC720905 OMY720905 OWU720905 PGQ720905 PQM720905 QAI720905 QKE720905 QUA720905 RDW720905 RNS720905 RXO720905 SHK720905 SRG720905 TBC720905 TKY720905 TUU720905 UEQ720905 UOM720905 UYI720905 VIE720905 VSA720905 WBW720905 WLS720905 WVO720905 G786441 JC786441 SY786441 ACU786441 AMQ786441 AWM786441 BGI786441 BQE786441 CAA786441 CJW786441 CTS786441 DDO786441 DNK786441 DXG786441 EHC786441 EQY786441 FAU786441 FKQ786441 FUM786441 GEI786441 GOE786441 GYA786441 HHW786441 HRS786441 IBO786441 ILK786441 IVG786441 JFC786441 JOY786441 JYU786441 KIQ786441 KSM786441 LCI786441 LME786441 LWA786441 MFW786441 MPS786441 MZO786441 NJK786441 NTG786441 ODC786441 OMY786441 OWU786441 PGQ786441 PQM786441 QAI786441 QKE786441 QUA786441 RDW786441 RNS786441 RXO786441 SHK786441 SRG786441 TBC786441 TKY786441 TUU786441 UEQ786441 UOM786441 UYI786441 VIE786441 VSA786441 WBW786441 WLS786441 WVO786441 G851977 JC851977 SY851977 ACU851977 AMQ851977 AWM851977 BGI851977 BQE851977 CAA851977 CJW851977 CTS851977 DDO851977 DNK851977 DXG851977 EHC851977 EQY851977 FAU851977 FKQ851977 FUM851977 GEI851977 GOE851977 GYA851977 HHW851977 HRS851977 IBO851977 ILK851977 IVG851977 JFC851977 JOY851977 JYU851977 KIQ851977 KSM851977 LCI851977 LME851977 LWA851977 MFW851977 MPS851977 MZO851977 NJK851977 NTG851977 ODC851977 OMY851977 OWU851977 PGQ851977 PQM851977 QAI851977 QKE851977 QUA851977 RDW851977 RNS851977 RXO851977 SHK851977 SRG851977 TBC851977 TKY851977 TUU851977 UEQ851977 UOM851977 UYI851977 VIE851977 VSA851977 WBW851977 WLS851977 WVO851977 G917513 JC917513 SY917513 ACU917513 AMQ917513 AWM917513 BGI917513 BQE917513 CAA917513 CJW917513 CTS917513 DDO917513 DNK917513 DXG917513 EHC917513 EQY917513 FAU917513 FKQ917513 FUM917513 GEI917513 GOE917513 GYA917513 HHW917513 HRS917513 IBO917513 ILK917513 IVG917513 JFC917513 JOY917513 JYU917513 KIQ917513 KSM917513 LCI917513 LME917513 LWA917513 MFW917513 MPS917513 MZO917513 NJK917513 NTG917513 ODC917513 OMY917513 OWU917513 PGQ917513 PQM917513 QAI917513 QKE917513 QUA917513 RDW917513 RNS917513 RXO917513 SHK917513 SRG917513 TBC917513 TKY917513 TUU917513 UEQ917513 UOM917513 UYI917513 VIE917513 VSA917513 WBW917513 WLS917513 WVO917513 G983049 JC983049 SY983049 ACU983049 AMQ983049 AWM983049 BGI983049 BQE983049 CAA983049 CJW983049 CTS983049 DDO983049 DNK983049 DXG983049 EHC983049 EQY983049 FAU983049 FKQ983049 FUM983049 GEI983049 GOE983049 GYA983049 HHW983049 HRS983049 IBO983049 ILK983049 IVG983049 JFC983049 JOY983049 JYU983049 KIQ983049 KSM983049 LCI983049 LME983049 LWA983049 MFW983049 MPS983049 MZO983049 NJK983049 NTG983049 ODC983049 OMY983049 OWU983049 PGQ983049 PQM983049 QAI983049 QKE983049 QUA983049 RDW983049 RNS983049 RXO983049 SHK983049 SRG983049 TBC983049 TKY983049 TUU983049 UEQ983049 UOM983049 UYI983049 VIE983049 VSA983049 WBW983049 WLS983049 WVO983049" xr:uid="{00000000-0002-0000-0300-000003000000}">
      <formula1>"SIM, NÃO"</formula1>
    </dataValidation>
    <dataValidation type="decimal" allowBlank="1" showInputMessage="1" showErrorMessage="1" sqref="G43:G44 JC43:JC44 SY43:SY44 ACU43:ACU44 AMQ43:AMQ44 AWM43:AWM44 BGI43:BGI44 BQE43:BQE44 CAA43:CAA44 CJW43:CJW44 CTS43:CTS44 DDO43:DDO44 DNK43:DNK44 DXG43:DXG44 EHC43:EHC44 EQY43:EQY44 FAU43:FAU44 FKQ43:FKQ44 FUM43:FUM44 GEI43:GEI44 GOE43:GOE44 GYA43:GYA44 HHW43:HHW44 HRS43:HRS44 IBO43:IBO44 ILK43:ILK44 IVG43:IVG44 JFC43:JFC44 JOY43:JOY44 JYU43:JYU44 KIQ43:KIQ44 KSM43:KSM44 LCI43:LCI44 LME43:LME44 LWA43:LWA44 MFW43:MFW44 MPS43:MPS44 MZO43:MZO44 NJK43:NJK44 NTG43:NTG44 ODC43:ODC44 OMY43:OMY44 OWU43:OWU44 PGQ43:PGQ44 PQM43:PQM44 QAI43:QAI44 QKE43:QKE44 QUA43:QUA44 RDW43:RDW44 RNS43:RNS44 RXO43:RXO44 SHK43:SHK44 SRG43:SRG44 TBC43:TBC44 TKY43:TKY44 TUU43:TUU44 UEQ43:UEQ44 UOM43:UOM44 UYI43:UYI44 VIE43:VIE44 VSA43:VSA44 WBW43:WBW44 WLS43:WLS44 WVO43:WVO44 G65579:G65580 JC65579:JC65580 SY65579:SY65580 ACU65579:ACU65580 AMQ65579:AMQ65580 AWM65579:AWM65580 BGI65579:BGI65580 BQE65579:BQE65580 CAA65579:CAA65580 CJW65579:CJW65580 CTS65579:CTS65580 DDO65579:DDO65580 DNK65579:DNK65580 DXG65579:DXG65580 EHC65579:EHC65580 EQY65579:EQY65580 FAU65579:FAU65580 FKQ65579:FKQ65580 FUM65579:FUM65580 GEI65579:GEI65580 GOE65579:GOE65580 GYA65579:GYA65580 HHW65579:HHW65580 HRS65579:HRS65580 IBO65579:IBO65580 ILK65579:ILK65580 IVG65579:IVG65580 JFC65579:JFC65580 JOY65579:JOY65580 JYU65579:JYU65580 KIQ65579:KIQ65580 KSM65579:KSM65580 LCI65579:LCI65580 LME65579:LME65580 LWA65579:LWA65580 MFW65579:MFW65580 MPS65579:MPS65580 MZO65579:MZO65580 NJK65579:NJK65580 NTG65579:NTG65580 ODC65579:ODC65580 OMY65579:OMY65580 OWU65579:OWU65580 PGQ65579:PGQ65580 PQM65579:PQM65580 QAI65579:QAI65580 QKE65579:QKE65580 QUA65579:QUA65580 RDW65579:RDW65580 RNS65579:RNS65580 RXO65579:RXO65580 SHK65579:SHK65580 SRG65579:SRG65580 TBC65579:TBC65580 TKY65579:TKY65580 TUU65579:TUU65580 UEQ65579:UEQ65580 UOM65579:UOM65580 UYI65579:UYI65580 VIE65579:VIE65580 VSA65579:VSA65580 WBW65579:WBW65580 WLS65579:WLS65580 WVO65579:WVO65580 G131115:G131116 JC131115:JC131116 SY131115:SY131116 ACU131115:ACU131116 AMQ131115:AMQ131116 AWM131115:AWM131116 BGI131115:BGI131116 BQE131115:BQE131116 CAA131115:CAA131116 CJW131115:CJW131116 CTS131115:CTS131116 DDO131115:DDO131116 DNK131115:DNK131116 DXG131115:DXG131116 EHC131115:EHC131116 EQY131115:EQY131116 FAU131115:FAU131116 FKQ131115:FKQ131116 FUM131115:FUM131116 GEI131115:GEI131116 GOE131115:GOE131116 GYA131115:GYA131116 HHW131115:HHW131116 HRS131115:HRS131116 IBO131115:IBO131116 ILK131115:ILK131116 IVG131115:IVG131116 JFC131115:JFC131116 JOY131115:JOY131116 JYU131115:JYU131116 KIQ131115:KIQ131116 KSM131115:KSM131116 LCI131115:LCI131116 LME131115:LME131116 LWA131115:LWA131116 MFW131115:MFW131116 MPS131115:MPS131116 MZO131115:MZO131116 NJK131115:NJK131116 NTG131115:NTG131116 ODC131115:ODC131116 OMY131115:OMY131116 OWU131115:OWU131116 PGQ131115:PGQ131116 PQM131115:PQM131116 QAI131115:QAI131116 QKE131115:QKE131116 QUA131115:QUA131116 RDW131115:RDW131116 RNS131115:RNS131116 RXO131115:RXO131116 SHK131115:SHK131116 SRG131115:SRG131116 TBC131115:TBC131116 TKY131115:TKY131116 TUU131115:TUU131116 UEQ131115:UEQ131116 UOM131115:UOM131116 UYI131115:UYI131116 VIE131115:VIE131116 VSA131115:VSA131116 WBW131115:WBW131116 WLS131115:WLS131116 WVO131115:WVO131116 G196651:G196652 JC196651:JC196652 SY196651:SY196652 ACU196651:ACU196652 AMQ196651:AMQ196652 AWM196651:AWM196652 BGI196651:BGI196652 BQE196651:BQE196652 CAA196651:CAA196652 CJW196651:CJW196652 CTS196651:CTS196652 DDO196651:DDO196652 DNK196651:DNK196652 DXG196651:DXG196652 EHC196651:EHC196652 EQY196651:EQY196652 FAU196651:FAU196652 FKQ196651:FKQ196652 FUM196651:FUM196652 GEI196651:GEI196652 GOE196651:GOE196652 GYA196651:GYA196652 HHW196651:HHW196652 HRS196651:HRS196652 IBO196651:IBO196652 ILK196651:ILK196652 IVG196651:IVG196652 JFC196651:JFC196652 JOY196651:JOY196652 JYU196651:JYU196652 KIQ196651:KIQ196652 KSM196651:KSM196652 LCI196651:LCI196652 LME196651:LME196652 LWA196651:LWA196652 MFW196651:MFW196652 MPS196651:MPS196652 MZO196651:MZO196652 NJK196651:NJK196652 NTG196651:NTG196652 ODC196651:ODC196652 OMY196651:OMY196652 OWU196651:OWU196652 PGQ196651:PGQ196652 PQM196651:PQM196652 QAI196651:QAI196652 QKE196651:QKE196652 QUA196651:QUA196652 RDW196651:RDW196652 RNS196651:RNS196652 RXO196651:RXO196652 SHK196651:SHK196652 SRG196651:SRG196652 TBC196651:TBC196652 TKY196651:TKY196652 TUU196651:TUU196652 UEQ196651:UEQ196652 UOM196651:UOM196652 UYI196651:UYI196652 VIE196651:VIE196652 VSA196651:VSA196652 WBW196651:WBW196652 WLS196651:WLS196652 WVO196651:WVO196652 G262187:G262188 JC262187:JC262188 SY262187:SY262188 ACU262187:ACU262188 AMQ262187:AMQ262188 AWM262187:AWM262188 BGI262187:BGI262188 BQE262187:BQE262188 CAA262187:CAA262188 CJW262187:CJW262188 CTS262187:CTS262188 DDO262187:DDO262188 DNK262187:DNK262188 DXG262187:DXG262188 EHC262187:EHC262188 EQY262187:EQY262188 FAU262187:FAU262188 FKQ262187:FKQ262188 FUM262187:FUM262188 GEI262187:GEI262188 GOE262187:GOE262188 GYA262187:GYA262188 HHW262187:HHW262188 HRS262187:HRS262188 IBO262187:IBO262188 ILK262187:ILK262188 IVG262187:IVG262188 JFC262187:JFC262188 JOY262187:JOY262188 JYU262187:JYU262188 KIQ262187:KIQ262188 KSM262187:KSM262188 LCI262187:LCI262188 LME262187:LME262188 LWA262187:LWA262188 MFW262187:MFW262188 MPS262187:MPS262188 MZO262187:MZO262188 NJK262187:NJK262188 NTG262187:NTG262188 ODC262187:ODC262188 OMY262187:OMY262188 OWU262187:OWU262188 PGQ262187:PGQ262188 PQM262187:PQM262188 QAI262187:QAI262188 QKE262187:QKE262188 QUA262187:QUA262188 RDW262187:RDW262188 RNS262187:RNS262188 RXO262187:RXO262188 SHK262187:SHK262188 SRG262187:SRG262188 TBC262187:TBC262188 TKY262187:TKY262188 TUU262187:TUU262188 UEQ262187:UEQ262188 UOM262187:UOM262188 UYI262187:UYI262188 VIE262187:VIE262188 VSA262187:VSA262188 WBW262187:WBW262188 WLS262187:WLS262188 WVO262187:WVO262188 G327723:G327724 JC327723:JC327724 SY327723:SY327724 ACU327723:ACU327724 AMQ327723:AMQ327724 AWM327723:AWM327724 BGI327723:BGI327724 BQE327723:BQE327724 CAA327723:CAA327724 CJW327723:CJW327724 CTS327723:CTS327724 DDO327723:DDO327724 DNK327723:DNK327724 DXG327723:DXG327724 EHC327723:EHC327724 EQY327723:EQY327724 FAU327723:FAU327724 FKQ327723:FKQ327724 FUM327723:FUM327724 GEI327723:GEI327724 GOE327723:GOE327724 GYA327723:GYA327724 HHW327723:HHW327724 HRS327723:HRS327724 IBO327723:IBO327724 ILK327723:ILK327724 IVG327723:IVG327724 JFC327723:JFC327724 JOY327723:JOY327724 JYU327723:JYU327724 KIQ327723:KIQ327724 KSM327723:KSM327724 LCI327723:LCI327724 LME327723:LME327724 LWA327723:LWA327724 MFW327723:MFW327724 MPS327723:MPS327724 MZO327723:MZO327724 NJK327723:NJK327724 NTG327723:NTG327724 ODC327723:ODC327724 OMY327723:OMY327724 OWU327723:OWU327724 PGQ327723:PGQ327724 PQM327723:PQM327724 QAI327723:QAI327724 QKE327723:QKE327724 QUA327723:QUA327724 RDW327723:RDW327724 RNS327723:RNS327724 RXO327723:RXO327724 SHK327723:SHK327724 SRG327723:SRG327724 TBC327723:TBC327724 TKY327723:TKY327724 TUU327723:TUU327724 UEQ327723:UEQ327724 UOM327723:UOM327724 UYI327723:UYI327724 VIE327723:VIE327724 VSA327723:VSA327724 WBW327723:WBW327724 WLS327723:WLS327724 WVO327723:WVO327724 G393259:G393260 JC393259:JC393260 SY393259:SY393260 ACU393259:ACU393260 AMQ393259:AMQ393260 AWM393259:AWM393260 BGI393259:BGI393260 BQE393259:BQE393260 CAA393259:CAA393260 CJW393259:CJW393260 CTS393259:CTS393260 DDO393259:DDO393260 DNK393259:DNK393260 DXG393259:DXG393260 EHC393259:EHC393260 EQY393259:EQY393260 FAU393259:FAU393260 FKQ393259:FKQ393260 FUM393259:FUM393260 GEI393259:GEI393260 GOE393259:GOE393260 GYA393259:GYA393260 HHW393259:HHW393260 HRS393259:HRS393260 IBO393259:IBO393260 ILK393259:ILK393260 IVG393259:IVG393260 JFC393259:JFC393260 JOY393259:JOY393260 JYU393259:JYU393260 KIQ393259:KIQ393260 KSM393259:KSM393260 LCI393259:LCI393260 LME393259:LME393260 LWA393259:LWA393260 MFW393259:MFW393260 MPS393259:MPS393260 MZO393259:MZO393260 NJK393259:NJK393260 NTG393259:NTG393260 ODC393259:ODC393260 OMY393259:OMY393260 OWU393259:OWU393260 PGQ393259:PGQ393260 PQM393259:PQM393260 QAI393259:QAI393260 QKE393259:QKE393260 QUA393259:QUA393260 RDW393259:RDW393260 RNS393259:RNS393260 RXO393259:RXO393260 SHK393259:SHK393260 SRG393259:SRG393260 TBC393259:TBC393260 TKY393259:TKY393260 TUU393259:TUU393260 UEQ393259:UEQ393260 UOM393259:UOM393260 UYI393259:UYI393260 VIE393259:VIE393260 VSA393259:VSA393260 WBW393259:WBW393260 WLS393259:WLS393260 WVO393259:WVO393260 G458795:G458796 JC458795:JC458796 SY458795:SY458796 ACU458795:ACU458796 AMQ458795:AMQ458796 AWM458795:AWM458796 BGI458795:BGI458796 BQE458795:BQE458796 CAA458795:CAA458796 CJW458795:CJW458796 CTS458795:CTS458796 DDO458795:DDO458796 DNK458795:DNK458796 DXG458795:DXG458796 EHC458795:EHC458796 EQY458795:EQY458796 FAU458795:FAU458796 FKQ458795:FKQ458796 FUM458795:FUM458796 GEI458795:GEI458796 GOE458795:GOE458796 GYA458795:GYA458796 HHW458795:HHW458796 HRS458795:HRS458796 IBO458795:IBO458796 ILK458795:ILK458796 IVG458795:IVG458796 JFC458795:JFC458796 JOY458795:JOY458796 JYU458795:JYU458796 KIQ458795:KIQ458796 KSM458795:KSM458796 LCI458795:LCI458796 LME458795:LME458796 LWA458795:LWA458796 MFW458795:MFW458796 MPS458795:MPS458796 MZO458795:MZO458796 NJK458795:NJK458796 NTG458795:NTG458796 ODC458795:ODC458796 OMY458795:OMY458796 OWU458795:OWU458796 PGQ458795:PGQ458796 PQM458795:PQM458796 QAI458795:QAI458796 QKE458795:QKE458796 QUA458795:QUA458796 RDW458795:RDW458796 RNS458795:RNS458796 RXO458795:RXO458796 SHK458795:SHK458796 SRG458795:SRG458796 TBC458795:TBC458796 TKY458795:TKY458796 TUU458795:TUU458796 UEQ458795:UEQ458796 UOM458795:UOM458796 UYI458795:UYI458796 VIE458795:VIE458796 VSA458795:VSA458796 WBW458795:WBW458796 WLS458795:WLS458796 WVO458795:WVO458796 G524331:G524332 JC524331:JC524332 SY524331:SY524332 ACU524331:ACU524332 AMQ524331:AMQ524332 AWM524331:AWM524332 BGI524331:BGI524332 BQE524331:BQE524332 CAA524331:CAA524332 CJW524331:CJW524332 CTS524331:CTS524332 DDO524331:DDO524332 DNK524331:DNK524332 DXG524331:DXG524332 EHC524331:EHC524332 EQY524331:EQY524332 FAU524331:FAU524332 FKQ524331:FKQ524332 FUM524331:FUM524332 GEI524331:GEI524332 GOE524331:GOE524332 GYA524331:GYA524332 HHW524331:HHW524332 HRS524331:HRS524332 IBO524331:IBO524332 ILK524331:ILK524332 IVG524331:IVG524332 JFC524331:JFC524332 JOY524331:JOY524332 JYU524331:JYU524332 KIQ524331:KIQ524332 KSM524331:KSM524332 LCI524331:LCI524332 LME524331:LME524332 LWA524331:LWA524332 MFW524331:MFW524332 MPS524331:MPS524332 MZO524331:MZO524332 NJK524331:NJK524332 NTG524331:NTG524332 ODC524331:ODC524332 OMY524331:OMY524332 OWU524331:OWU524332 PGQ524331:PGQ524332 PQM524331:PQM524332 QAI524331:QAI524332 QKE524331:QKE524332 QUA524331:QUA524332 RDW524331:RDW524332 RNS524331:RNS524332 RXO524331:RXO524332 SHK524331:SHK524332 SRG524331:SRG524332 TBC524331:TBC524332 TKY524331:TKY524332 TUU524331:TUU524332 UEQ524331:UEQ524332 UOM524331:UOM524332 UYI524331:UYI524332 VIE524331:VIE524332 VSA524331:VSA524332 WBW524331:WBW524332 WLS524331:WLS524332 WVO524331:WVO524332 G589867:G589868 JC589867:JC589868 SY589867:SY589868 ACU589867:ACU589868 AMQ589867:AMQ589868 AWM589867:AWM589868 BGI589867:BGI589868 BQE589867:BQE589868 CAA589867:CAA589868 CJW589867:CJW589868 CTS589867:CTS589868 DDO589867:DDO589868 DNK589867:DNK589868 DXG589867:DXG589868 EHC589867:EHC589868 EQY589867:EQY589868 FAU589867:FAU589868 FKQ589867:FKQ589868 FUM589867:FUM589868 GEI589867:GEI589868 GOE589867:GOE589868 GYA589867:GYA589868 HHW589867:HHW589868 HRS589867:HRS589868 IBO589867:IBO589868 ILK589867:ILK589868 IVG589867:IVG589868 JFC589867:JFC589868 JOY589867:JOY589868 JYU589867:JYU589868 KIQ589867:KIQ589868 KSM589867:KSM589868 LCI589867:LCI589868 LME589867:LME589868 LWA589867:LWA589868 MFW589867:MFW589868 MPS589867:MPS589868 MZO589867:MZO589868 NJK589867:NJK589868 NTG589867:NTG589868 ODC589867:ODC589868 OMY589867:OMY589868 OWU589867:OWU589868 PGQ589867:PGQ589868 PQM589867:PQM589868 QAI589867:QAI589868 QKE589867:QKE589868 QUA589867:QUA589868 RDW589867:RDW589868 RNS589867:RNS589868 RXO589867:RXO589868 SHK589867:SHK589868 SRG589867:SRG589868 TBC589867:TBC589868 TKY589867:TKY589868 TUU589867:TUU589868 UEQ589867:UEQ589868 UOM589867:UOM589868 UYI589867:UYI589868 VIE589867:VIE589868 VSA589867:VSA589868 WBW589867:WBW589868 WLS589867:WLS589868 WVO589867:WVO589868 G655403:G655404 JC655403:JC655404 SY655403:SY655404 ACU655403:ACU655404 AMQ655403:AMQ655404 AWM655403:AWM655404 BGI655403:BGI655404 BQE655403:BQE655404 CAA655403:CAA655404 CJW655403:CJW655404 CTS655403:CTS655404 DDO655403:DDO655404 DNK655403:DNK655404 DXG655403:DXG655404 EHC655403:EHC655404 EQY655403:EQY655404 FAU655403:FAU655404 FKQ655403:FKQ655404 FUM655403:FUM655404 GEI655403:GEI655404 GOE655403:GOE655404 GYA655403:GYA655404 HHW655403:HHW655404 HRS655403:HRS655404 IBO655403:IBO655404 ILK655403:ILK655404 IVG655403:IVG655404 JFC655403:JFC655404 JOY655403:JOY655404 JYU655403:JYU655404 KIQ655403:KIQ655404 KSM655403:KSM655404 LCI655403:LCI655404 LME655403:LME655404 LWA655403:LWA655404 MFW655403:MFW655404 MPS655403:MPS655404 MZO655403:MZO655404 NJK655403:NJK655404 NTG655403:NTG655404 ODC655403:ODC655404 OMY655403:OMY655404 OWU655403:OWU655404 PGQ655403:PGQ655404 PQM655403:PQM655404 QAI655403:QAI655404 QKE655403:QKE655404 QUA655403:QUA655404 RDW655403:RDW655404 RNS655403:RNS655404 RXO655403:RXO655404 SHK655403:SHK655404 SRG655403:SRG655404 TBC655403:TBC655404 TKY655403:TKY655404 TUU655403:TUU655404 UEQ655403:UEQ655404 UOM655403:UOM655404 UYI655403:UYI655404 VIE655403:VIE655404 VSA655403:VSA655404 WBW655403:WBW655404 WLS655403:WLS655404 WVO655403:WVO655404 G720939:G720940 JC720939:JC720940 SY720939:SY720940 ACU720939:ACU720940 AMQ720939:AMQ720940 AWM720939:AWM720940 BGI720939:BGI720940 BQE720939:BQE720940 CAA720939:CAA720940 CJW720939:CJW720940 CTS720939:CTS720940 DDO720939:DDO720940 DNK720939:DNK720940 DXG720939:DXG720940 EHC720939:EHC720940 EQY720939:EQY720940 FAU720939:FAU720940 FKQ720939:FKQ720940 FUM720939:FUM720940 GEI720939:GEI720940 GOE720939:GOE720940 GYA720939:GYA720940 HHW720939:HHW720940 HRS720939:HRS720940 IBO720939:IBO720940 ILK720939:ILK720940 IVG720939:IVG720940 JFC720939:JFC720940 JOY720939:JOY720940 JYU720939:JYU720940 KIQ720939:KIQ720940 KSM720939:KSM720940 LCI720939:LCI720940 LME720939:LME720940 LWA720939:LWA720940 MFW720939:MFW720940 MPS720939:MPS720940 MZO720939:MZO720940 NJK720939:NJK720940 NTG720939:NTG720940 ODC720939:ODC720940 OMY720939:OMY720940 OWU720939:OWU720940 PGQ720939:PGQ720940 PQM720939:PQM720940 QAI720939:QAI720940 QKE720939:QKE720940 QUA720939:QUA720940 RDW720939:RDW720940 RNS720939:RNS720940 RXO720939:RXO720940 SHK720939:SHK720940 SRG720939:SRG720940 TBC720939:TBC720940 TKY720939:TKY720940 TUU720939:TUU720940 UEQ720939:UEQ720940 UOM720939:UOM720940 UYI720939:UYI720940 VIE720939:VIE720940 VSA720939:VSA720940 WBW720939:WBW720940 WLS720939:WLS720940 WVO720939:WVO720940 G786475:G786476 JC786475:JC786476 SY786475:SY786476 ACU786475:ACU786476 AMQ786475:AMQ786476 AWM786475:AWM786476 BGI786475:BGI786476 BQE786475:BQE786476 CAA786475:CAA786476 CJW786475:CJW786476 CTS786475:CTS786476 DDO786475:DDO786476 DNK786475:DNK786476 DXG786475:DXG786476 EHC786475:EHC786476 EQY786475:EQY786476 FAU786475:FAU786476 FKQ786475:FKQ786476 FUM786475:FUM786476 GEI786475:GEI786476 GOE786475:GOE786476 GYA786475:GYA786476 HHW786475:HHW786476 HRS786475:HRS786476 IBO786475:IBO786476 ILK786475:ILK786476 IVG786475:IVG786476 JFC786475:JFC786476 JOY786475:JOY786476 JYU786475:JYU786476 KIQ786475:KIQ786476 KSM786475:KSM786476 LCI786475:LCI786476 LME786475:LME786476 LWA786475:LWA786476 MFW786475:MFW786476 MPS786475:MPS786476 MZO786475:MZO786476 NJK786475:NJK786476 NTG786475:NTG786476 ODC786475:ODC786476 OMY786475:OMY786476 OWU786475:OWU786476 PGQ786475:PGQ786476 PQM786475:PQM786476 QAI786475:QAI786476 QKE786475:QKE786476 QUA786475:QUA786476 RDW786475:RDW786476 RNS786475:RNS786476 RXO786475:RXO786476 SHK786475:SHK786476 SRG786475:SRG786476 TBC786475:TBC786476 TKY786475:TKY786476 TUU786475:TUU786476 UEQ786475:UEQ786476 UOM786475:UOM786476 UYI786475:UYI786476 VIE786475:VIE786476 VSA786475:VSA786476 WBW786475:WBW786476 WLS786475:WLS786476 WVO786475:WVO786476 G852011:G852012 JC852011:JC852012 SY852011:SY852012 ACU852011:ACU852012 AMQ852011:AMQ852012 AWM852011:AWM852012 BGI852011:BGI852012 BQE852011:BQE852012 CAA852011:CAA852012 CJW852011:CJW852012 CTS852011:CTS852012 DDO852011:DDO852012 DNK852011:DNK852012 DXG852011:DXG852012 EHC852011:EHC852012 EQY852011:EQY852012 FAU852011:FAU852012 FKQ852011:FKQ852012 FUM852011:FUM852012 GEI852011:GEI852012 GOE852011:GOE852012 GYA852011:GYA852012 HHW852011:HHW852012 HRS852011:HRS852012 IBO852011:IBO852012 ILK852011:ILK852012 IVG852011:IVG852012 JFC852011:JFC852012 JOY852011:JOY852012 JYU852011:JYU852012 KIQ852011:KIQ852012 KSM852011:KSM852012 LCI852011:LCI852012 LME852011:LME852012 LWA852011:LWA852012 MFW852011:MFW852012 MPS852011:MPS852012 MZO852011:MZO852012 NJK852011:NJK852012 NTG852011:NTG852012 ODC852011:ODC852012 OMY852011:OMY852012 OWU852011:OWU852012 PGQ852011:PGQ852012 PQM852011:PQM852012 QAI852011:QAI852012 QKE852011:QKE852012 QUA852011:QUA852012 RDW852011:RDW852012 RNS852011:RNS852012 RXO852011:RXO852012 SHK852011:SHK852012 SRG852011:SRG852012 TBC852011:TBC852012 TKY852011:TKY852012 TUU852011:TUU852012 UEQ852011:UEQ852012 UOM852011:UOM852012 UYI852011:UYI852012 VIE852011:VIE852012 VSA852011:VSA852012 WBW852011:WBW852012 WLS852011:WLS852012 WVO852011:WVO852012 G917547:G917548 JC917547:JC917548 SY917547:SY917548 ACU917547:ACU917548 AMQ917547:AMQ917548 AWM917547:AWM917548 BGI917547:BGI917548 BQE917547:BQE917548 CAA917547:CAA917548 CJW917547:CJW917548 CTS917547:CTS917548 DDO917547:DDO917548 DNK917547:DNK917548 DXG917547:DXG917548 EHC917547:EHC917548 EQY917547:EQY917548 FAU917547:FAU917548 FKQ917547:FKQ917548 FUM917547:FUM917548 GEI917547:GEI917548 GOE917547:GOE917548 GYA917547:GYA917548 HHW917547:HHW917548 HRS917547:HRS917548 IBO917547:IBO917548 ILK917547:ILK917548 IVG917547:IVG917548 JFC917547:JFC917548 JOY917547:JOY917548 JYU917547:JYU917548 KIQ917547:KIQ917548 KSM917547:KSM917548 LCI917547:LCI917548 LME917547:LME917548 LWA917547:LWA917548 MFW917547:MFW917548 MPS917547:MPS917548 MZO917547:MZO917548 NJK917547:NJK917548 NTG917547:NTG917548 ODC917547:ODC917548 OMY917547:OMY917548 OWU917547:OWU917548 PGQ917547:PGQ917548 PQM917547:PQM917548 QAI917547:QAI917548 QKE917547:QKE917548 QUA917547:QUA917548 RDW917547:RDW917548 RNS917547:RNS917548 RXO917547:RXO917548 SHK917547:SHK917548 SRG917547:SRG917548 TBC917547:TBC917548 TKY917547:TKY917548 TUU917547:TUU917548 UEQ917547:UEQ917548 UOM917547:UOM917548 UYI917547:UYI917548 VIE917547:VIE917548 VSA917547:VSA917548 WBW917547:WBW917548 WLS917547:WLS917548 WVO917547:WVO917548 G983083:G983084 JC983083:JC983084 SY983083:SY983084 ACU983083:ACU983084 AMQ983083:AMQ983084 AWM983083:AWM983084 BGI983083:BGI983084 BQE983083:BQE983084 CAA983083:CAA983084 CJW983083:CJW983084 CTS983083:CTS983084 DDO983083:DDO983084 DNK983083:DNK983084 DXG983083:DXG983084 EHC983083:EHC983084 EQY983083:EQY983084 FAU983083:FAU983084 FKQ983083:FKQ983084 FUM983083:FUM983084 GEI983083:GEI983084 GOE983083:GOE983084 GYA983083:GYA983084 HHW983083:HHW983084 HRS983083:HRS983084 IBO983083:IBO983084 ILK983083:ILK983084 IVG983083:IVG983084 JFC983083:JFC983084 JOY983083:JOY983084 JYU983083:JYU983084 KIQ983083:KIQ983084 KSM983083:KSM983084 LCI983083:LCI983084 LME983083:LME983084 LWA983083:LWA983084 MFW983083:MFW983084 MPS983083:MPS983084 MZO983083:MZO983084 NJK983083:NJK983084 NTG983083:NTG983084 ODC983083:ODC983084 OMY983083:OMY983084 OWU983083:OWU983084 PGQ983083:PGQ983084 PQM983083:PQM983084 QAI983083:QAI983084 QKE983083:QKE983084 QUA983083:QUA983084 RDW983083:RDW983084 RNS983083:RNS983084 RXO983083:RXO983084 SHK983083:SHK983084 SRG983083:SRG983084 TBC983083:TBC983084 TKY983083:TKY983084 TUU983083:TUU983084 UEQ983083:UEQ983084 UOM983083:UOM983084 UYI983083:UYI983084 VIE983083:VIE983084 VSA983083:VSA983084 WBW983083:WBW983084 WLS983083:WLS983084 WVO983083:WVO983084" xr:uid="{00000000-0002-0000-0300-000004000000}">
      <formula1>D43</formula1>
      <formula2>F43</formula2>
    </dataValidation>
  </dataValidations>
  <printOptions horizontalCentered="1"/>
  <pageMargins left="0.59055118110236227" right="0.39370078740157483" top="0.39370078740157483" bottom="0.39370078740157483" header="0.51181102362204722" footer="0.51181102362204722"/>
  <pageSetup paperSize="9" scale="89" fitToHeight="11" orientation="portrait" r:id="rId1"/>
  <headerFooter>
    <oddHeader>&amp;L &amp;C &amp;R</oddHeader>
    <oddFooter>&amp;L &amp;C &amp;R</oddFooter>
  </headerFooter>
  <drawing r:id="rId2"/>
  <legacyDrawing r:id="rId3"/>
  <oleObjects>
    <mc:AlternateContent xmlns:mc="http://schemas.openxmlformats.org/markup-compatibility/2006">
      <mc:Choice Requires="x14">
        <oleObject progId="Equation.3" shapeId="115713" r:id="rId4">
          <objectPr defaultSize="0" autoPict="0" r:id="rId5">
            <anchor moveWithCells="1" sizeWithCells="1">
              <from>
                <xdr:col>80</xdr:col>
                <xdr:colOff>0</xdr:colOff>
                <xdr:row>239</xdr:row>
                <xdr:rowOff>0</xdr:rowOff>
              </from>
              <to>
                <xdr:col>80</xdr:col>
                <xdr:colOff>0</xdr:colOff>
                <xdr:row>240</xdr:row>
                <xdr:rowOff>76200</xdr:rowOff>
              </to>
            </anchor>
          </objectPr>
        </oleObject>
      </mc:Choice>
      <mc:Fallback>
        <oleObject progId="Equation.3" shapeId="115713" r:id="rId4"/>
      </mc:Fallback>
    </mc:AlternateContent>
    <mc:AlternateContent xmlns:mc="http://schemas.openxmlformats.org/markup-compatibility/2006">
      <mc:Choice Requires="x14">
        <oleObject progId="Equation.3" shapeId="115714" r:id="rId6">
          <objectPr defaultSize="0" autoPict="0" r:id="rId5">
            <anchor moveWithCells="1" sizeWithCells="1">
              <from>
                <xdr:col>1</xdr:col>
                <xdr:colOff>57150</xdr:colOff>
                <xdr:row>44</xdr:row>
                <xdr:rowOff>133350</xdr:rowOff>
              </from>
              <to>
                <xdr:col>6</xdr:col>
                <xdr:colOff>695325</xdr:colOff>
                <xdr:row>48</xdr:row>
                <xdr:rowOff>0</xdr:rowOff>
              </to>
            </anchor>
          </objectPr>
        </oleObject>
      </mc:Choice>
      <mc:Fallback>
        <oleObject progId="Equation.3" shapeId="115714" r:id="rId6"/>
      </mc:Fallback>
    </mc:AlternateContent>
  </oleObjects>
  <controls>
    <mc:AlternateContent xmlns:mc="http://schemas.openxmlformats.org/markup-compatibility/2006">
      <mc:Choice Requires="x14">
        <control shapeId="115715" r:id="rId7" name="CommandButton1">
          <controlPr defaultSize="0" autoLine="0" autoPict="0" r:id="rId8">
            <anchor moveWithCells="1">
              <from>
                <xdr:col>11</xdr:col>
                <xdr:colOff>47625</xdr:colOff>
                <xdr:row>6</xdr:row>
                <xdr:rowOff>0</xdr:rowOff>
              </from>
              <to>
                <xdr:col>13</xdr:col>
                <xdr:colOff>762000</xdr:colOff>
                <xdr:row>7</xdr:row>
                <xdr:rowOff>0</xdr:rowOff>
              </to>
            </anchor>
          </controlPr>
        </control>
      </mc:Choice>
      <mc:Fallback>
        <control shapeId="115715" r:id="rId7" name="CommandButton1"/>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4"/>
  <dimension ref="B1:F18"/>
  <sheetViews>
    <sheetView showGridLines="0" view="pageBreakPreview" zoomScaleSheetLayoutView="100" workbookViewId="0">
      <pane ySplit="8" topLeftCell="A9" activePane="bottomLeft" state="frozen"/>
      <selection activeCell="B2" sqref="B2"/>
      <selection pane="bottomLeft" activeCell="D26" sqref="D26"/>
    </sheetView>
  </sheetViews>
  <sheetFormatPr defaultRowHeight="12.75" x14ac:dyDescent="0.25"/>
  <cols>
    <col min="1" max="1" width="1.7109375" style="4" customWidth="1"/>
    <col min="2" max="2" width="11.7109375" style="4" customWidth="1"/>
    <col min="3" max="3" width="10.7109375" style="4" customWidth="1"/>
    <col min="4" max="4" width="58.7109375" style="4" customWidth="1"/>
    <col min="5" max="5" width="15.7109375" style="4" customWidth="1"/>
    <col min="6" max="6" width="10.7109375" style="4" customWidth="1"/>
    <col min="7" max="16384" width="9.140625" style="4"/>
  </cols>
  <sheetData>
    <row r="1" spans="2:6" ht="5.0999999999999996" customHeight="1" x14ac:dyDescent="0.25"/>
    <row r="2" spans="2:6" ht="14.1" customHeight="1" x14ac:dyDescent="0.25">
      <c r="B2" s="79" t="str">
        <f>DADOS!$B$3</f>
        <v>CLIENTE:</v>
      </c>
      <c r="C2" s="60" t="str">
        <f>DADOS!$C$3</f>
        <v>PREFEITURA MUNICIPAL DE RIO BRILHANTE / MS</v>
      </c>
      <c r="D2" s="28"/>
      <c r="E2" s="28"/>
      <c r="F2" s="30"/>
    </row>
    <row r="3" spans="2:6" ht="14.1" customHeight="1" x14ac:dyDescent="0.25">
      <c r="B3" s="80" t="str">
        <f>DADOS!$B$4</f>
        <v>ENDEREÇO:</v>
      </c>
      <c r="C3" s="61" t="str">
        <f>DADOS!$C$4</f>
        <v>RUA ATHAYDE NOGUEIRA, Nº 1.033 - CENTRO</v>
      </c>
      <c r="F3" s="31"/>
    </row>
    <row r="4" spans="2:6" ht="14.1" customHeight="1" x14ac:dyDescent="0.2">
      <c r="B4" s="62"/>
      <c r="C4" s="61"/>
      <c r="F4" s="31"/>
    </row>
    <row r="5" spans="2:6" ht="14.1" customHeight="1" x14ac:dyDescent="0.25">
      <c r="B5" s="80" t="str">
        <f>DADOS!$B$7</f>
        <v>OBRA:</v>
      </c>
      <c r="C5" s="61" t="str">
        <f>DADOS!$C$7</f>
        <v>PAVIMENTAÇÃO ASFÁLTICA E EM CONCRETO</v>
      </c>
      <c r="F5" s="31"/>
    </row>
    <row r="6" spans="2:6" ht="14.1" customHeight="1" x14ac:dyDescent="0.25">
      <c r="B6" s="63" t="str">
        <f>DADOS!$B$8</f>
        <v>LOCAL:</v>
      </c>
      <c r="C6" s="64" t="str">
        <f>DADOS!$C$8</f>
        <v>PRAÇA INTERATIVA, RIO BRILHANTE / MS</v>
      </c>
      <c r="D6" s="32"/>
      <c r="E6" s="32"/>
      <c r="F6" s="33"/>
    </row>
    <row r="7" spans="2:6" ht="5.0999999999999996" customHeight="1" x14ac:dyDescent="0.25"/>
    <row r="8" spans="2:6" ht="20.100000000000001" customHeight="1" x14ac:dyDescent="0.25">
      <c r="B8" s="268" t="s">
        <v>0</v>
      </c>
      <c r="C8" s="268"/>
      <c r="D8" s="10" t="s">
        <v>1</v>
      </c>
      <c r="E8" s="10" t="s">
        <v>32</v>
      </c>
      <c r="F8" s="10" t="s">
        <v>7</v>
      </c>
    </row>
    <row r="9" spans="2:6" ht="5.0999999999999996" customHeight="1" x14ac:dyDescent="0.25"/>
    <row r="10" spans="2:6" ht="15" customHeight="1" x14ac:dyDescent="0.25">
      <c r="B10" s="266" t="s">
        <v>34</v>
      </c>
      <c r="C10" s="21" t="str">
        <f>Orçamento!C110</f>
        <v>01</v>
      </c>
      <c r="D10" s="58" t="str">
        <f>Orçamento!D110</f>
        <v>SERVIÇOS PRELIMINARES</v>
      </c>
      <c r="E10" s="21">
        <f>Orçamento!K110</f>
        <v>17506.21</v>
      </c>
      <c r="F10" s="59">
        <f>Orçamento!L110</f>
        <v>3.5976830015668627E-2</v>
      </c>
    </row>
    <row r="11" spans="2:6" ht="15" customHeight="1" x14ac:dyDescent="0.25">
      <c r="B11" s="266"/>
      <c r="C11" s="21" t="str">
        <f>Orçamento!C111</f>
        <v>02</v>
      </c>
      <c r="D11" s="58" t="str">
        <f>Orçamento!D111</f>
        <v>IMPLANTAÇÃO ASFÁLTICA</v>
      </c>
      <c r="E11" s="21">
        <f>Orçamento!K111</f>
        <v>92637.249999999985</v>
      </c>
      <c r="F11" s="59">
        <f>Orçamento!L111</f>
        <v>0.19037784856739398</v>
      </c>
    </row>
    <row r="12" spans="2:6" ht="15" customHeight="1" x14ac:dyDescent="0.25">
      <c r="B12" s="266"/>
      <c r="C12" s="21" t="str">
        <f>Orçamento!C112</f>
        <v>03</v>
      </c>
      <c r="D12" s="58" t="str">
        <f>Orçamento!D112</f>
        <v>SERVIÇOS COMPLEMENTARES</v>
      </c>
      <c r="E12" s="21">
        <f>Orçamento!K112</f>
        <v>28395.42</v>
      </c>
      <c r="F12" s="59">
        <f>Orçamento!L112</f>
        <v>5.8355132182437958E-2</v>
      </c>
    </row>
    <row r="13" spans="2:6" ht="15" customHeight="1" x14ac:dyDescent="0.25">
      <c r="B13" s="266"/>
      <c r="C13" s="21" t="str">
        <f>Orçamento!C113</f>
        <v>04</v>
      </c>
      <c r="D13" s="58" t="str">
        <f>Orçamento!D113</f>
        <v>PASSEIO COM ACESSIBILIDADE</v>
      </c>
      <c r="E13" s="21">
        <f>Orçamento!K113</f>
        <v>303270.61</v>
      </c>
      <c r="F13" s="59">
        <f>Orçamento!L113</f>
        <v>0.62324827502458469</v>
      </c>
    </row>
    <row r="14" spans="2:6" ht="15" customHeight="1" x14ac:dyDescent="0.25">
      <c r="B14" s="266"/>
      <c r="C14" s="21" t="str">
        <f>Orçamento!C114</f>
        <v>05</v>
      </c>
      <c r="D14" s="58" t="str">
        <f>Orçamento!D114</f>
        <v>SINALIZAÇÃO</v>
      </c>
      <c r="E14" s="21">
        <f>Orçamento!K114</f>
        <v>22490.74</v>
      </c>
      <c r="F14" s="59">
        <f>Orçamento!L114</f>
        <v>4.6220485753718198E-2</v>
      </c>
    </row>
    <row r="15" spans="2:6" ht="15" customHeight="1" x14ac:dyDescent="0.25">
      <c r="B15" s="266"/>
      <c r="C15" s="21" t="str">
        <f>Orçamento!C115</f>
        <v>06</v>
      </c>
      <c r="D15" s="58" t="str">
        <f>Orçamento!D115</f>
        <v>ADMINISTRAÇÃO LOCAL</v>
      </c>
      <c r="E15" s="21">
        <f>Orçamento!K115</f>
        <v>22296.559999999998</v>
      </c>
      <c r="F15" s="59">
        <f>Orçamento!L115</f>
        <v>4.5821428456196772E-2</v>
      </c>
    </row>
    <row r="16" spans="2:6" ht="5.0999999999999996" customHeight="1" x14ac:dyDescent="0.25"/>
    <row r="17" spans="2:6" ht="20.100000000000001" customHeight="1" x14ac:dyDescent="0.25">
      <c r="B17" s="267" t="s">
        <v>33</v>
      </c>
      <c r="C17" s="267"/>
      <c r="D17" s="267"/>
      <c r="E17" s="81">
        <f>SUM(E9:E16)</f>
        <v>486596.79</v>
      </c>
      <c r="F17" s="67">
        <f>SUM(F9:F16)</f>
        <v>1.0000000000000002</v>
      </c>
    </row>
    <row r="18" spans="2:6" ht="15" customHeight="1" x14ac:dyDescent="0.25"/>
  </sheetData>
  <mergeCells count="3">
    <mergeCell ref="B10:B15"/>
    <mergeCell ref="B17:D17"/>
    <mergeCell ref="B8:C8"/>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B1:AJ32"/>
  <sheetViews>
    <sheetView showGridLines="0" view="pageBreakPreview" zoomScaleSheetLayoutView="100" workbookViewId="0">
      <pane ySplit="9" topLeftCell="A10" activePane="bottomLeft" state="frozen"/>
      <selection activeCell="B2" sqref="B2"/>
      <selection pane="bottomLeft" activeCell="P35" sqref="P35"/>
    </sheetView>
  </sheetViews>
  <sheetFormatPr defaultRowHeight="12.75" x14ac:dyDescent="0.25"/>
  <cols>
    <col min="1" max="1" width="1.7109375" style="4" customWidth="1"/>
    <col min="2" max="2" width="11.7109375" style="4" customWidth="1"/>
    <col min="3" max="3" width="10.7109375" style="4" customWidth="1"/>
    <col min="4" max="4" width="48.7109375" style="4" customWidth="1"/>
    <col min="5" max="5" width="10.7109375" style="4" customWidth="1"/>
    <col min="6" max="7" width="12.7109375" style="4" customWidth="1"/>
    <col min="8" max="8" width="10.7109375" style="4" customWidth="1"/>
    <col min="9" max="9" width="12.7109375" style="4" customWidth="1"/>
    <col min="10" max="10" width="10.7109375" style="4" customWidth="1"/>
    <col min="11" max="11" width="12.7109375" style="4" customWidth="1"/>
    <col min="12" max="12" width="10.7109375" style="4" customWidth="1"/>
    <col min="13" max="16384" width="9.140625" style="4"/>
  </cols>
  <sheetData>
    <row r="1" spans="2:36" ht="5.0999999999999996" customHeight="1" x14ac:dyDescent="0.25"/>
    <row r="2" spans="2:36" ht="14.1" customHeight="1" x14ac:dyDescent="0.25">
      <c r="B2" s="79" t="str">
        <f>DADOS!$B$3</f>
        <v>CLIENTE:</v>
      </c>
      <c r="C2" s="60" t="str">
        <f>DADOS!$C$3</f>
        <v>PREFEITURA MUNICIPAL DE RIO BRILHANTE / MS</v>
      </c>
      <c r="D2" s="28"/>
      <c r="E2" s="28"/>
      <c r="F2" s="28"/>
      <c r="G2" s="28"/>
      <c r="H2" s="28"/>
      <c r="I2" s="28"/>
      <c r="J2" s="28"/>
      <c r="K2" s="28"/>
      <c r="L2" s="28"/>
    </row>
    <row r="3" spans="2:36" ht="14.1" customHeight="1" x14ac:dyDescent="0.25">
      <c r="B3" s="80" t="str">
        <f>DADOS!$B$4</f>
        <v>ENDEREÇO:</v>
      </c>
      <c r="C3" s="61" t="str">
        <f>DADOS!$C$4</f>
        <v>RUA ATHAYDE NOGUEIRA, Nº 1.033 - CENTRO</v>
      </c>
    </row>
    <row r="4" spans="2:36" ht="14.1" customHeight="1" x14ac:dyDescent="0.2">
      <c r="B4" s="62"/>
      <c r="C4" s="61"/>
    </row>
    <row r="5" spans="2:36" ht="14.1" customHeight="1" x14ac:dyDescent="0.25">
      <c r="B5" s="80" t="str">
        <f>DADOS!$B$7</f>
        <v>OBRA:</v>
      </c>
      <c r="C5" s="61" t="str">
        <f>DADOS!$C$7</f>
        <v>PAVIMENTAÇÃO ASFÁLTICA E EM CONCRETO</v>
      </c>
    </row>
    <row r="6" spans="2:36" ht="14.1" customHeight="1" x14ac:dyDescent="0.25">
      <c r="B6" s="63" t="str">
        <f>DADOS!$B$8</f>
        <v>LOCAL:</v>
      </c>
      <c r="C6" s="64" t="str">
        <f>DADOS!$C$8</f>
        <v>PRAÇA INTERATIVA, RIO BRILHANTE / MS</v>
      </c>
      <c r="D6" s="32"/>
      <c r="E6" s="32"/>
      <c r="F6" s="32"/>
      <c r="G6" s="32"/>
      <c r="H6" s="32"/>
      <c r="I6" s="32"/>
      <c r="J6" s="32"/>
      <c r="K6" s="32"/>
      <c r="L6" s="32"/>
    </row>
    <row r="7" spans="2:36" ht="5.0999999999999996" customHeight="1" x14ac:dyDescent="0.25"/>
    <row r="8" spans="2:36" ht="15" customHeight="1" x14ac:dyDescent="0.25">
      <c r="B8" s="275" t="s">
        <v>0</v>
      </c>
      <c r="C8" s="275"/>
      <c r="D8" s="275" t="s">
        <v>1</v>
      </c>
      <c r="E8" s="275" t="s">
        <v>130</v>
      </c>
      <c r="F8" s="277" t="s">
        <v>38</v>
      </c>
      <c r="G8" s="216" t="s">
        <v>39</v>
      </c>
      <c r="H8" s="216"/>
      <c r="I8" s="216" t="s">
        <v>42</v>
      </c>
      <c r="J8" s="216"/>
      <c r="K8" s="216" t="s">
        <v>43</v>
      </c>
      <c r="L8" s="216"/>
      <c r="M8" s="25"/>
      <c r="N8" s="25"/>
      <c r="O8" s="25"/>
      <c r="P8" s="25"/>
      <c r="Q8" s="25"/>
      <c r="R8" s="25"/>
      <c r="S8" s="25"/>
      <c r="T8" s="25"/>
      <c r="U8" s="25"/>
      <c r="V8" s="25"/>
      <c r="W8" s="25"/>
      <c r="X8" s="25"/>
      <c r="Y8" s="25"/>
      <c r="Z8" s="25"/>
      <c r="AA8" s="25"/>
      <c r="AB8" s="25"/>
      <c r="AC8" s="25"/>
      <c r="AD8" s="25"/>
      <c r="AE8" s="25"/>
      <c r="AF8" s="9"/>
      <c r="AG8" s="24"/>
      <c r="AH8" s="24"/>
      <c r="AI8" s="9"/>
      <c r="AJ8" s="26"/>
    </row>
    <row r="9" spans="2:36" ht="15" customHeight="1" x14ac:dyDescent="0.25">
      <c r="B9" s="276"/>
      <c r="C9" s="276"/>
      <c r="D9" s="276"/>
      <c r="E9" s="276"/>
      <c r="F9" s="277"/>
      <c r="G9" s="13" t="s">
        <v>32</v>
      </c>
      <c r="H9" s="13" t="s">
        <v>7</v>
      </c>
      <c r="I9" s="13" t="s">
        <v>32</v>
      </c>
      <c r="J9" s="13" t="s">
        <v>7</v>
      </c>
      <c r="K9" s="13" t="s">
        <v>32</v>
      </c>
      <c r="L9" s="13" t="s">
        <v>7</v>
      </c>
      <c r="M9" s="25"/>
      <c r="N9" s="25"/>
      <c r="O9" s="25"/>
      <c r="P9" s="25"/>
      <c r="Q9" s="25"/>
      <c r="R9" s="25"/>
      <c r="S9" s="25"/>
      <c r="T9" s="25"/>
      <c r="U9" s="25"/>
      <c r="V9" s="25"/>
      <c r="W9" s="25"/>
      <c r="X9" s="25"/>
      <c r="Y9" s="25"/>
      <c r="Z9" s="25"/>
      <c r="AA9" s="25"/>
      <c r="AB9" s="25"/>
      <c r="AC9" s="25"/>
      <c r="AD9" s="25"/>
      <c r="AE9" s="25"/>
      <c r="AF9" s="9"/>
      <c r="AG9" s="24"/>
      <c r="AH9" s="24"/>
      <c r="AI9" s="9"/>
      <c r="AJ9" s="26"/>
    </row>
    <row r="10" spans="2:36" ht="5.0999999999999996" customHeight="1" x14ac:dyDescent="0.25"/>
    <row r="11" spans="2:36" ht="14.1" customHeight="1" x14ac:dyDescent="0.25">
      <c r="B11" s="269" t="s">
        <v>37</v>
      </c>
      <c r="C11" s="73" t="str">
        <f>'Tabela Resumo'!C10</f>
        <v>01</v>
      </c>
      <c r="D11" s="82" t="str">
        <f>'Tabela Resumo'!D10</f>
        <v>SERVIÇOS PRELIMINARES</v>
      </c>
      <c r="E11" s="74">
        <f>'Tabela Resumo'!F10</f>
        <v>3.5976830015668627E-2</v>
      </c>
      <c r="F11" s="73">
        <f>'Tabela Resumo'!E10</f>
        <v>17506.21</v>
      </c>
      <c r="G11" s="73">
        <f>H11*$F$11</f>
        <v>17506.21</v>
      </c>
      <c r="H11" s="74">
        <v>1</v>
      </c>
      <c r="I11" s="73">
        <f>J11*$F$11</f>
        <v>0</v>
      </c>
      <c r="J11" s="74"/>
      <c r="K11" s="73">
        <f>L11*$F$11</f>
        <v>0</v>
      </c>
      <c r="L11" s="74"/>
      <c r="N11" s="93">
        <f>H11+J11+L11+H24+J24+L24</f>
        <v>1</v>
      </c>
    </row>
    <row r="12" spans="2:36" ht="14.1" customHeight="1" x14ac:dyDescent="0.25">
      <c r="B12" s="270"/>
      <c r="C12" s="48" t="str">
        <f>'Tabela Resumo'!C11</f>
        <v>02</v>
      </c>
      <c r="D12" s="49" t="str">
        <f>'Tabela Resumo'!D11</f>
        <v>IMPLANTAÇÃO ASFÁLTICA</v>
      </c>
      <c r="E12" s="52">
        <f>'Tabela Resumo'!F11</f>
        <v>0.19037784856739398</v>
      </c>
      <c r="F12" s="48">
        <f>'Tabela Resumo'!E11</f>
        <v>92637.249999999985</v>
      </c>
      <c r="G12" s="48">
        <f>H12*$F$12</f>
        <v>0</v>
      </c>
      <c r="H12" s="52"/>
      <c r="I12" s="48">
        <f>J12*$F$12</f>
        <v>0</v>
      </c>
      <c r="J12" s="52"/>
      <c r="K12" s="48">
        <f>L12*$F$12</f>
        <v>37054.899999999994</v>
      </c>
      <c r="L12" s="52">
        <v>0.4</v>
      </c>
      <c r="N12" s="93">
        <f>H12+J12+L12+H25+J25+L25</f>
        <v>1</v>
      </c>
    </row>
    <row r="13" spans="2:36" ht="14.1" customHeight="1" x14ac:dyDescent="0.25">
      <c r="B13" s="270"/>
      <c r="C13" s="48" t="str">
        <f>'Tabela Resumo'!C12</f>
        <v>03</v>
      </c>
      <c r="D13" s="49" t="str">
        <f>'Tabela Resumo'!D12</f>
        <v>SERVIÇOS COMPLEMENTARES</v>
      </c>
      <c r="E13" s="52">
        <f>'Tabela Resumo'!F12</f>
        <v>5.8355132182437958E-2</v>
      </c>
      <c r="F13" s="48">
        <f>'Tabela Resumo'!E12</f>
        <v>28395.42</v>
      </c>
      <c r="G13" s="48">
        <f>H13*$F$13</f>
        <v>0</v>
      </c>
      <c r="H13" s="52"/>
      <c r="I13" s="48">
        <f>J13*$F$13</f>
        <v>0</v>
      </c>
      <c r="J13" s="52"/>
      <c r="K13" s="48">
        <f>L13*$F$13</f>
        <v>0</v>
      </c>
      <c r="L13" s="52"/>
      <c r="N13" s="93">
        <f>H13+J13+L13+H26+J26+L26</f>
        <v>1</v>
      </c>
    </row>
    <row r="14" spans="2:36" ht="14.1" customHeight="1" x14ac:dyDescent="0.25">
      <c r="B14" s="270"/>
      <c r="C14" s="48" t="str">
        <f>'Tabela Resumo'!C13</f>
        <v>04</v>
      </c>
      <c r="D14" s="49" t="str">
        <f>'Tabela Resumo'!D13</f>
        <v>PASSEIO COM ACESSIBILIDADE</v>
      </c>
      <c r="E14" s="52">
        <f>'Tabela Resumo'!F13</f>
        <v>0.62324827502458469</v>
      </c>
      <c r="F14" s="48">
        <f>'Tabela Resumo'!E13</f>
        <v>303270.61</v>
      </c>
      <c r="G14" s="48">
        <f>H14*$F$14</f>
        <v>0</v>
      </c>
      <c r="H14" s="52"/>
      <c r="I14" s="48">
        <f>J14*$F$14</f>
        <v>0</v>
      </c>
      <c r="J14" s="52"/>
      <c r="K14" s="48">
        <f>L14*$F$14</f>
        <v>0</v>
      </c>
      <c r="L14" s="52"/>
      <c r="N14" s="93">
        <f>H14+J14+L14+H27+J27+L27</f>
        <v>1</v>
      </c>
    </row>
    <row r="15" spans="2:36" ht="14.1" customHeight="1" x14ac:dyDescent="0.25">
      <c r="B15" s="270"/>
      <c r="C15" s="48" t="str">
        <f>'Tabela Resumo'!C14</f>
        <v>05</v>
      </c>
      <c r="D15" s="49" t="str">
        <f>'Tabela Resumo'!D14</f>
        <v>SINALIZAÇÃO</v>
      </c>
      <c r="E15" s="52">
        <f>'Tabela Resumo'!F14</f>
        <v>4.6220485753718198E-2</v>
      </c>
      <c r="F15" s="48">
        <f>'Tabela Resumo'!E14</f>
        <v>22490.74</v>
      </c>
      <c r="G15" s="48">
        <f>H15*$F$15</f>
        <v>0</v>
      </c>
      <c r="H15" s="52"/>
      <c r="I15" s="48">
        <f>J15*$F$15</f>
        <v>0</v>
      </c>
      <c r="J15" s="52"/>
      <c r="K15" s="48">
        <f>L15*$F$15</f>
        <v>0</v>
      </c>
      <c r="L15" s="52"/>
      <c r="N15" s="93"/>
    </row>
    <row r="16" spans="2:36" ht="14.1" customHeight="1" x14ac:dyDescent="0.25">
      <c r="B16" s="271"/>
      <c r="C16" s="55" t="str">
        <f>'Tabela Resumo'!C15</f>
        <v>06</v>
      </c>
      <c r="D16" s="49" t="str">
        <f>'Tabela Resumo'!D15</f>
        <v>ADMINISTRAÇÃO LOCAL</v>
      </c>
      <c r="E16" s="52">
        <f>'Tabela Resumo'!F15</f>
        <v>4.5821428456196772E-2</v>
      </c>
      <c r="F16" s="48">
        <f>'Tabela Resumo'!E15</f>
        <v>22296.559999999998</v>
      </c>
      <c r="G16" s="48">
        <f>H16*$F$16</f>
        <v>3716.0933333333328</v>
      </c>
      <c r="H16" s="52">
        <f>1/6</f>
        <v>0.16666666666666666</v>
      </c>
      <c r="I16" s="48">
        <f>J16*$F$16</f>
        <v>3716.0933333333328</v>
      </c>
      <c r="J16" s="52">
        <f>1/6</f>
        <v>0.16666666666666666</v>
      </c>
      <c r="K16" s="48">
        <f>L16*$F$16</f>
        <v>3716.0933333333328</v>
      </c>
      <c r="L16" s="52">
        <f>1/6</f>
        <v>0.16666666666666666</v>
      </c>
      <c r="N16" s="93">
        <f>H16+J16+L16+H29+J29+L29</f>
        <v>0.99999999999999989</v>
      </c>
    </row>
    <row r="17" spans="2:36" ht="5.0999999999999996" customHeight="1" x14ac:dyDescent="0.25">
      <c r="C17" s="176"/>
      <c r="D17" s="27"/>
      <c r="E17" s="28"/>
      <c r="F17" s="28"/>
      <c r="G17" s="28"/>
      <c r="H17" s="28"/>
      <c r="I17" s="28"/>
      <c r="J17" s="28"/>
      <c r="K17" s="28"/>
      <c r="L17" s="28"/>
    </row>
    <row r="18" spans="2:36" ht="20.100000000000001" customHeight="1" x14ac:dyDescent="0.25">
      <c r="B18" s="272" t="s">
        <v>40</v>
      </c>
      <c r="C18" s="273"/>
      <c r="D18" s="274"/>
      <c r="E18" s="83">
        <f>SUM(E10:E17)</f>
        <v>1.0000000000000002</v>
      </c>
      <c r="F18" s="15">
        <f>SUM(F10:F17)</f>
        <v>486596.79</v>
      </c>
      <c r="G18" s="15">
        <f>SUM(G10:G17)</f>
        <v>21222.303333333333</v>
      </c>
      <c r="H18" s="83">
        <f>G18/$F$18</f>
        <v>4.3613734758368085E-2</v>
      </c>
      <c r="I18" s="15">
        <f>SUM(I10:I17)</f>
        <v>3716.0933333333328</v>
      </c>
      <c r="J18" s="83">
        <f>I18/$F$18</f>
        <v>7.6369047426994591E-3</v>
      </c>
      <c r="K18" s="15">
        <f>SUM(K10:K17)</f>
        <v>40770.993333333325</v>
      </c>
      <c r="L18" s="83">
        <f>K18/$F$18</f>
        <v>8.3788044169657031E-2</v>
      </c>
    </row>
    <row r="19" spans="2:36" ht="20.100000000000001" customHeight="1" x14ac:dyDescent="0.25">
      <c r="B19" s="272" t="s">
        <v>41</v>
      </c>
      <c r="C19" s="273"/>
      <c r="D19" s="274"/>
      <c r="E19" s="83"/>
      <c r="F19" s="15"/>
      <c r="G19" s="15">
        <f>G18</f>
        <v>21222.303333333333</v>
      </c>
      <c r="H19" s="83">
        <f>H18</f>
        <v>4.3613734758368085E-2</v>
      </c>
      <c r="I19" s="15">
        <f>I18+G19</f>
        <v>24938.396666666667</v>
      </c>
      <c r="J19" s="83">
        <f>J18+H19</f>
        <v>5.1250639501067542E-2</v>
      </c>
      <c r="K19" s="15">
        <f>K18+I19</f>
        <v>65709.389999999985</v>
      </c>
      <c r="L19" s="83">
        <f>L18+J19</f>
        <v>0.13503868367072458</v>
      </c>
    </row>
    <row r="20" spans="2:36" ht="30" customHeight="1" x14ac:dyDescent="0.25"/>
    <row r="21" spans="2:36" ht="15" customHeight="1" x14ac:dyDescent="0.25">
      <c r="B21" s="280" t="s">
        <v>0</v>
      </c>
      <c r="C21" s="281"/>
      <c r="D21" s="275" t="s">
        <v>1</v>
      </c>
      <c r="E21" s="275" t="s">
        <v>130</v>
      </c>
      <c r="F21" s="275" t="s">
        <v>38</v>
      </c>
      <c r="G21" s="278" t="s">
        <v>44</v>
      </c>
      <c r="H21" s="279"/>
      <c r="I21" s="278" t="s">
        <v>45</v>
      </c>
      <c r="J21" s="279"/>
      <c r="K21" s="278" t="s">
        <v>46</v>
      </c>
      <c r="L21" s="279"/>
      <c r="M21" s="25"/>
      <c r="N21" s="25"/>
      <c r="O21" s="25"/>
      <c r="P21" s="25"/>
      <c r="Q21" s="25"/>
      <c r="R21" s="25"/>
      <c r="S21" s="25"/>
      <c r="T21" s="25"/>
      <c r="U21" s="25"/>
      <c r="V21" s="25"/>
      <c r="W21" s="25"/>
      <c r="X21" s="25"/>
      <c r="Y21" s="25"/>
      <c r="Z21" s="25"/>
      <c r="AA21" s="25"/>
      <c r="AB21" s="25"/>
      <c r="AC21" s="25"/>
      <c r="AD21" s="25"/>
      <c r="AE21" s="25"/>
      <c r="AF21" s="9"/>
      <c r="AG21" s="24"/>
      <c r="AH21" s="24"/>
      <c r="AI21" s="9"/>
      <c r="AJ21" s="26"/>
    </row>
    <row r="22" spans="2:36" ht="15" customHeight="1" x14ac:dyDescent="0.25">
      <c r="B22" s="282"/>
      <c r="C22" s="283"/>
      <c r="D22" s="276"/>
      <c r="E22" s="276"/>
      <c r="F22" s="276"/>
      <c r="G22" s="13" t="s">
        <v>32</v>
      </c>
      <c r="H22" s="13" t="s">
        <v>7</v>
      </c>
      <c r="I22" s="13" t="s">
        <v>32</v>
      </c>
      <c r="J22" s="13" t="s">
        <v>7</v>
      </c>
      <c r="K22" s="13" t="s">
        <v>32</v>
      </c>
      <c r="L22" s="13" t="s">
        <v>7</v>
      </c>
      <c r="M22" s="25"/>
      <c r="N22" s="25"/>
      <c r="O22" s="25"/>
      <c r="P22" s="25"/>
      <c r="Q22" s="25"/>
      <c r="R22" s="25"/>
      <c r="S22" s="25"/>
      <c r="T22" s="25"/>
      <c r="U22" s="25"/>
      <c r="V22" s="25"/>
      <c r="W22" s="25"/>
      <c r="X22" s="25"/>
      <c r="Y22" s="25"/>
      <c r="Z22" s="25"/>
      <c r="AA22" s="25"/>
      <c r="AB22" s="25"/>
      <c r="AC22" s="25"/>
      <c r="AD22" s="25"/>
      <c r="AE22" s="25"/>
      <c r="AF22" s="9"/>
      <c r="AG22" s="24"/>
      <c r="AH22" s="24"/>
      <c r="AI22" s="9"/>
      <c r="AJ22" s="26"/>
    </row>
    <row r="23" spans="2:36" ht="5.0999999999999996" customHeight="1" x14ac:dyDescent="0.25"/>
    <row r="24" spans="2:36" ht="14.1" customHeight="1" x14ac:dyDescent="0.25">
      <c r="B24" s="269" t="s">
        <v>37</v>
      </c>
      <c r="C24" s="73" t="str">
        <f>'Tabela Resumo'!C10</f>
        <v>01</v>
      </c>
      <c r="D24" s="82" t="str">
        <f>'Tabela Resumo'!D10</f>
        <v>SERVIÇOS PRELIMINARES</v>
      </c>
      <c r="E24" s="74">
        <f>'Tabela Resumo'!F10</f>
        <v>3.5976830015668627E-2</v>
      </c>
      <c r="F24" s="73">
        <f>'Tabela Resumo'!E10</f>
        <v>17506.21</v>
      </c>
      <c r="G24" s="73">
        <f>H24*$F$24</f>
        <v>0</v>
      </c>
      <c r="H24" s="74"/>
      <c r="I24" s="73">
        <f>J24*$F$24</f>
        <v>0</v>
      </c>
      <c r="J24" s="74"/>
      <c r="K24" s="73">
        <f>L24*$F$24</f>
        <v>0</v>
      </c>
      <c r="L24" s="74"/>
      <c r="N24" s="93">
        <f>N11</f>
        <v>1</v>
      </c>
    </row>
    <row r="25" spans="2:36" ht="14.1" customHeight="1" x14ac:dyDescent="0.25">
      <c r="B25" s="270"/>
      <c r="C25" s="48" t="str">
        <f>'Tabela Resumo'!C11</f>
        <v>02</v>
      </c>
      <c r="D25" s="49" t="str">
        <f>'Tabela Resumo'!D11</f>
        <v>IMPLANTAÇÃO ASFÁLTICA</v>
      </c>
      <c r="E25" s="52">
        <f>'Tabela Resumo'!F11</f>
        <v>0.19037784856739398</v>
      </c>
      <c r="F25" s="48">
        <f>'Tabela Resumo'!E11</f>
        <v>92637.249999999985</v>
      </c>
      <c r="G25" s="48">
        <f>H25*$F$25</f>
        <v>55582.349999999991</v>
      </c>
      <c r="H25" s="52">
        <v>0.6</v>
      </c>
      <c r="I25" s="48">
        <f>J25*$F$25</f>
        <v>0</v>
      </c>
      <c r="J25" s="52"/>
      <c r="K25" s="48">
        <f>L25*$F$25</f>
        <v>0</v>
      </c>
      <c r="L25" s="52"/>
      <c r="N25" s="93">
        <f>N12</f>
        <v>1</v>
      </c>
    </row>
    <row r="26" spans="2:36" ht="14.1" customHeight="1" x14ac:dyDescent="0.25">
      <c r="B26" s="270"/>
      <c r="C26" s="48" t="str">
        <f>'Tabela Resumo'!C12</f>
        <v>03</v>
      </c>
      <c r="D26" s="49" t="str">
        <f>'Tabela Resumo'!D12</f>
        <v>SERVIÇOS COMPLEMENTARES</v>
      </c>
      <c r="E26" s="52">
        <f>'Tabela Resumo'!F12</f>
        <v>5.8355132182437958E-2</v>
      </c>
      <c r="F26" s="48">
        <f>'Tabela Resumo'!E12</f>
        <v>28395.42</v>
      </c>
      <c r="G26" s="48">
        <f>H26*$F$26</f>
        <v>17037.251999999997</v>
      </c>
      <c r="H26" s="52">
        <v>0.6</v>
      </c>
      <c r="I26" s="48">
        <f>J26*$F$26</f>
        <v>11358.168</v>
      </c>
      <c r="J26" s="52">
        <v>0.4</v>
      </c>
      <c r="K26" s="48">
        <f>L26*$F$26</f>
        <v>0</v>
      </c>
      <c r="L26" s="52"/>
      <c r="N26" s="93">
        <f>N13</f>
        <v>1</v>
      </c>
    </row>
    <row r="27" spans="2:36" ht="14.1" customHeight="1" x14ac:dyDescent="0.25">
      <c r="B27" s="270"/>
      <c r="C27" s="48" t="str">
        <f>'Tabela Resumo'!C13</f>
        <v>04</v>
      </c>
      <c r="D27" s="49" t="str">
        <f>'Tabela Resumo'!D13</f>
        <v>PASSEIO COM ACESSIBILIDADE</v>
      </c>
      <c r="E27" s="52">
        <f>'Tabela Resumo'!F13</f>
        <v>0.62324827502458469</v>
      </c>
      <c r="F27" s="48">
        <f>'Tabela Resumo'!E13</f>
        <v>303270.61</v>
      </c>
      <c r="G27" s="48">
        <f>H27*$F$27</f>
        <v>0</v>
      </c>
      <c r="H27" s="52"/>
      <c r="I27" s="48">
        <f>J27*$F$27</f>
        <v>60654.122000000003</v>
      </c>
      <c r="J27" s="52">
        <v>0.2</v>
      </c>
      <c r="K27" s="48">
        <f>L27*$F$27</f>
        <v>242616.48800000001</v>
      </c>
      <c r="L27" s="52">
        <v>0.8</v>
      </c>
      <c r="N27" s="93">
        <f>N14</f>
        <v>1</v>
      </c>
    </row>
    <row r="28" spans="2:36" ht="14.1" customHeight="1" x14ac:dyDescent="0.25">
      <c r="B28" s="270"/>
      <c r="C28" s="48" t="str">
        <f>'Tabela Resumo'!C14</f>
        <v>05</v>
      </c>
      <c r="D28" s="49" t="str">
        <f>'Tabela Resumo'!D14</f>
        <v>SINALIZAÇÃO</v>
      </c>
      <c r="E28" s="52">
        <f>'Tabela Resumo'!F14</f>
        <v>4.6220485753718198E-2</v>
      </c>
      <c r="F28" s="48">
        <f>'Tabela Resumo'!E14</f>
        <v>22490.74</v>
      </c>
      <c r="G28" s="48">
        <f>H28*$F$28</f>
        <v>0</v>
      </c>
      <c r="H28" s="52"/>
      <c r="I28" s="48">
        <f>J28*$F$28</f>
        <v>22490.74</v>
      </c>
      <c r="J28" s="52">
        <v>1</v>
      </c>
      <c r="K28" s="48">
        <f>L28*$F$28</f>
        <v>0</v>
      </c>
      <c r="L28" s="52"/>
      <c r="N28" s="93"/>
    </row>
    <row r="29" spans="2:36" ht="14.1" customHeight="1" x14ac:dyDescent="0.25">
      <c r="B29" s="271"/>
      <c r="C29" s="55" t="str">
        <f>'Tabela Resumo'!C15</f>
        <v>06</v>
      </c>
      <c r="D29" s="49" t="str">
        <f>'Tabela Resumo'!D15</f>
        <v>ADMINISTRAÇÃO LOCAL</v>
      </c>
      <c r="E29" s="52">
        <f>'Tabela Resumo'!F15</f>
        <v>4.5821428456196772E-2</v>
      </c>
      <c r="F29" s="48">
        <f>'Tabela Resumo'!E15</f>
        <v>22296.559999999998</v>
      </c>
      <c r="G29" s="48">
        <f>H29*$F$29</f>
        <v>3716.0933333333328</v>
      </c>
      <c r="H29" s="52">
        <f>1/6</f>
        <v>0.16666666666666666</v>
      </c>
      <c r="I29" s="48">
        <f>J29*$F$29</f>
        <v>3716.0933333333328</v>
      </c>
      <c r="J29" s="52">
        <f>1/6</f>
        <v>0.16666666666666666</v>
      </c>
      <c r="K29" s="48">
        <f>L29*$F$29</f>
        <v>3716.0933333333328</v>
      </c>
      <c r="L29" s="52">
        <f>1/6</f>
        <v>0.16666666666666666</v>
      </c>
      <c r="N29" s="93">
        <f>N16</f>
        <v>0.99999999999999989</v>
      </c>
    </row>
    <row r="30" spans="2:36" ht="5.0999999999999996" customHeight="1" x14ac:dyDescent="0.25">
      <c r="C30" s="176"/>
      <c r="D30" s="27"/>
      <c r="E30" s="28"/>
      <c r="F30" s="28"/>
      <c r="G30" s="28"/>
      <c r="H30" s="28"/>
      <c r="I30" s="28"/>
      <c r="J30" s="28"/>
      <c r="K30" s="28"/>
      <c r="L30" s="28"/>
    </row>
    <row r="31" spans="2:36" ht="20.100000000000001" customHeight="1" x14ac:dyDescent="0.25">
      <c r="B31" s="272" t="s">
        <v>40</v>
      </c>
      <c r="C31" s="273"/>
      <c r="D31" s="274"/>
      <c r="E31" s="83">
        <f>SUM(E23:E30)</f>
        <v>1.0000000000000002</v>
      </c>
      <c r="F31" s="15">
        <f>SUM(F23:F30)</f>
        <v>486596.79</v>
      </c>
      <c r="G31" s="15">
        <f>SUM(G23:G30)</f>
        <v>76335.695333333322</v>
      </c>
      <c r="H31" s="83">
        <f>G31/$F$31</f>
        <v>0.15687669319259859</v>
      </c>
      <c r="I31" s="15">
        <f>SUM(I23:I30)</f>
        <v>98219.123333333351</v>
      </c>
      <c r="J31" s="83">
        <f>I31/$F$31</f>
        <v>0.20184909837430978</v>
      </c>
      <c r="K31" s="15">
        <f>SUM(K23:K30)</f>
        <v>246332.58133333334</v>
      </c>
      <c r="L31" s="83">
        <f>K31/$F$31</f>
        <v>0.50623552476236711</v>
      </c>
    </row>
    <row r="32" spans="2:36" ht="20.100000000000001" customHeight="1" x14ac:dyDescent="0.25">
      <c r="B32" s="272" t="s">
        <v>41</v>
      </c>
      <c r="C32" s="273"/>
      <c r="D32" s="274"/>
      <c r="E32" s="83"/>
      <c r="F32" s="15"/>
      <c r="G32" s="15">
        <f>G31+K19</f>
        <v>142045.08533333329</v>
      </c>
      <c r="H32" s="83">
        <f>H31+L19</f>
        <v>0.29191537686332314</v>
      </c>
      <c r="I32" s="15">
        <f>I31+G32</f>
        <v>240264.20866666664</v>
      </c>
      <c r="J32" s="83">
        <f>J31+H32</f>
        <v>0.49376447523763289</v>
      </c>
      <c r="K32" s="15">
        <f>K31+I32</f>
        <v>486596.79</v>
      </c>
      <c r="L32" s="83">
        <f>L31+J32</f>
        <v>1</v>
      </c>
    </row>
  </sheetData>
  <mergeCells count="20">
    <mergeCell ref="I21:J21"/>
    <mergeCell ref="K21:L21"/>
    <mergeCell ref="B24:B29"/>
    <mergeCell ref="B31:D31"/>
    <mergeCell ref="B32:D32"/>
    <mergeCell ref="B21:C22"/>
    <mergeCell ref="D21:D22"/>
    <mergeCell ref="E21:E22"/>
    <mergeCell ref="F21:F22"/>
    <mergeCell ref="G21:H21"/>
    <mergeCell ref="K8:L8"/>
    <mergeCell ref="D8:D9"/>
    <mergeCell ref="E8:E9"/>
    <mergeCell ref="F8:F9"/>
    <mergeCell ref="G8:H8"/>
    <mergeCell ref="B11:B16"/>
    <mergeCell ref="B18:D18"/>
    <mergeCell ref="B19:D19"/>
    <mergeCell ref="B8:C9"/>
    <mergeCell ref="I8:J8"/>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7"/>
  <dimension ref="B1:I18"/>
  <sheetViews>
    <sheetView showGridLines="0" view="pageBreakPreview" zoomScaleSheetLayoutView="100" workbookViewId="0">
      <selection activeCell="B2" sqref="B2"/>
    </sheetView>
  </sheetViews>
  <sheetFormatPr defaultRowHeight="12.75" x14ac:dyDescent="0.25"/>
  <cols>
    <col min="1" max="1" width="1.7109375" style="4" customWidth="1"/>
    <col min="2" max="2" width="10.7109375" style="4" customWidth="1"/>
    <col min="3" max="3" width="20.7109375" style="4" customWidth="1"/>
    <col min="4" max="4" width="26.7109375" style="4" customWidth="1"/>
    <col min="5" max="5" width="7.7109375" style="4" customWidth="1"/>
    <col min="6" max="6" width="1.7109375" style="4" customWidth="1"/>
    <col min="7" max="7" width="20.7109375" style="4" customWidth="1"/>
    <col min="8" max="8" width="1.7109375" style="4" customWidth="1"/>
    <col min="9" max="9" width="12.7109375" style="4" customWidth="1"/>
    <col min="10" max="16384" width="9.140625" style="4"/>
  </cols>
  <sheetData>
    <row r="1" spans="2:9" ht="5.0999999999999996" customHeight="1" x14ac:dyDescent="0.25"/>
    <row r="2" spans="2:9" ht="14.1" customHeight="1" x14ac:dyDescent="0.25">
      <c r="B2" s="79" t="str">
        <f>DADOS!$B$3</f>
        <v>CLIENTE:</v>
      </c>
      <c r="C2" s="60" t="str">
        <f>DADOS!$C$3</f>
        <v>PREFEITURA MUNICIPAL DE RIO BRILHANTE / MS</v>
      </c>
      <c r="D2" s="28"/>
      <c r="E2" s="28"/>
      <c r="F2" s="28"/>
      <c r="G2" s="28"/>
      <c r="H2" s="28"/>
      <c r="I2" s="30"/>
    </row>
    <row r="3" spans="2:9" ht="14.1" customHeight="1" x14ac:dyDescent="0.25">
      <c r="B3" s="80" t="str">
        <f>DADOS!$B$4</f>
        <v>ENDEREÇO:</v>
      </c>
      <c r="C3" s="61" t="str">
        <f>DADOS!$C$4</f>
        <v>RUA ATHAYDE NOGUEIRA, Nº 1.033 - CENTRO</v>
      </c>
      <c r="I3" s="31"/>
    </row>
    <row r="4" spans="2:9" ht="14.1" customHeight="1" x14ac:dyDescent="0.2">
      <c r="B4" s="62"/>
      <c r="C4" s="61"/>
      <c r="I4" s="31"/>
    </row>
    <row r="5" spans="2:9" ht="14.1" customHeight="1" x14ac:dyDescent="0.25">
      <c r="B5" s="80" t="str">
        <f>DADOS!$B$7</f>
        <v>OBRA:</v>
      </c>
      <c r="C5" s="61" t="str">
        <f>DADOS!$C$7</f>
        <v>PAVIMENTAÇÃO ASFÁLTICA E EM CONCRETO</v>
      </c>
      <c r="I5" s="31"/>
    </row>
    <row r="6" spans="2:9" ht="14.1" customHeight="1" x14ac:dyDescent="0.25">
      <c r="B6" s="63" t="str">
        <f>DADOS!$B$8</f>
        <v>LOCAL:</v>
      </c>
      <c r="C6" s="64" t="str">
        <f>DADOS!$C$8</f>
        <v>PRAÇA INTERATIVA, RIO BRILHANTE / MS</v>
      </c>
      <c r="D6" s="32"/>
      <c r="E6" s="32"/>
      <c r="F6" s="32"/>
      <c r="G6" s="32"/>
      <c r="H6" s="32"/>
      <c r="I6" s="33"/>
    </row>
    <row r="7" spans="2:9" ht="5.0999999999999996" customHeight="1" x14ac:dyDescent="0.25"/>
    <row r="8" spans="2:9" ht="30" customHeight="1" x14ac:dyDescent="0.25">
      <c r="B8" s="268" t="s">
        <v>0</v>
      </c>
      <c r="C8" s="268"/>
      <c r="D8" s="268"/>
      <c r="E8" s="268"/>
      <c r="F8" s="8"/>
      <c r="G8" s="11" t="s">
        <v>97</v>
      </c>
      <c r="H8" s="8"/>
      <c r="I8" s="10" t="s">
        <v>5</v>
      </c>
    </row>
    <row r="9" spans="2:9" ht="5.0999999999999996" customHeight="1" x14ac:dyDescent="0.25"/>
    <row r="10" spans="2:9" ht="14.1" customHeight="1" x14ac:dyDescent="0.25">
      <c r="B10" s="266" t="s">
        <v>96</v>
      </c>
      <c r="C10" s="268" t="s">
        <v>98</v>
      </c>
      <c r="D10" s="268"/>
      <c r="E10" s="268"/>
      <c r="G10" s="21">
        <f>'Pav-Terrapl'!K10</f>
        <v>283.13</v>
      </c>
      <c r="I10" s="15">
        <f>SUM(F10:H10)</f>
        <v>283.13</v>
      </c>
    </row>
    <row r="11" spans="2:9" ht="14.1" customHeight="1" x14ac:dyDescent="0.25">
      <c r="B11" s="266"/>
      <c r="C11" s="277" t="s">
        <v>99</v>
      </c>
      <c r="D11" s="10" t="s">
        <v>115</v>
      </c>
      <c r="E11" s="35">
        <v>1</v>
      </c>
      <c r="G11" s="285">
        <f>TRUNC((E11*E12*E13),2)</f>
        <v>8</v>
      </c>
      <c r="I11" s="284">
        <f>SUM(F11:H13)</f>
        <v>8</v>
      </c>
    </row>
    <row r="12" spans="2:9" ht="14.1" customHeight="1" x14ac:dyDescent="0.25">
      <c r="B12" s="266"/>
      <c r="C12" s="277"/>
      <c r="D12" s="10" t="s">
        <v>116</v>
      </c>
      <c r="E12" s="36">
        <v>4</v>
      </c>
      <c r="G12" s="286"/>
      <c r="I12" s="284"/>
    </row>
    <row r="13" spans="2:9" ht="14.1" customHeight="1" x14ac:dyDescent="0.25">
      <c r="B13" s="266"/>
      <c r="C13" s="277"/>
      <c r="D13" s="10" t="s">
        <v>68</v>
      </c>
      <c r="E13" s="36">
        <v>2</v>
      </c>
      <c r="G13" s="287"/>
      <c r="I13" s="284"/>
    </row>
    <row r="14" spans="2:9" ht="14.1" customHeight="1" x14ac:dyDescent="0.25">
      <c r="B14" s="266"/>
      <c r="C14" s="268" t="s">
        <v>262</v>
      </c>
      <c r="D14" s="268"/>
      <c r="E14" s="268"/>
      <c r="G14" s="21">
        <f>Orçamento!$P$97</f>
        <v>2</v>
      </c>
      <c r="I14" s="15">
        <f t="shared" ref="I14:I18" si="0">SUM(F14:H14)</f>
        <v>2</v>
      </c>
    </row>
    <row r="15" spans="2:9" ht="14.1" customHeight="1" x14ac:dyDescent="0.25">
      <c r="B15" s="266"/>
      <c r="C15" s="277" t="s">
        <v>119</v>
      </c>
      <c r="D15" s="268" t="s">
        <v>100</v>
      </c>
      <c r="E15" s="268"/>
      <c r="G15" s="21">
        <v>4207.1400000000003</v>
      </c>
      <c r="I15" s="15">
        <f t="shared" si="0"/>
        <v>4207.1400000000003</v>
      </c>
    </row>
    <row r="16" spans="2:9" ht="14.1" customHeight="1" x14ac:dyDescent="0.25">
      <c r="B16" s="266"/>
      <c r="C16" s="277"/>
      <c r="D16" s="268" t="s">
        <v>117</v>
      </c>
      <c r="E16" s="268"/>
      <c r="G16" s="21">
        <f>TRUNC((G15*0.05),2)</f>
        <v>210.35</v>
      </c>
      <c r="I16" s="15">
        <f t="shared" si="0"/>
        <v>210.35</v>
      </c>
    </row>
    <row r="17" spans="2:9" ht="14.1" customHeight="1" x14ac:dyDescent="0.25">
      <c r="B17" s="266"/>
      <c r="C17" s="277"/>
      <c r="D17" s="10" t="s">
        <v>118</v>
      </c>
      <c r="E17" s="14">
        <f>'Resumo DMT''s'!$E$13</f>
        <v>10</v>
      </c>
      <c r="G17" s="21">
        <f>TRUNC((G16*$E$17),2)</f>
        <v>2103.5</v>
      </c>
      <c r="I17" s="15">
        <f t="shared" si="0"/>
        <v>2103.5</v>
      </c>
    </row>
    <row r="18" spans="2:9" ht="14.1" customHeight="1" x14ac:dyDescent="0.25">
      <c r="B18" s="266"/>
      <c r="C18" s="277"/>
      <c r="D18" s="268" t="s">
        <v>101</v>
      </c>
      <c r="E18" s="268"/>
      <c r="G18" s="21">
        <f>G16</f>
        <v>210.35</v>
      </c>
      <c r="I18" s="15">
        <f t="shared" si="0"/>
        <v>210.35</v>
      </c>
    </row>
  </sheetData>
  <mergeCells count="11">
    <mergeCell ref="B8:E8"/>
    <mergeCell ref="I11:I13"/>
    <mergeCell ref="C10:E10"/>
    <mergeCell ref="C11:C13"/>
    <mergeCell ref="G11:G13"/>
    <mergeCell ref="B10:B18"/>
    <mergeCell ref="C14:E14"/>
    <mergeCell ref="C15:C18"/>
    <mergeCell ref="D15:E15"/>
    <mergeCell ref="D16:E16"/>
    <mergeCell ref="D18:E18"/>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16"/>
  <dimension ref="B1:G15"/>
  <sheetViews>
    <sheetView showGridLines="0" view="pageBreakPreview" zoomScaleSheetLayoutView="100" workbookViewId="0">
      <selection activeCell="B2" sqref="B2"/>
    </sheetView>
  </sheetViews>
  <sheetFormatPr defaultRowHeight="12.75" x14ac:dyDescent="0.25"/>
  <cols>
    <col min="1" max="1" width="1.7109375" style="4" customWidth="1"/>
    <col min="2" max="3" width="11.7109375" style="4" customWidth="1"/>
    <col min="4" max="4" width="30.7109375" style="4" customWidth="1"/>
    <col min="5" max="7" width="25.7109375" style="4" customWidth="1"/>
    <col min="8" max="16384" width="9.140625" style="4"/>
  </cols>
  <sheetData>
    <row r="1" spans="2:7" ht="5.0999999999999996" customHeight="1" x14ac:dyDescent="0.25"/>
    <row r="2" spans="2:7" ht="14.1" customHeight="1" x14ac:dyDescent="0.25">
      <c r="B2" s="79" t="str">
        <f>DADOS!$B$3</f>
        <v>CLIENTE:</v>
      </c>
      <c r="C2" s="60" t="str">
        <f>Orçamento!C2</f>
        <v>PREFEITURA MUNICIPAL DE RIO BRILHANTE / MS</v>
      </c>
      <c r="D2" s="28"/>
      <c r="E2" s="28"/>
      <c r="F2" s="28"/>
      <c r="G2" s="30"/>
    </row>
    <row r="3" spans="2:7" ht="14.1" customHeight="1" x14ac:dyDescent="0.25">
      <c r="B3" s="80" t="str">
        <f>DADOS!$B$4</f>
        <v>ENDEREÇO:</v>
      </c>
      <c r="C3" s="61" t="str">
        <f>Orçamento!C3</f>
        <v>RUA ATHAYDE NOGUEIRA, Nº 1.033 - CENTRO</v>
      </c>
      <c r="G3" s="31"/>
    </row>
    <row r="4" spans="2:7" ht="14.1" customHeight="1" x14ac:dyDescent="0.2">
      <c r="B4" s="62"/>
      <c r="C4" s="61"/>
      <c r="G4" s="31"/>
    </row>
    <row r="5" spans="2:7" ht="14.1" customHeight="1" x14ac:dyDescent="0.25">
      <c r="B5" s="80" t="str">
        <f>DADOS!$B$7</f>
        <v>OBRA:</v>
      </c>
      <c r="C5" s="61" t="str">
        <f>Orçamento!C5</f>
        <v>PAVIMENTAÇÃO ASFÁLTICA E EM CONCRETO</v>
      </c>
      <c r="G5" s="31"/>
    </row>
    <row r="6" spans="2:7" ht="14.1" customHeight="1" x14ac:dyDescent="0.25">
      <c r="B6" s="63" t="str">
        <f>DADOS!$B$8</f>
        <v>LOCAL:</v>
      </c>
      <c r="C6" s="64" t="str">
        <f>Orçamento!C6</f>
        <v>PRAÇA INTERATIVA, RIO BRILHANTE / MS</v>
      </c>
      <c r="D6" s="32"/>
      <c r="E6" s="32"/>
      <c r="F6" s="32"/>
      <c r="G6" s="33"/>
    </row>
    <row r="7" spans="2:7" ht="5.0999999999999996" customHeight="1" x14ac:dyDescent="0.25"/>
    <row r="8" spans="2:7" ht="15" customHeight="1" x14ac:dyDescent="0.25">
      <c r="B8" s="216" t="s">
        <v>47</v>
      </c>
      <c r="C8" s="216"/>
      <c r="D8" s="216"/>
      <c r="E8" s="216" t="s">
        <v>48</v>
      </c>
      <c r="F8" s="216"/>
      <c r="G8" s="216"/>
    </row>
    <row r="9" spans="2:7" ht="15" customHeight="1" x14ac:dyDescent="0.25">
      <c r="B9" s="216"/>
      <c r="C9" s="216"/>
      <c r="D9" s="216"/>
      <c r="E9" s="13" t="s">
        <v>49</v>
      </c>
      <c r="F9" s="13" t="s">
        <v>50</v>
      </c>
      <c r="G9" s="13" t="s">
        <v>324</v>
      </c>
    </row>
    <row r="10" spans="2:7" ht="5.0999999999999996" customHeight="1" x14ac:dyDescent="0.25"/>
    <row r="11" spans="2:7" ht="15" customHeight="1" x14ac:dyDescent="0.25">
      <c r="B11" s="289" t="s">
        <v>281</v>
      </c>
      <c r="C11" s="288" t="s">
        <v>321</v>
      </c>
      <c r="D11" s="288"/>
      <c r="E11" s="21">
        <v>307.02999999999997</v>
      </c>
      <c r="F11" s="21">
        <v>257.48</v>
      </c>
      <c r="G11" s="21">
        <f>TRUNC(((E11-(F11*1.3))),2)</f>
        <v>-27.69</v>
      </c>
    </row>
    <row r="12" spans="2:7" ht="15" customHeight="1" x14ac:dyDescent="0.25">
      <c r="B12" s="290"/>
      <c r="C12" s="288" t="str">
        <f>'Pav-Terrapl'!H8</f>
        <v>PISTA DE CAMINHADA</v>
      </c>
      <c r="D12" s="288"/>
      <c r="E12" s="21">
        <f>'Pav-Terrapl'!H20</f>
        <v>133.59</v>
      </c>
      <c r="F12" s="21">
        <v>0</v>
      </c>
      <c r="G12" s="21">
        <f>TRUNC(((E12-(F12*1.3))),2)</f>
        <v>133.59</v>
      </c>
    </row>
    <row r="13" spans="2:7" ht="15" customHeight="1" x14ac:dyDescent="0.25">
      <c r="B13" s="290"/>
      <c r="C13" s="288" t="str">
        <f>'Pav-Terrapl'!I8</f>
        <v>ÁREA 01</v>
      </c>
      <c r="D13" s="288"/>
      <c r="E13" s="21">
        <f>'Pav-Terrapl'!I20</f>
        <v>5.24</v>
      </c>
      <c r="F13" s="21">
        <v>0</v>
      </c>
      <c r="G13" s="21">
        <f>TRUNC(((E13-(F13*1.3))),2)</f>
        <v>5.24</v>
      </c>
    </row>
    <row r="14" spans="2:7" ht="5.0999999999999996" customHeight="1" x14ac:dyDescent="0.25">
      <c r="B14" s="290"/>
      <c r="C14" s="175"/>
      <c r="D14" s="170"/>
    </row>
    <row r="15" spans="2:7" ht="30" customHeight="1" x14ac:dyDescent="0.25">
      <c r="B15" s="291"/>
      <c r="C15" s="272" t="s">
        <v>5</v>
      </c>
      <c r="D15" s="274"/>
      <c r="E15" s="174">
        <f>SUM(E10:E14)</f>
        <v>445.86</v>
      </c>
      <c r="F15" s="15">
        <f>SUM(F10:F14)</f>
        <v>257.48</v>
      </c>
      <c r="G15" s="15">
        <f>SUM(G10:G14)</f>
        <v>111.14</v>
      </c>
    </row>
  </sheetData>
  <mergeCells count="7">
    <mergeCell ref="E8:G8"/>
    <mergeCell ref="B8:D9"/>
    <mergeCell ref="C11:D11"/>
    <mergeCell ref="C15:D15"/>
    <mergeCell ref="B11:B15"/>
    <mergeCell ref="C12:D12"/>
    <mergeCell ref="C13:D13"/>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8"/>
  <dimension ref="B1:K26"/>
  <sheetViews>
    <sheetView showGridLines="0" view="pageBreakPreview" zoomScaleSheetLayoutView="100" workbookViewId="0">
      <pane ySplit="8" topLeftCell="A9" activePane="bottomLeft" state="frozen"/>
      <selection activeCell="B2" sqref="B2"/>
      <selection pane="bottomLeft" activeCell="H10" sqref="H10"/>
    </sheetView>
  </sheetViews>
  <sheetFormatPr defaultRowHeight="12.75" x14ac:dyDescent="0.25"/>
  <cols>
    <col min="1" max="1" width="1.7109375" style="4" customWidth="1"/>
    <col min="2" max="2" width="11.7109375" style="4" customWidth="1"/>
    <col min="3" max="3" width="15.7109375" style="4" customWidth="1"/>
    <col min="4" max="4" width="35.7109375" style="4" customWidth="1"/>
    <col min="5" max="5" width="7.7109375" style="4" customWidth="1"/>
    <col min="6" max="6" width="1.7109375" style="4" customWidth="1"/>
    <col min="7" max="7" width="15.7109375" style="4" customWidth="1"/>
    <col min="8" max="9" width="10.7109375" style="4" customWidth="1"/>
    <col min="10" max="10" width="1.7109375" style="4" customWidth="1"/>
    <col min="11" max="11" width="10.7109375" style="4" customWidth="1"/>
    <col min="12" max="16384" width="9.140625" style="4"/>
  </cols>
  <sheetData>
    <row r="1" spans="2:11" ht="5.0999999999999996" customHeight="1" x14ac:dyDescent="0.25"/>
    <row r="2" spans="2:11" ht="14.1" customHeight="1" x14ac:dyDescent="0.25">
      <c r="B2" s="79" t="str">
        <f>DADOS!$B$3</f>
        <v>CLIENTE:</v>
      </c>
      <c r="C2" s="60" t="str">
        <f>DADOS!$C$3</f>
        <v>PREFEITURA MUNICIPAL DE RIO BRILHANTE / MS</v>
      </c>
      <c r="D2" s="28"/>
      <c r="E2" s="28"/>
      <c r="F2" s="28"/>
      <c r="G2" s="28"/>
      <c r="H2" s="28"/>
      <c r="I2" s="28"/>
      <c r="J2" s="28"/>
      <c r="K2" s="30"/>
    </row>
    <row r="3" spans="2:11" ht="14.1" customHeight="1" x14ac:dyDescent="0.25">
      <c r="B3" s="80" t="str">
        <f>DADOS!$B$4</f>
        <v>ENDEREÇO:</v>
      </c>
      <c r="C3" s="61" t="str">
        <f>DADOS!$C$4</f>
        <v>RUA ATHAYDE NOGUEIRA, Nº 1.033 - CENTRO</v>
      </c>
      <c r="K3" s="31"/>
    </row>
    <row r="4" spans="2:11" ht="14.1" customHeight="1" x14ac:dyDescent="0.2">
      <c r="B4" s="62"/>
      <c r="C4" s="61"/>
      <c r="K4" s="31"/>
    </row>
    <row r="5" spans="2:11" ht="14.1" customHeight="1" x14ac:dyDescent="0.25">
      <c r="B5" s="80" t="str">
        <f>DADOS!$B$7</f>
        <v>OBRA:</v>
      </c>
      <c r="C5" s="61" t="str">
        <f>DADOS!$C$7</f>
        <v>PAVIMENTAÇÃO ASFÁLTICA E EM CONCRETO</v>
      </c>
      <c r="K5" s="31"/>
    </row>
    <row r="6" spans="2:11" ht="14.1" customHeight="1" x14ac:dyDescent="0.25">
      <c r="B6" s="63" t="str">
        <f>DADOS!$B$8</f>
        <v>LOCAL:</v>
      </c>
      <c r="C6" s="64" t="str">
        <f>DADOS!$C$8</f>
        <v>PRAÇA INTERATIVA, RIO BRILHANTE / MS</v>
      </c>
      <c r="D6" s="32"/>
      <c r="E6" s="32"/>
      <c r="F6" s="32"/>
      <c r="G6" s="32"/>
      <c r="H6" s="32"/>
      <c r="I6" s="32"/>
      <c r="J6" s="32"/>
      <c r="K6" s="33"/>
    </row>
    <row r="7" spans="2:11" ht="5.0999999999999996" customHeight="1" x14ac:dyDescent="0.25"/>
    <row r="8" spans="2:11" ht="30" customHeight="1" x14ac:dyDescent="0.25">
      <c r="B8" s="294" t="s">
        <v>47</v>
      </c>
      <c r="C8" s="295"/>
      <c r="D8" s="295"/>
      <c r="E8" s="292"/>
      <c r="G8" s="13" t="s">
        <v>321</v>
      </c>
      <c r="H8" s="13" t="s">
        <v>290</v>
      </c>
      <c r="I8" s="13" t="s">
        <v>322</v>
      </c>
      <c r="K8" s="13" t="s">
        <v>5</v>
      </c>
    </row>
    <row r="9" spans="2:11" ht="5.0999999999999996" customHeight="1" x14ac:dyDescent="0.25"/>
    <row r="10" spans="2:11" ht="14.1" customHeight="1" x14ac:dyDescent="0.25">
      <c r="B10" s="289" t="s">
        <v>55</v>
      </c>
      <c r="C10" s="292" t="s">
        <v>35</v>
      </c>
      <c r="D10" s="277"/>
      <c r="E10" s="277"/>
      <c r="G10" s="20"/>
      <c r="H10" s="21">
        <v>274.77999999999997</v>
      </c>
      <c r="I10" s="21">
        <v>8.35</v>
      </c>
      <c r="K10" s="15">
        <f>SUM(F10:J10)</f>
        <v>283.13</v>
      </c>
    </row>
    <row r="11" spans="2:11" ht="14.1" customHeight="1" x14ac:dyDescent="0.25">
      <c r="B11" s="290"/>
      <c r="C11" s="292" t="s">
        <v>57</v>
      </c>
      <c r="D11" s="277"/>
      <c r="E11" s="277"/>
      <c r="G11" s="20"/>
      <c r="H11" s="21" t="s">
        <v>58</v>
      </c>
      <c r="I11" s="21" t="s">
        <v>58</v>
      </c>
      <c r="K11" s="16"/>
    </row>
    <row r="12" spans="2:11" ht="14.1" customHeight="1" x14ac:dyDescent="0.25">
      <c r="B12" s="290"/>
      <c r="C12" s="292" t="s">
        <v>56</v>
      </c>
      <c r="D12" s="277"/>
      <c r="E12" s="277"/>
      <c r="G12" s="20"/>
      <c r="H12" s="21">
        <v>2.5</v>
      </c>
      <c r="I12" s="21">
        <v>4</v>
      </c>
      <c r="K12" s="17"/>
    </row>
    <row r="13" spans="2:11" ht="14.1" customHeight="1" x14ac:dyDescent="0.25">
      <c r="B13" s="290"/>
      <c r="C13" s="292" t="s">
        <v>64</v>
      </c>
      <c r="D13" s="277"/>
      <c r="E13" s="277"/>
      <c r="G13" s="20"/>
      <c r="H13" s="21">
        <v>0.42</v>
      </c>
      <c r="I13" s="21">
        <v>0.42</v>
      </c>
      <c r="K13" s="17"/>
    </row>
    <row r="14" spans="2:11" ht="14.1" customHeight="1" x14ac:dyDescent="0.25">
      <c r="B14" s="290"/>
      <c r="C14" s="292" t="s">
        <v>65</v>
      </c>
      <c r="D14" s="277"/>
      <c r="E14" s="277"/>
      <c r="G14" s="20"/>
      <c r="H14" s="21">
        <v>0.12</v>
      </c>
      <c r="I14" s="21">
        <v>0.12</v>
      </c>
      <c r="K14" s="18"/>
    </row>
    <row r="15" spans="2:11" ht="14.1" customHeight="1" x14ac:dyDescent="0.25">
      <c r="B15" s="290"/>
      <c r="C15" s="292" t="s">
        <v>59</v>
      </c>
      <c r="D15" s="277" t="s">
        <v>60</v>
      </c>
      <c r="E15" s="277"/>
      <c r="G15" s="23"/>
      <c r="H15" s="19">
        <v>0</v>
      </c>
      <c r="I15" s="19">
        <v>0</v>
      </c>
      <c r="K15" s="22">
        <f>SUM(F15:J15)</f>
        <v>0</v>
      </c>
    </row>
    <row r="16" spans="2:11" ht="14.1" customHeight="1" x14ac:dyDescent="0.25">
      <c r="B16" s="290"/>
      <c r="C16" s="292"/>
      <c r="D16" s="277" t="s">
        <v>61</v>
      </c>
      <c r="E16" s="277"/>
      <c r="G16" s="20"/>
      <c r="H16" s="21">
        <v>5.37</v>
      </c>
      <c r="I16" s="21">
        <v>5.37</v>
      </c>
      <c r="K16" s="29"/>
    </row>
    <row r="17" spans="2:11" ht="14.1" customHeight="1" x14ac:dyDescent="0.25">
      <c r="B17" s="290"/>
      <c r="C17" s="292"/>
      <c r="D17" s="277" t="s">
        <v>62</v>
      </c>
      <c r="E17" s="277"/>
      <c r="G17" s="20"/>
      <c r="H17" s="21">
        <v>-0.01</v>
      </c>
      <c r="I17" s="21">
        <v>-3.44</v>
      </c>
      <c r="K17" s="15">
        <f>SUM(F17:J17)</f>
        <v>-3.4499999999999997</v>
      </c>
    </row>
    <row r="18" spans="2:11" ht="14.1" customHeight="1" x14ac:dyDescent="0.25">
      <c r="B18" s="290"/>
      <c r="C18" s="292"/>
      <c r="D18" s="277" t="s">
        <v>63</v>
      </c>
      <c r="E18" s="277"/>
      <c r="G18" s="20"/>
      <c r="H18" s="21">
        <f>TRUNC(((H15*H16)+H17),2)</f>
        <v>-0.01</v>
      </c>
      <c r="I18" s="21">
        <f>TRUNC(((I15*I16)+I17),2)</f>
        <v>-3.44</v>
      </c>
      <c r="K18" s="15">
        <f>SUM(F18:J18)</f>
        <v>-3.4499999999999997</v>
      </c>
    </row>
    <row r="19" spans="2:11" ht="5.0999999999999996" customHeight="1" x14ac:dyDescent="0.25">
      <c r="B19" s="290"/>
    </row>
    <row r="20" spans="2:11" ht="14.1" customHeight="1" x14ac:dyDescent="0.25">
      <c r="B20" s="290"/>
      <c r="C20" s="275" t="s">
        <v>323</v>
      </c>
      <c r="D20" s="277" t="s">
        <v>51</v>
      </c>
      <c r="E20" s="277"/>
      <c r="G20" s="21">
        <f>'Cubação - TopoGRAPH'!G11</f>
        <v>-27.69</v>
      </c>
      <c r="H20" s="21">
        <f>TRUNC((((H10*(H12+2*(H13+0.2)))+H18)*0.13),2)</f>
        <v>133.59</v>
      </c>
      <c r="I20" s="21">
        <f>TRUNC((((I10*(I12+2*(I13+0.2)))+I18)*0.13),2)</f>
        <v>5.24</v>
      </c>
      <c r="K20" s="15">
        <f>SUM(F20:J20)</f>
        <v>111.14</v>
      </c>
    </row>
    <row r="21" spans="2:11" ht="14.1" customHeight="1" x14ac:dyDescent="0.25">
      <c r="B21" s="290"/>
      <c r="C21" s="293"/>
      <c r="D21" s="277" t="s">
        <v>52</v>
      </c>
      <c r="E21" s="277"/>
      <c r="G21" s="21">
        <f>TRUNC((G20*1.3),2)</f>
        <v>-35.99</v>
      </c>
      <c r="H21" s="21">
        <f>TRUNC((H20*1.3),2)</f>
        <v>173.66</v>
      </c>
      <c r="I21" s="21">
        <f>TRUNC((I20*1.3),2)</f>
        <v>6.81</v>
      </c>
      <c r="K21" s="15">
        <f>SUM(F21:J21)</f>
        <v>144.47999999999999</v>
      </c>
    </row>
    <row r="22" spans="2:11" ht="14.1" customHeight="1" x14ac:dyDescent="0.25">
      <c r="B22" s="290"/>
      <c r="C22" s="293"/>
      <c r="D22" s="11" t="s">
        <v>36</v>
      </c>
      <c r="E22" s="14">
        <f>'Resumo DMT''s'!$E$13</f>
        <v>10</v>
      </c>
      <c r="G22" s="21">
        <f>TRUNC((G21*$E$22),2)</f>
        <v>-359.9</v>
      </c>
      <c r="H22" s="21">
        <f>TRUNC((H21*$E$22),2)</f>
        <v>1736.6</v>
      </c>
      <c r="I22" s="21">
        <f>TRUNC((I21*$E$22),2)</f>
        <v>68.099999999999994</v>
      </c>
      <c r="K22" s="15">
        <f>SUM(F22:J22)</f>
        <v>1444.7999999999997</v>
      </c>
    </row>
    <row r="23" spans="2:11" ht="14.1" customHeight="1" x14ac:dyDescent="0.25">
      <c r="B23" s="290"/>
      <c r="C23" s="293"/>
      <c r="D23" s="277" t="s">
        <v>53</v>
      </c>
      <c r="E23" s="277"/>
      <c r="G23" s="21">
        <f t="shared" ref="G23" si="0">G21</f>
        <v>-35.99</v>
      </c>
      <c r="H23" s="21">
        <f t="shared" ref="H23:I23" si="1">H21</f>
        <v>173.66</v>
      </c>
      <c r="I23" s="21">
        <f t="shared" si="1"/>
        <v>6.81</v>
      </c>
      <c r="K23" s="15">
        <f>SUM(F23:J23)</f>
        <v>144.47999999999999</v>
      </c>
    </row>
    <row r="24" spans="2:11" ht="14.1" customHeight="1" x14ac:dyDescent="0.25">
      <c r="B24" s="291"/>
      <c r="C24" s="276"/>
      <c r="D24" s="277" t="s">
        <v>54</v>
      </c>
      <c r="E24" s="277"/>
      <c r="G24" s="21">
        <f>'Cubação - TopoGRAPH'!F11</f>
        <v>257.48</v>
      </c>
      <c r="H24" s="21">
        <f>'Cubação - TopoGRAPH'!F12</f>
        <v>0</v>
      </c>
      <c r="I24" s="21">
        <f>'Cubação - TopoGRAPH'!F13</f>
        <v>0</v>
      </c>
      <c r="K24" s="15">
        <f t="shared" ref="K24" si="2">SUM(F24:J24)</f>
        <v>257.48</v>
      </c>
    </row>
    <row r="26" spans="2:11" x14ac:dyDescent="0.25">
      <c r="G26" s="91">
        <f>'Pav-Pavimento'!G30</f>
        <v>0</v>
      </c>
      <c r="H26" s="91">
        <f>'Pav-Pavimento'!H30</f>
        <v>686.94</v>
      </c>
      <c r="I26" s="91">
        <f>'Pav-Pavimento'!I30</f>
        <v>29.96</v>
      </c>
    </row>
  </sheetData>
  <mergeCells count="17">
    <mergeCell ref="D21:E21"/>
    <mergeCell ref="D23:E23"/>
    <mergeCell ref="C10:E10"/>
    <mergeCell ref="C12:E12"/>
    <mergeCell ref="C20:C24"/>
    <mergeCell ref="B8:E8"/>
    <mergeCell ref="B10:B24"/>
    <mergeCell ref="D24:E24"/>
    <mergeCell ref="C11:E11"/>
    <mergeCell ref="C13:E13"/>
    <mergeCell ref="C15:C18"/>
    <mergeCell ref="D15:E15"/>
    <mergeCell ref="D16:E16"/>
    <mergeCell ref="D17:E17"/>
    <mergeCell ref="D18:E18"/>
    <mergeCell ref="C14:E14"/>
    <mergeCell ref="D20:E20"/>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9"/>
  <dimension ref="B1:K41"/>
  <sheetViews>
    <sheetView showGridLines="0" view="pageBreakPreview" zoomScaleSheetLayoutView="100" workbookViewId="0">
      <pane ySplit="8" topLeftCell="A9" activePane="bottomLeft" state="frozen"/>
      <selection activeCell="B2" sqref="B2"/>
      <selection pane="bottomLeft" activeCell="H10" sqref="H10"/>
    </sheetView>
  </sheetViews>
  <sheetFormatPr defaultRowHeight="12.75" x14ac:dyDescent="0.25"/>
  <cols>
    <col min="1" max="1" width="1.7109375" style="4" customWidth="1"/>
    <col min="2" max="2" width="11.7109375" style="4" customWidth="1"/>
    <col min="3" max="3" width="15.7109375" style="4" customWidth="1"/>
    <col min="4" max="4" width="14.7109375" style="4" customWidth="1"/>
    <col min="5" max="5" width="22.7109375" style="4" customWidth="1"/>
    <col min="6" max="6" width="7.7109375" style="4" customWidth="1"/>
    <col min="7" max="7" width="1.7109375" style="4" customWidth="1"/>
    <col min="8" max="9" width="10.7109375" style="4" customWidth="1"/>
    <col min="10" max="10" width="1.7109375" style="4" customWidth="1"/>
    <col min="11" max="11" width="10.7109375" style="4" customWidth="1"/>
    <col min="12" max="16384" width="9.140625" style="4"/>
  </cols>
  <sheetData>
    <row r="1" spans="2:11" ht="5.0999999999999996" customHeight="1" x14ac:dyDescent="0.25"/>
    <row r="2" spans="2:11" ht="14.1" customHeight="1" x14ac:dyDescent="0.25">
      <c r="B2" s="79" t="str">
        <f>DADOS!$B$3</f>
        <v>CLIENTE:</v>
      </c>
      <c r="C2" s="60" t="str">
        <f>DADOS!$C$3</f>
        <v>PREFEITURA MUNICIPAL DE RIO BRILHANTE / MS</v>
      </c>
      <c r="D2" s="34"/>
      <c r="E2" s="28"/>
      <c r="F2" s="28"/>
      <c r="G2" s="28"/>
      <c r="H2" s="28"/>
      <c r="I2" s="28"/>
      <c r="J2" s="28"/>
      <c r="K2" s="30"/>
    </row>
    <row r="3" spans="2:11" ht="14.1" customHeight="1" x14ac:dyDescent="0.25">
      <c r="B3" s="80" t="str">
        <f>DADOS!$B$4</f>
        <v>ENDEREÇO:</v>
      </c>
      <c r="C3" s="61" t="str">
        <f>DADOS!$C$4</f>
        <v>RUA ATHAYDE NOGUEIRA, Nº 1.033 - CENTRO</v>
      </c>
      <c r="D3" s="3"/>
      <c r="K3" s="31"/>
    </row>
    <row r="4" spans="2:11" ht="14.1" customHeight="1" x14ac:dyDescent="0.2">
      <c r="B4" s="62"/>
      <c r="C4" s="61"/>
      <c r="D4" s="3"/>
      <c r="K4" s="31"/>
    </row>
    <row r="5" spans="2:11" ht="14.1" customHeight="1" x14ac:dyDescent="0.25">
      <c r="B5" s="80" t="str">
        <f>DADOS!$B$7</f>
        <v>OBRA:</v>
      </c>
      <c r="C5" s="61" t="str">
        <f>DADOS!$C$7</f>
        <v>PAVIMENTAÇÃO ASFÁLTICA E EM CONCRETO</v>
      </c>
      <c r="D5" s="3"/>
      <c r="K5" s="31"/>
    </row>
    <row r="6" spans="2:11" ht="14.1" customHeight="1" x14ac:dyDescent="0.25">
      <c r="B6" s="63" t="str">
        <f>DADOS!$B$8</f>
        <v>LOCAL:</v>
      </c>
      <c r="C6" s="64" t="str">
        <f>DADOS!$C$8</f>
        <v>PRAÇA INTERATIVA, RIO BRILHANTE / MS</v>
      </c>
      <c r="D6" s="6"/>
      <c r="E6" s="32"/>
      <c r="F6" s="32"/>
      <c r="G6" s="32"/>
      <c r="H6" s="32"/>
      <c r="I6" s="32"/>
      <c r="J6" s="32"/>
      <c r="K6" s="33"/>
    </row>
    <row r="7" spans="2:11" ht="5.0999999999999996" customHeight="1" x14ac:dyDescent="0.25"/>
    <row r="8" spans="2:11" ht="30" customHeight="1" x14ac:dyDescent="0.25">
      <c r="B8" s="294" t="s">
        <v>47</v>
      </c>
      <c r="C8" s="295"/>
      <c r="D8" s="295"/>
      <c r="E8" s="295"/>
      <c r="F8" s="292"/>
      <c r="H8" s="13" t="str">
        <f>'Pav-Terrapl'!H8</f>
        <v>PISTA DE CAMINHADA</v>
      </c>
      <c r="I8" s="13" t="str">
        <f>'Pav-Terrapl'!I8</f>
        <v>ÁREA 01</v>
      </c>
      <c r="K8" s="13" t="s">
        <v>5</v>
      </c>
    </row>
    <row r="9" spans="2:11" ht="5.0999999999999996" customHeight="1" x14ac:dyDescent="0.25"/>
    <row r="10" spans="2:11" ht="14.1" customHeight="1" x14ac:dyDescent="0.25">
      <c r="B10" s="289" t="s">
        <v>66</v>
      </c>
      <c r="C10" s="292" t="s">
        <v>35</v>
      </c>
      <c r="D10" s="277"/>
      <c r="E10" s="277"/>
      <c r="F10" s="277"/>
      <c r="H10" s="21">
        <f>'Pav-Terrapl'!H10</f>
        <v>274.77999999999997</v>
      </c>
      <c r="I10" s="21">
        <f>'Pav-Terrapl'!I10</f>
        <v>8.35</v>
      </c>
      <c r="K10" s="15">
        <f>SUM(G10:J10)</f>
        <v>283.13</v>
      </c>
    </row>
    <row r="11" spans="2:11" ht="14.1" customHeight="1" x14ac:dyDescent="0.25">
      <c r="B11" s="290"/>
      <c r="C11" s="292" t="s">
        <v>57</v>
      </c>
      <c r="D11" s="277"/>
      <c r="E11" s="277"/>
      <c r="F11" s="277"/>
      <c r="H11" s="21" t="str">
        <f>'Pav-Terrapl'!H11</f>
        <v>DUPLA</v>
      </c>
      <c r="I11" s="21" t="str">
        <f>'Pav-Terrapl'!I11</f>
        <v>DUPLA</v>
      </c>
      <c r="K11" s="16"/>
    </row>
    <row r="12" spans="2:11" ht="14.1" customHeight="1" x14ac:dyDescent="0.25">
      <c r="B12" s="290"/>
      <c r="C12" s="292" t="s">
        <v>56</v>
      </c>
      <c r="D12" s="277"/>
      <c r="E12" s="277"/>
      <c r="F12" s="277"/>
      <c r="H12" s="21">
        <f>'Pav-Terrapl'!H12</f>
        <v>2.5</v>
      </c>
      <c r="I12" s="21">
        <f>'Pav-Terrapl'!I12</f>
        <v>4</v>
      </c>
      <c r="K12" s="17"/>
    </row>
    <row r="13" spans="2:11" ht="14.1" customHeight="1" x14ac:dyDescent="0.25">
      <c r="B13" s="290"/>
      <c r="C13" s="292" t="s">
        <v>64</v>
      </c>
      <c r="D13" s="277"/>
      <c r="E13" s="277"/>
      <c r="F13" s="277"/>
      <c r="H13" s="21">
        <f>'Pav-Terrapl'!H13</f>
        <v>0.42</v>
      </c>
      <c r="I13" s="21">
        <f>'Pav-Terrapl'!I13</f>
        <v>0.42</v>
      </c>
      <c r="K13" s="17"/>
    </row>
    <row r="14" spans="2:11" ht="14.1" customHeight="1" x14ac:dyDescent="0.25">
      <c r="B14" s="290"/>
      <c r="C14" s="292" t="s">
        <v>65</v>
      </c>
      <c r="D14" s="277"/>
      <c r="E14" s="277"/>
      <c r="F14" s="277"/>
      <c r="H14" s="21">
        <f>'Pav-Terrapl'!H14</f>
        <v>0.12</v>
      </c>
      <c r="I14" s="21">
        <f>'Pav-Terrapl'!I14</f>
        <v>0.12</v>
      </c>
      <c r="K14" s="18"/>
    </row>
    <row r="15" spans="2:11" ht="14.1" customHeight="1" x14ac:dyDescent="0.25">
      <c r="B15" s="290"/>
      <c r="C15" s="292" t="s">
        <v>59</v>
      </c>
      <c r="D15" s="277" t="s">
        <v>60</v>
      </c>
      <c r="E15" s="277"/>
      <c r="F15" s="277"/>
      <c r="H15" s="19">
        <f>'Pav-Terrapl'!H15</f>
        <v>0</v>
      </c>
      <c r="I15" s="19">
        <f>'Pav-Terrapl'!I15</f>
        <v>0</v>
      </c>
      <c r="K15" s="22">
        <f>SUM(G15:J15)</f>
        <v>0</v>
      </c>
    </row>
    <row r="16" spans="2:11" ht="14.1" customHeight="1" x14ac:dyDescent="0.25">
      <c r="B16" s="290"/>
      <c r="C16" s="292"/>
      <c r="D16" s="277" t="s">
        <v>61</v>
      </c>
      <c r="E16" s="277"/>
      <c r="F16" s="277"/>
      <c r="H16" s="21">
        <f>'Pav-Terrapl'!H16</f>
        <v>5.37</v>
      </c>
      <c r="I16" s="21">
        <f>'Pav-Terrapl'!I16</f>
        <v>5.37</v>
      </c>
      <c r="K16" s="29"/>
    </row>
    <row r="17" spans="2:11" ht="14.1" customHeight="1" x14ac:dyDescent="0.25">
      <c r="B17" s="290"/>
      <c r="C17" s="292"/>
      <c r="D17" s="277" t="s">
        <v>62</v>
      </c>
      <c r="E17" s="277"/>
      <c r="F17" s="277"/>
      <c r="H17" s="21">
        <f>'Pav-Terrapl'!H17</f>
        <v>-0.01</v>
      </c>
      <c r="I17" s="21">
        <f>'Pav-Terrapl'!I17</f>
        <v>-3.44</v>
      </c>
      <c r="K17" s="15">
        <f>SUM(G17:J17)</f>
        <v>-3.4499999999999997</v>
      </c>
    </row>
    <row r="18" spans="2:11" ht="14.1" customHeight="1" x14ac:dyDescent="0.25">
      <c r="B18" s="290"/>
      <c r="C18" s="292"/>
      <c r="D18" s="277" t="s">
        <v>63</v>
      </c>
      <c r="E18" s="277"/>
      <c r="F18" s="277"/>
      <c r="H18" s="21">
        <f>'Pav-Terrapl'!H18</f>
        <v>-0.01</v>
      </c>
      <c r="I18" s="21">
        <f>'Pav-Terrapl'!I18</f>
        <v>-3.44</v>
      </c>
      <c r="K18" s="15">
        <f>SUM(G18:J18)</f>
        <v>-3.4499999999999997</v>
      </c>
    </row>
    <row r="19" spans="2:11" ht="5.0999999999999996" customHeight="1" x14ac:dyDescent="0.25">
      <c r="B19" s="290"/>
    </row>
    <row r="20" spans="2:11" ht="14.1" customHeight="1" x14ac:dyDescent="0.25">
      <c r="B20" s="290"/>
      <c r="C20" s="292" t="s">
        <v>19</v>
      </c>
      <c r="D20" s="277" t="s">
        <v>68</v>
      </c>
      <c r="E20" s="277"/>
      <c r="F20" s="277"/>
      <c r="H20" s="21">
        <f t="shared" ref="H20:I20" si="0">TRUNC((H12+2*(H13+0.1)),2)</f>
        <v>3.54</v>
      </c>
      <c r="I20" s="21">
        <f t="shared" si="0"/>
        <v>5.04</v>
      </c>
      <c r="K20" s="29"/>
    </row>
    <row r="21" spans="2:11" ht="14.1" customHeight="1" x14ac:dyDescent="0.25">
      <c r="B21" s="290"/>
      <c r="C21" s="292"/>
      <c r="D21" s="277" t="s">
        <v>67</v>
      </c>
      <c r="E21" s="277"/>
      <c r="F21" s="277"/>
      <c r="H21" s="21">
        <f t="shared" ref="H21:I21" si="1">TRUNC(((H10*H20)+H18),2)</f>
        <v>972.71</v>
      </c>
      <c r="I21" s="21">
        <f t="shared" si="1"/>
        <v>38.64</v>
      </c>
      <c r="K21" s="15">
        <f>SUM(G21:J21)</f>
        <v>1011.35</v>
      </c>
    </row>
    <row r="22" spans="2:11" ht="5.0999999999999996" customHeight="1" x14ac:dyDescent="0.25">
      <c r="B22" s="290"/>
    </row>
    <row r="23" spans="2:11" ht="14.1" customHeight="1" x14ac:dyDescent="0.25">
      <c r="B23" s="290"/>
      <c r="C23" s="292" t="s">
        <v>74</v>
      </c>
      <c r="D23" s="277" t="s">
        <v>71</v>
      </c>
      <c r="E23" s="277" t="s">
        <v>68</v>
      </c>
      <c r="F23" s="277"/>
      <c r="H23" s="21">
        <f>TRUNC((H12+2*(H13+0.05)),2)</f>
        <v>3.44</v>
      </c>
      <c r="I23" s="21">
        <f>TRUNC((I12+2*(I13+0.05)),2)</f>
        <v>4.9400000000000004</v>
      </c>
      <c r="K23" s="16"/>
    </row>
    <row r="24" spans="2:11" ht="14.1" customHeight="1" x14ac:dyDescent="0.25">
      <c r="B24" s="290"/>
      <c r="C24" s="292"/>
      <c r="D24" s="277"/>
      <c r="E24" s="277" t="s">
        <v>69</v>
      </c>
      <c r="F24" s="277"/>
      <c r="H24" s="21">
        <v>0.1</v>
      </c>
      <c r="I24" s="21">
        <v>0.1</v>
      </c>
      <c r="K24" s="18"/>
    </row>
    <row r="25" spans="2:11" ht="14.1" customHeight="1" x14ac:dyDescent="0.25">
      <c r="B25" s="290"/>
      <c r="C25" s="292"/>
      <c r="D25" s="277"/>
      <c r="E25" s="277" t="s">
        <v>70</v>
      </c>
      <c r="F25" s="277"/>
      <c r="H25" s="21">
        <f>TRUNC((((H10*H23)+H18)*H24),2)</f>
        <v>94.52</v>
      </c>
      <c r="I25" s="21">
        <f>TRUNC((((I10*I23)+I18)*I24),2)</f>
        <v>3.78</v>
      </c>
      <c r="K25" s="15">
        <f>SUM(G25:J25)</f>
        <v>98.3</v>
      </c>
    </row>
    <row r="26" spans="2:11" ht="27.95" customHeight="1" x14ac:dyDescent="0.25">
      <c r="B26" s="290"/>
      <c r="C26" s="292"/>
      <c r="D26" s="11" t="s">
        <v>72</v>
      </c>
      <c r="E26" s="277" t="s">
        <v>70</v>
      </c>
      <c r="F26" s="277"/>
      <c r="H26" s="21">
        <f>TRUNC((H25*1.3),2)</f>
        <v>122.87</v>
      </c>
      <c r="I26" s="21">
        <f>TRUNC((I25*1.3),2)</f>
        <v>4.91</v>
      </c>
      <c r="K26" s="15">
        <f>SUM(G26:J26)</f>
        <v>127.78</v>
      </c>
    </row>
    <row r="27" spans="2:11" ht="14.1" customHeight="1" x14ac:dyDescent="0.25">
      <c r="B27" s="290"/>
      <c r="C27" s="292"/>
      <c r="D27" s="275" t="s">
        <v>29</v>
      </c>
      <c r="E27" s="11" t="s">
        <v>73</v>
      </c>
      <c r="F27" s="14">
        <f>IF('Resumo DMT''s'!$E$17&gt;30,30,'Resumo DMT''s'!$E$17)</f>
        <v>30</v>
      </c>
      <c r="H27" s="21">
        <f>TRUNC((H26*$F$27),2)</f>
        <v>3686.1</v>
      </c>
      <c r="I27" s="21">
        <f>TRUNC((I26*$F$27),2)</f>
        <v>147.30000000000001</v>
      </c>
      <c r="K27" s="15">
        <f>SUM(G27:J27)</f>
        <v>3833.4</v>
      </c>
    </row>
    <row r="28" spans="2:11" ht="14.1" customHeight="1" x14ac:dyDescent="0.25">
      <c r="B28" s="290"/>
      <c r="C28" s="292"/>
      <c r="D28" s="276"/>
      <c r="E28" s="11" t="s">
        <v>73</v>
      </c>
      <c r="F28" s="14">
        <f>IF('Resumo DMT''s'!$E$17&gt;30,'Resumo DMT''s'!$E$17-30,0)</f>
        <v>26.700000000000003</v>
      </c>
      <c r="H28" s="21">
        <f>TRUNC((H26*$F$28),2)</f>
        <v>3280.62</v>
      </c>
      <c r="I28" s="21">
        <f>TRUNC((I26*$F$28),2)</f>
        <v>131.09</v>
      </c>
      <c r="K28" s="15">
        <f>SUM(G28:J28)</f>
        <v>3411.71</v>
      </c>
    </row>
    <row r="29" spans="2:11" ht="5.0999999999999996" customHeight="1" x14ac:dyDescent="0.25">
      <c r="B29" s="290"/>
    </row>
    <row r="30" spans="2:11" ht="14.1" customHeight="1" x14ac:dyDescent="0.25">
      <c r="B30" s="290"/>
      <c r="C30" s="292" t="s">
        <v>30</v>
      </c>
      <c r="D30" s="277" t="s">
        <v>75</v>
      </c>
      <c r="E30" s="277"/>
      <c r="F30" s="277"/>
      <c r="H30" s="21">
        <f>TRUNC(((H10*H12)+H18),2)</f>
        <v>686.94</v>
      </c>
      <c r="I30" s="21">
        <f>TRUNC(((I10*I12)+I18),2)</f>
        <v>29.96</v>
      </c>
      <c r="K30" s="15">
        <f>SUM(G30:J30)</f>
        <v>716.90000000000009</v>
      </c>
    </row>
    <row r="31" spans="2:11" ht="14.1" hidden="1" customHeight="1" x14ac:dyDescent="0.25">
      <c r="B31" s="290"/>
      <c r="C31" s="292"/>
      <c r="D31" s="296" t="s">
        <v>239</v>
      </c>
      <c r="E31" s="296"/>
      <c r="F31" s="296"/>
      <c r="H31" s="195">
        <f t="shared" ref="H31:I31" si="2">1.2/1000</f>
        <v>1.1999999999999999E-3</v>
      </c>
      <c r="I31" s="195">
        <f t="shared" si="2"/>
        <v>1.1999999999999999E-3</v>
      </c>
      <c r="K31" s="92"/>
    </row>
    <row r="32" spans="2:11" ht="14.1" customHeight="1" x14ac:dyDescent="0.25">
      <c r="B32" s="290"/>
      <c r="C32" s="292"/>
      <c r="D32" s="277" t="s">
        <v>217</v>
      </c>
      <c r="E32" s="277"/>
      <c r="F32" s="277"/>
      <c r="H32" s="21">
        <f t="shared" ref="H32:I32" si="3">TRUNC((H30*H31),2)</f>
        <v>0.82</v>
      </c>
      <c r="I32" s="21">
        <f t="shared" si="3"/>
        <v>0.03</v>
      </c>
      <c r="K32" s="15">
        <f>SUM(G32:J32)</f>
        <v>0.85</v>
      </c>
    </row>
    <row r="33" spans="2:11" ht="14.1" customHeight="1" x14ac:dyDescent="0.25">
      <c r="B33" s="290"/>
      <c r="C33" s="292"/>
      <c r="D33" s="277" t="s">
        <v>216</v>
      </c>
      <c r="E33" s="277"/>
      <c r="F33" s="14">
        <f>IF('Resumo DMT''s'!$E$18&gt;30,30,'Resumo DMT''s'!$E$18)</f>
        <v>30</v>
      </c>
      <c r="H33" s="21">
        <f t="shared" ref="H33:I33" si="4">TRUNC((H32*$F$33),2)</f>
        <v>24.6</v>
      </c>
      <c r="I33" s="21">
        <f t="shared" si="4"/>
        <v>0.9</v>
      </c>
      <c r="K33" s="15">
        <f>SUM(G33:J33)</f>
        <v>25.5</v>
      </c>
    </row>
    <row r="34" spans="2:11" ht="14.1" customHeight="1" x14ac:dyDescent="0.25">
      <c r="B34" s="290"/>
      <c r="C34" s="292"/>
      <c r="D34" s="277" t="s">
        <v>216</v>
      </c>
      <c r="E34" s="277"/>
      <c r="F34" s="14">
        <f>IF('Resumo DMT''s'!$E$18&gt;30,'Resumo DMT''s'!$E$18-30,0)</f>
        <v>149</v>
      </c>
      <c r="H34" s="21">
        <f t="shared" ref="H34:I34" si="5">TRUNC((H32*$F$34),2)</f>
        <v>122.18</v>
      </c>
      <c r="I34" s="21">
        <f t="shared" si="5"/>
        <v>4.47</v>
      </c>
      <c r="K34" s="15">
        <f>SUM(G34:J34)</f>
        <v>126.65</v>
      </c>
    </row>
    <row r="35" spans="2:11" ht="5.0999999999999996" customHeight="1" x14ac:dyDescent="0.25">
      <c r="B35" s="290"/>
    </row>
    <row r="36" spans="2:11" ht="14.1" customHeight="1" x14ac:dyDescent="0.25">
      <c r="B36" s="290"/>
      <c r="C36" s="292" t="s">
        <v>31</v>
      </c>
      <c r="D36" s="277" t="s">
        <v>77</v>
      </c>
      <c r="E36" s="277"/>
      <c r="F36" s="277"/>
      <c r="H36" s="21">
        <v>0.03</v>
      </c>
      <c r="I36" s="21">
        <v>0.03</v>
      </c>
      <c r="K36" s="16"/>
    </row>
    <row r="37" spans="2:11" ht="14.1" hidden="1" customHeight="1" x14ac:dyDescent="0.25">
      <c r="B37" s="290"/>
      <c r="C37" s="292"/>
      <c r="D37" s="296" t="s">
        <v>221</v>
      </c>
      <c r="E37" s="296"/>
      <c r="F37" s="296"/>
      <c r="H37" s="92">
        <v>2.5548000000000002</v>
      </c>
      <c r="I37" s="92">
        <v>2.5548000000000002</v>
      </c>
      <c r="K37" s="92"/>
    </row>
    <row r="38" spans="2:11" ht="14.1" customHeight="1" x14ac:dyDescent="0.25">
      <c r="B38" s="290"/>
      <c r="C38" s="292"/>
      <c r="D38" s="277" t="s">
        <v>218</v>
      </c>
      <c r="E38" s="277"/>
      <c r="F38" s="277"/>
      <c r="H38" s="21">
        <f>TRUNC((H30*H36*H37),2)</f>
        <v>52.64</v>
      </c>
      <c r="I38" s="21">
        <f>TRUNC((I30*I36*I37),2)</f>
        <v>2.29</v>
      </c>
      <c r="K38" s="15">
        <f>SUM(G38:J38)</f>
        <v>54.93</v>
      </c>
    </row>
    <row r="39" spans="2:11" ht="14.1" customHeight="1" x14ac:dyDescent="0.25">
      <c r="B39" s="290"/>
      <c r="C39" s="292"/>
      <c r="D39" s="277" t="s">
        <v>219</v>
      </c>
      <c r="E39" s="277"/>
      <c r="F39" s="277"/>
      <c r="H39" s="21">
        <f t="shared" ref="H39:I39" si="6">H38</f>
        <v>52.64</v>
      </c>
      <c r="I39" s="21">
        <f t="shared" si="6"/>
        <v>2.29</v>
      </c>
      <c r="K39" s="15">
        <f>SUM(G39:J39)</f>
        <v>54.93</v>
      </c>
    </row>
    <row r="40" spans="2:11" ht="13.5" customHeight="1" x14ac:dyDescent="0.25">
      <c r="B40" s="290"/>
      <c r="C40" s="292"/>
      <c r="D40" s="277" t="s">
        <v>220</v>
      </c>
      <c r="E40" s="277"/>
      <c r="F40" s="14">
        <f>IF('Resumo DMT''s'!$E$19&gt;30,30,'Resumo DMT''s'!$E$19)</f>
        <v>30</v>
      </c>
      <c r="H40" s="21">
        <f t="shared" ref="H40:I40" si="7">TRUNC((H38*$F$40),2)</f>
        <v>1579.2</v>
      </c>
      <c r="I40" s="21">
        <f t="shared" si="7"/>
        <v>68.7</v>
      </c>
      <c r="K40" s="15">
        <f>SUM(G40:J40)</f>
        <v>1647.9</v>
      </c>
    </row>
    <row r="41" spans="2:11" ht="13.5" customHeight="1" x14ac:dyDescent="0.25">
      <c r="B41" s="291"/>
      <c r="C41" s="292"/>
      <c r="D41" s="277" t="s">
        <v>220</v>
      </c>
      <c r="E41" s="277"/>
      <c r="F41" s="14">
        <f>IF('Resumo DMT''s'!$E$19&gt;30,'Resumo DMT''s'!$E$19-30,0)</f>
        <v>26.700000000000003</v>
      </c>
      <c r="H41" s="21">
        <f t="shared" ref="H41:I41" si="8">TRUNC((H38*$F$41),2)</f>
        <v>1405.48</v>
      </c>
      <c r="I41" s="21">
        <f t="shared" si="8"/>
        <v>61.14</v>
      </c>
      <c r="K41" s="15">
        <f>SUM(G41:J41)</f>
        <v>1466.6200000000001</v>
      </c>
    </row>
  </sheetData>
  <mergeCells count="35">
    <mergeCell ref="B10:B41"/>
    <mergeCell ref="B8:F8"/>
    <mergeCell ref="C30:C34"/>
    <mergeCell ref="D30:F30"/>
    <mergeCell ref="D31:F31"/>
    <mergeCell ref="D32:F32"/>
    <mergeCell ref="D34:E34"/>
    <mergeCell ref="D33:E33"/>
    <mergeCell ref="E26:F26"/>
    <mergeCell ref="C15:C18"/>
    <mergeCell ref="D15:F15"/>
    <mergeCell ref="D16:F16"/>
    <mergeCell ref="D17:F17"/>
    <mergeCell ref="D18:F18"/>
    <mergeCell ref="D21:F21"/>
    <mergeCell ref="C20:C21"/>
    <mergeCell ref="D20:F20"/>
    <mergeCell ref="E23:F23"/>
    <mergeCell ref="E24:F24"/>
    <mergeCell ref="C23:C28"/>
    <mergeCell ref="D23:D25"/>
    <mergeCell ref="E25:F25"/>
    <mergeCell ref="D27:D28"/>
    <mergeCell ref="C14:F14"/>
    <mergeCell ref="C10:F10"/>
    <mergeCell ref="C11:F11"/>
    <mergeCell ref="C12:F12"/>
    <mergeCell ref="C13:F13"/>
    <mergeCell ref="C36:C41"/>
    <mergeCell ref="D36:F36"/>
    <mergeCell ref="D38:F38"/>
    <mergeCell ref="D41:E41"/>
    <mergeCell ref="D37:F37"/>
    <mergeCell ref="D39:F39"/>
    <mergeCell ref="D40:E40"/>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20"/>
  <dimension ref="B1:I10"/>
  <sheetViews>
    <sheetView showGridLines="0" view="pageBreakPreview" zoomScaleSheetLayoutView="100" workbookViewId="0">
      <selection activeCell="B2" sqref="B2"/>
    </sheetView>
  </sheetViews>
  <sheetFormatPr defaultRowHeight="12.75" x14ac:dyDescent="0.25"/>
  <cols>
    <col min="1" max="1" width="1.7109375" style="4" customWidth="1"/>
    <col min="2" max="2" width="18.7109375" style="4" customWidth="1"/>
    <col min="3" max="3" width="15.7109375" style="4" customWidth="1"/>
    <col min="4" max="4" width="35.7109375" style="4" customWidth="1"/>
    <col min="5" max="5" width="7.7109375" style="4" customWidth="1"/>
    <col min="6" max="6" width="1.7109375" style="4" customWidth="1"/>
    <col min="7" max="7" width="10.7109375" style="4" customWidth="1"/>
    <col min="8" max="8" width="1.7109375" style="4" customWidth="1"/>
    <col min="9" max="9" width="10.7109375" style="4" customWidth="1"/>
    <col min="10" max="16384" width="9.140625" style="4"/>
  </cols>
  <sheetData>
    <row r="1" spans="2:9" ht="5.0999999999999996" customHeight="1" x14ac:dyDescent="0.25"/>
    <row r="2" spans="2:9" ht="14.1" customHeight="1" x14ac:dyDescent="0.25">
      <c r="B2" s="79" t="str">
        <f>DADOS!$B$3</f>
        <v>CLIENTE:</v>
      </c>
      <c r="C2" s="60" t="str">
        <f>DADOS!$C$3</f>
        <v>PREFEITURA MUNICIPAL DE RIO BRILHANTE / MS</v>
      </c>
      <c r="D2" s="28"/>
      <c r="E2" s="28"/>
      <c r="F2" s="28"/>
      <c r="G2" s="28"/>
      <c r="H2" s="28"/>
      <c r="I2" s="30"/>
    </row>
    <row r="3" spans="2:9" ht="14.1" customHeight="1" x14ac:dyDescent="0.25">
      <c r="B3" s="80" t="str">
        <f>DADOS!$B$4</f>
        <v>ENDEREÇO:</v>
      </c>
      <c r="C3" s="61" t="str">
        <f>DADOS!$C$4</f>
        <v>RUA ATHAYDE NOGUEIRA, Nº 1.033 - CENTRO</v>
      </c>
      <c r="I3" s="31"/>
    </row>
    <row r="4" spans="2:9" ht="14.1" customHeight="1" x14ac:dyDescent="0.2">
      <c r="B4" s="62"/>
      <c r="C4" s="61"/>
      <c r="I4" s="31"/>
    </row>
    <row r="5" spans="2:9" ht="14.1" customHeight="1" x14ac:dyDescent="0.25">
      <c r="B5" s="80" t="str">
        <f>DADOS!$B$7</f>
        <v>OBRA:</v>
      </c>
      <c r="C5" s="61" t="str">
        <f>DADOS!$C$7</f>
        <v>PAVIMENTAÇÃO ASFÁLTICA E EM CONCRETO</v>
      </c>
      <c r="I5" s="31"/>
    </row>
    <row r="6" spans="2:9" ht="14.1" customHeight="1" x14ac:dyDescent="0.25">
      <c r="B6" s="63" t="str">
        <f>DADOS!$B$8</f>
        <v>LOCAL:</v>
      </c>
      <c r="C6" s="64" t="str">
        <f>DADOS!$C$8</f>
        <v>PRAÇA INTERATIVA, RIO BRILHANTE / MS</v>
      </c>
      <c r="D6" s="32"/>
      <c r="E6" s="32"/>
      <c r="F6" s="32"/>
      <c r="G6" s="32"/>
      <c r="H6" s="32"/>
      <c r="I6" s="33"/>
    </row>
    <row r="7" spans="2:9" ht="5.0999999999999996" customHeight="1" x14ac:dyDescent="0.25"/>
    <row r="8" spans="2:9" ht="30" customHeight="1" x14ac:dyDescent="0.25">
      <c r="B8" s="294" t="s">
        <v>47</v>
      </c>
      <c r="C8" s="295"/>
      <c r="D8" s="295"/>
      <c r="E8" s="292"/>
      <c r="G8" s="13" t="s">
        <v>319</v>
      </c>
      <c r="I8" s="13" t="s">
        <v>5</v>
      </c>
    </row>
    <row r="9" spans="2:9" ht="5.0999999999999996" customHeight="1" x14ac:dyDescent="0.25"/>
    <row r="10" spans="2:9" ht="42" customHeight="1" x14ac:dyDescent="0.25">
      <c r="B10" s="193" t="s">
        <v>80</v>
      </c>
      <c r="C10" s="294" t="s">
        <v>314</v>
      </c>
      <c r="D10" s="295"/>
      <c r="E10" s="292"/>
      <c r="G10" s="21">
        <f>44.8+208.18+45.34+221.75+102.82+118.87+196.15+94.38+102.82+42.93+456.59+8.85+3.81+8.42</f>
        <v>1655.7099999999998</v>
      </c>
      <c r="I10" s="15">
        <f>SUM(F10:H10)</f>
        <v>1655.7099999999998</v>
      </c>
    </row>
  </sheetData>
  <mergeCells count="2">
    <mergeCell ref="B8:E8"/>
    <mergeCell ref="C10:E10"/>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23"/>
  <dimension ref="B1:K22"/>
  <sheetViews>
    <sheetView showGridLines="0" view="pageBreakPreview" zoomScaleSheetLayoutView="100" workbookViewId="0">
      <pane ySplit="8" topLeftCell="A9" activePane="bottomLeft" state="frozen"/>
      <selection activeCell="B2" sqref="B2"/>
      <selection pane="bottomLeft" sqref="A1:XFD1048576"/>
    </sheetView>
  </sheetViews>
  <sheetFormatPr defaultRowHeight="12.75" x14ac:dyDescent="0.25"/>
  <cols>
    <col min="1" max="1" width="1.7109375" style="4" customWidth="1"/>
    <col min="2" max="2" width="11.7109375" style="4" customWidth="1"/>
    <col min="3" max="3" width="15.7109375" style="4" customWidth="1"/>
    <col min="4" max="4" width="35.7109375" style="4" customWidth="1"/>
    <col min="5" max="5" width="7.7109375" style="4" customWidth="1"/>
    <col min="6" max="6" width="1.7109375" style="4" customWidth="1"/>
    <col min="7" max="9" width="10.7109375" style="4" customWidth="1"/>
    <col min="10" max="10" width="1.7109375" style="4" customWidth="1"/>
    <col min="11" max="11" width="10.7109375" style="4" customWidth="1"/>
    <col min="12" max="16384" width="9.140625" style="4"/>
  </cols>
  <sheetData>
    <row r="1" spans="2:11" ht="5.0999999999999996" customHeight="1" x14ac:dyDescent="0.25"/>
    <row r="2" spans="2:11" ht="14.1" customHeight="1" x14ac:dyDescent="0.25">
      <c r="B2" s="79" t="str">
        <f>DADOS!$B$3</f>
        <v>CLIENTE:</v>
      </c>
      <c r="C2" s="60" t="str">
        <f>DADOS!$C$3</f>
        <v>PREFEITURA MUNICIPAL DE RIO BRILHANTE / MS</v>
      </c>
      <c r="D2" s="28"/>
      <c r="E2" s="28"/>
      <c r="F2" s="28"/>
      <c r="G2" s="28"/>
      <c r="H2" s="28"/>
      <c r="I2" s="28"/>
      <c r="J2" s="28"/>
      <c r="K2" s="30"/>
    </row>
    <row r="3" spans="2:11" ht="14.1" customHeight="1" x14ac:dyDescent="0.25">
      <c r="B3" s="80" t="str">
        <f>DADOS!$B$4</f>
        <v>ENDEREÇO:</v>
      </c>
      <c r="C3" s="61" t="str">
        <f>DADOS!$C$4</f>
        <v>RUA ATHAYDE NOGUEIRA, Nº 1.033 - CENTRO</v>
      </c>
      <c r="K3" s="31"/>
    </row>
    <row r="4" spans="2:11" ht="14.1" customHeight="1" x14ac:dyDescent="0.2">
      <c r="B4" s="62"/>
      <c r="C4" s="61"/>
      <c r="K4" s="31"/>
    </row>
    <row r="5" spans="2:11" ht="14.1" customHeight="1" x14ac:dyDescent="0.25">
      <c r="B5" s="80" t="str">
        <f>DADOS!$B$7</f>
        <v>OBRA:</v>
      </c>
      <c r="C5" s="61" t="str">
        <f>DADOS!$C$7</f>
        <v>PAVIMENTAÇÃO ASFÁLTICA E EM CONCRETO</v>
      </c>
      <c r="K5" s="31"/>
    </row>
    <row r="6" spans="2:11" ht="14.1" customHeight="1" x14ac:dyDescent="0.25">
      <c r="B6" s="63" t="str">
        <f>DADOS!$B$8</f>
        <v>LOCAL:</v>
      </c>
      <c r="C6" s="64" t="str">
        <f>DADOS!$C$8</f>
        <v>PRAÇA INTERATIVA, RIO BRILHANTE / MS</v>
      </c>
      <c r="D6" s="32"/>
      <c r="E6" s="32"/>
      <c r="F6" s="32"/>
      <c r="G6" s="32"/>
      <c r="H6" s="32"/>
      <c r="I6" s="32"/>
      <c r="J6" s="32"/>
      <c r="K6" s="33"/>
    </row>
    <row r="7" spans="2:11" ht="5.0999999999999996" customHeight="1" x14ac:dyDescent="0.25"/>
    <row r="8" spans="2:11" ht="30" customHeight="1" x14ac:dyDescent="0.25">
      <c r="B8" s="294" t="s">
        <v>47</v>
      </c>
      <c r="C8" s="295"/>
      <c r="D8" s="295"/>
      <c r="E8" s="292"/>
      <c r="G8" s="13" t="s">
        <v>288</v>
      </c>
      <c r="H8" s="13" t="s">
        <v>288</v>
      </c>
      <c r="I8" s="13" t="s">
        <v>289</v>
      </c>
      <c r="K8" s="13" t="s">
        <v>5</v>
      </c>
    </row>
    <row r="9" spans="2:11" ht="5.0999999999999996" customHeight="1" x14ac:dyDescent="0.25"/>
    <row r="10" spans="2:11" ht="14.1" customHeight="1" x14ac:dyDescent="0.25">
      <c r="B10" s="289" t="s">
        <v>320</v>
      </c>
      <c r="C10" s="277" t="s">
        <v>81</v>
      </c>
      <c r="D10" s="277"/>
      <c r="E10" s="277"/>
      <c r="G10" s="21">
        <f>G15</f>
        <v>804.81</v>
      </c>
      <c r="H10" s="21">
        <f t="shared" ref="H10:I10" si="0">H15</f>
        <v>304.76</v>
      </c>
      <c r="I10" s="21">
        <f t="shared" si="0"/>
        <v>2642.02</v>
      </c>
      <c r="K10" s="15">
        <f>SUM(F10:J10)</f>
        <v>3751.59</v>
      </c>
    </row>
    <row r="11" spans="2:11" ht="5.0999999999999996" customHeight="1" x14ac:dyDescent="0.25">
      <c r="B11" s="290"/>
    </row>
    <row r="12" spans="2:11" ht="14.1" customHeight="1" x14ac:dyDescent="0.25">
      <c r="B12" s="290"/>
      <c r="C12" s="277" t="s">
        <v>82</v>
      </c>
      <c r="D12" s="277" t="s">
        <v>98</v>
      </c>
      <c r="E12" s="277"/>
      <c r="G12" s="21">
        <v>267.83</v>
      </c>
      <c r="H12" s="21" t="s">
        <v>107</v>
      </c>
      <c r="I12" s="21" t="s">
        <v>107</v>
      </c>
      <c r="K12" s="15">
        <f>SUM(F12:J12)</f>
        <v>267.83</v>
      </c>
    </row>
    <row r="13" spans="2:11" ht="14.1" customHeight="1" x14ac:dyDescent="0.25">
      <c r="B13" s="290"/>
      <c r="C13" s="277"/>
      <c r="D13" s="277" t="s">
        <v>83</v>
      </c>
      <c r="E13" s="277"/>
      <c r="G13" s="21">
        <v>3</v>
      </c>
      <c r="H13" s="21" t="s">
        <v>107</v>
      </c>
      <c r="I13" s="21" t="s">
        <v>107</v>
      </c>
      <c r="K13" s="18"/>
    </row>
    <row r="14" spans="2:11" ht="14.1" customHeight="1" x14ac:dyDescent="0.25">
      <c r="B14" s="290"/>
      <c r="C14" s="277"/>
      <c r="D14" s="277" t="s">
        <v>62</v>
      </c>
      <c r="E14" s="277"/>
      <c r="G14" s="21">
        <v>1.32</v>
      </c>
      <c r="H14" s="21" t="s">
        <v>107</v>
      </c>
      <c r="I14" s="21" t="s">
        <v>107</v>
      </c>
      <c r="K14" s="18"/>
    </row>
    <row r="15" spans="2:11" ht="14.1" customHeight="1" x14ac:dyDescent="0.25">
      <c r="B15" s="290"/>
      <c r="C15" s="277"/>
      <c r="D15" s="277" t="s">
        <v>84</v>
      </c>
      <c r="E15" s="277"/>
      <c r="G15" s="21">
        <f>TRUNC(((G12*G13)+G14),2)</f>
        <v>804.81</v>
      </c>
      <c r="H15" s="21">
        <v>304.76</v>
      </c>
      <c r="I15" s="21">
        <v>2642.02</v>
      </c>
      <c r="K15" s="15">
        <f>SUM(F15:J15)</f>
        <v>3751.59</v>
      </c>
    </row>
    <row r="16" spans="2:11" ht="14.1" customHeight="1" x14ac:dyDescent="0.25">
      <c r="B16" s="290"/>
      <c r="C16" s="277"/>
      <c r="D16" s="277" t="s">
        <v>77</v>
      </c>
      <c r="E16" s="277"/>
      <c r="G16" s="21">
        <v>7.0000000000000007E-2</v>
      </c>
      <c r="H16" s="21">
        <v>7.0000000000000007E-2</v>
      </c>
      <c r="I16" s="21">
        <v>7.0000000000000007E-2</v>
      </c>
      <c r="K16" s="16"/>
    </row>
    <row r="17" spans="2:11" ht="14.1" customHeight="1" x14ac:dyDescent="0.25">
      <c r="B17" s="290"/>
      <c r="C17" s="277"/>
      <c r="D17" s="277" t="s">
        <v>108</v>
      </c>
      <c r="E17" s="277"/>
      <c r="G17" s="21">
        <f>TRUNC((G15*G16),2)</f>
        <v>56.33</v>
      </c>
      <c r="H17" s="21">
        <f t="shared" ref="H17:I17" si="1">TRUNC((H15*H16),2)</f>
        <v>21.33</v>
      </c>
      <c r="I17" s="21">
        <f t="shared" si="1"/>
        <v>184.94</v>
      </c>
      <c r="K17" s="15">
        <f>SUM(F17:J17)</f>
        <v>262.60000000000002</v>
      </c>
    </row>
    <row r="18" spans="2:11" ht="14.1" hidden="1" customHeight="1" x14ac:dyDescent="0.25">
      <c r="B18" s="290"/>
      <c r="C18" s="277"/>
      <c r="D18" s="296" t="s">
        <v>143</v>
      </c>
      <c r="E18" s="296"/>
      <c r="G18" s="194">
        <v>1.2130000000000001</v>
      </c>
      <c r="H18" s="194">
        <v>1.2130000000000001</v>
      </c>
      <c r="I18" s="194">
        <v>1.2130000000000001</v>
      </c>
      <c r="K18" s="16"/>
    </row>
    <row r="19" spans="2:11" ht="14.1" hidden="1" customHeight="1" x14ac:dyDescent="0.25">
      <c r="B19" s="290"/>
      <c r="C19" s="277"/>
      <c r="D19" s="296" t="s">
        <v>142</v>
      </c>
      <c r="E19" s="296"/>
      <c r="G19" s="195">
        <v>0.57920000000000005</v>
      </c>
      <c r="H19" s="195">
        <v>0.57920000000000005</v>
      </c>
      <c r="I19" s="195">
        <v>0.57920000000000005</v>
      </c>
      <c r="K19" s="18"/>
    </row>
    <row r="20" spans="2:11" ht="14.1" customHeight="1" x14ac:dyDescent="0.25">
      <c r="B20" s="290"/>
      <c r="C20" s="277"/>
      <c r="D20" s="277" t="s">
        <v>86</v>
      </c>
      <c r="E20" s="277"/>
      <c r="G20" s="21">
        <f>TRUNC(((G15*G16)*G18*G19),2)</f>
        <v>39.58</v>
      </c>
      <c r="H20" s="21">
        <f t="shared" ref="H20:I20" si="2">TRUNC(((H15*H16)*H18*H19),2)</f>
        <v>14.98</v>
      </c>
      <c r="I20" s="21">
        <f t="shared" si="2"/>
        <v>129.93</v>
      </c>
      <c r="K20" s="15">
        <f>SUM(F20:J20)</f>
        <v>184.49</v>
      </c>
    </row>
    <row r="21" spans="2:11" ht="14.1" customHeight="1" x14ac:dyDescent="0.25">
      <c r="B21" s="290"/>
      <c r="C21" s="277"/>
      <c r="D21" s="11" t="s">
        <v>85</v>
      </c>
      <c r="E21" s="14">
        <f>IF('Resumo DMT''s'!$E$15&gt;30,30,'Resumo DMT''s'!$E$15)</f>
        <v>30</v>
      </c>
      <c r="G21" s="21">
        <f>TRUNC((G20*$E$21),2)</f>
        <v>1187.4000000000001</v>
      </c>
      <c r="H21" s="21">
        <f>TRUNC((H20*$E$21),2)</f>
        <v>449.4</v>
      </c>
      <c r="I21" s="21">
        <f>TRUNC((I20*$E$21),2)</f>
        <v>3897.9</v>
      </c>
      <c r="K21" s="15">
        <f>SUM(F21:J21)</f>
        <v>5534.7000000000007</v>
      </c>
    </row>
    <row r="22" spans="2:11" ht="14.1" customHeight="1" x14ac:dyDescent="0.25">
      <c r="B22" s="290"/>
      <c r="C22" s="277"/>
      <c r="D22" s="11" t="s">
        <v>85</v>
      </c>
      <c r="E22" s="14">
        <f>IF('Resumo DMT''s'!$E$15&gt;30,'Resumo DMT''s'!$E$15-30,0)</f>
        <v>26.700000000000003</v>
      </c>
      <c r="G22" s="21">
        <f>TRUNC((G20*$E$22),2)</f>
        <v>1056.78</v>
      </c>
      <c r="H22" s="21">
        <f>TRUNC((H20*$E$22),2)</f>
        <v>399.96</v>
      </c>
      <c r="I22" s="21">
        <f>TRUNC((I20*$E$22),2)</f>
        <v>3469.13</v>
      </c>
      <c r="K22" s="15">
        <f>SUM(F22:J22)</f>
        <v>4925.87</v>
      </c>
    </row>
  </sheetData>
  <mergeCells count="13">
    <mergeCell ref="D14:E14"/>
    <mergeCell ref="D12:E12"/>
    <mergeCell ref="D18:E18"/>
    <mergeCell ref="D15:E15"/>
    <mergeCell ref="B8:E8"/>
    <mergeCell ref="C10:E10"/>
    <mergeCell ref="C12:C22"/>
    <mergeCell ref="D13:E13"/>
    <mergeCell ref="D20:E20"/>
    <mergeCell ref="B10:B22"/>
    <mergeCell ref="D19:E19"/>
    <mergeCell ref="D16:E16"/>
    <mergeCell ref="D17:E17"/>
  </mergeCells>
  <printOptions horizontalCentered="1"/>
  <pageMargins left="0.59055118110236227" right="0.39370078740157483" top="0.39370078740157483" bottom="0.98425196850393704" header="0.31496062992125984" footer="0.31496062992125984"/>
  <pageSetup paperSize="9" scale="8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FB6F6-BCBC-470E-AF89-85C19EFD86A1}">
  <dimension ref="B1:I12"/>
  <sheetViews>
    <sheetView showGridLines="0" view="pageBreakPreview" zoomScaleNormal="100" zoomScaleSheetLayoutView="100" workbookViewId="0">
      <selection activeCell="B2" sqref="B2:C6"/>
    </sheetView>
  </sheetViews>
  <sheetFormatPr defaultRowHeight="12.75" x14ac:dyDescent="0.25"/>
  <cols>
    <col min="1" max="1" width="1.7109375" style="4" customWidth="1"/>
    <col min="2" max="2" width="11.7109375" style="4" customWidth="1"/>
    <col min="3" max="3" width="15.7109375" style="4" customWidth="1"/>
    <col min="4" max="4" width="24.7109375" style="4" customWidth="1"/>
    <col min="5" max="5" width="20.7109375" style="4" customWidth="1"/>
    <col min="6" max="6" width="1.7109375" style="4" customWidth="1"/>
    <col min="7" max="7" width="14.7109375" style="4" customWidth="1"/>
    <col min="8" max="8" width="1.7109375" style="4" customWidth="1"/>
    <col min="9" max="9" width="10.7109375" style="4" customWidth="1"/>
    <col min="10" max="16384" width="9.140625" style="4"/>
  </cols>
  <sheetData>
    <row r="1" spans="2:9" ht="5.0999999999999996" customHeight="1" x14ac:dyDescent="0.25"/>
    <row r="2" spans="2:9" ht="14.1" customHeight="1" x14ac:dyDescent="0.25">
      <c r="B2" s="79" t="str">
        <f>DADOS!$B$3</f>
        <v>CLIENTE:</v>
      </c>
      <c r="C2" s="60" t="str">
        <f>DADOS!$C$3</f>
        <v>PREFEITURA MUNICIPAL DE RIO BRILHANTE / MS</v>
      </c>
      <c r="D2" s="28"/>
      <c r="E2" s="28"/>
      <c r="F2" s="28"/>
      <c r="G2" s="28"/>
      <c r="H2" s="28"/>
      <c r="I2" s="30"/>
    </row>
    <row r="3" spans="2:9" ht="14.1" customHeight="1" x14ac:dyDescent="0.25">
      <c r="B3" s="80" t="str">
        <f>DADOS!$B$4</f>
        <v>ENDEREÇO:</v>
      </c>
      <c r="C3" s="61" t="str">
        <f>DADOS!$C$4</f>
        <v>RUA ATHAYDE NOGUEIRA, Nº 1.033 - CENTRO</v>
      </c>
      <c r="I3" s="31"/>
    </row>
    <row r="4" spans="2:9" ht="14.1" customHeight="1" x14ac:dyDescent="0.2">
      <c r="B4" s="62"/>
      <c r="C4" s="61"/>
      <c r="I4" s="31"/>
    </row>
    <row r="5" spans="2:9" ht="14.1" customHeight="1" x14ac:dyDescent="0.25">
      <c r="B5" s="80" t="str">
        <f>DADOS!$B$7</f>
        <v>OBRA:</v>
      </c>
      <c r="C5" s="61" t="str">
        <f>DADOS!$C$7</f>
        <v>PAVIMENTAÇÃO ASFÁLTICA E EM CONCRETO</v>
      </c>
      <c r="I5" s="31"/>
    </row>
    <row r="6" spans="2:9" ht="14.1" customHeight="1" x14ac:dyDescent="0.25">
      <c r="B6" s="63" t="str">
        <f>DADOS!$B$8</f>
        <v>LOCAL:</v>
      </c>
      <c r="C6" s="64" t="str">
        <f>DADOS!$C$8</f>
        <v>PRAÇA INTERATIVA, RIO BRILHANTE / MS</v>
      </c>
      <c r="D6" s="32"/>
      <c r="E6" s="32"/>
      <c r="F6" s="32"/>
      <c r="G6" s="32"/>
      <c r="H6" s="32"/>
      <c r="I6" s="33"/>
    </row>
    <row r="7" spans="2:9" ht="5.0999999999999996" customHeight="1" x14ac:dyDescent="0.25"/>
    <row r="8" spans="2:9" ht="30" customHeight="1" x14ac:dyDescent="0.25">
      <c r="B8" s="294" t="s">
        <v>47</v>
      </c>
      <c r="C8" s="295"/>
      <c r="D8" s="295"/>
      <c r="E8" s="292"/>
      <c r="G8" s="13" t="s">
        <v>290</v>
      </c>
      <c r="I8" s="13" t="s">
        <v>5</v>
      </c>
    </row>
    <row r="9" spans="2:9" ht="5.0999999999999996" customHeight="1" x14ac:dyDescent="0.25"/>
    <row r="10" spans="2:9" ht="15.95" customHeight="1" x14ac:dyDescent="0.25">
      <c r="B10" s="297" t="s">
        <v>325</v>
      </c>
      <c r="C10" s="275" t="s">
        <v>326</v>
      </c>
      <c r="D10" s="275" t="s">
        <v>327</v>
      </c>
      <c r="E10" s="11" t="s">
        <v>35</v>
      </c>
      <c r="G10" s="21">
        <v>274.77999999999997</v>
      </c>
      <c r="I10" s="15">
        <f>SUM(F10:H10)</f>
        <v>274.77999999999997</v>
      </c>
    </row>
    <row r="11" spans="2:9" ht="15.95" customHeight="1" x14ac:dyDescent="0.25">
      <c r="B11" s="298"/>
      <c r="C11" s="293"/>
      <c r="D11" s="293"/>
      <c r="E11" s="11" t="s">
        <v>328</v>
      </c>
      <c r="G11" s="21">
        <v>2.5</v>
      </c>
      <c r="I11" s="29"/>
    </row>
    <row r="12" spans="2:9" ht="15.95" customHeight="1" x14ac:dyDescent="0.25">
      <c r="B12" s="299"/>
      <c r="C12" s="276"/>
      <c r="D12" s="276"/>
      <c r="E12" s="11" t="s">
        <v>329</v>
      </c>
      <c r="G12" s="21">
        <f>TRUNC(G10*G11,2)</f>
        <v>686.95</v>
      </c>
      <c r="I12" s="15">
        <f>SUM(F12:H12)</f>
        <v>686.95</v>
      </c>
    </row>
  </sheetData>
  <mergeCells count="4">
    <mergeCell ref="B10:B12"/>
    <mergeCell ref="C10:C12"/>
    <mergeCell ref="D10:D12"/>
    <mergeCell ref="B8:E8"/>
  </mergeCells>
  <printOptions horizontalCentered="1"/>
  <pageMargins left="0.59055118110236227" right="0.39370078740157483" top="0.39370078740157483" bottom="0.98425196850393704" header="0.31496062992125984" footer="0.31496062992125984"/>
  <pageSetup paperSize="9" scale="8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273AE-A751-42BD-A12A-66856A7DF908}">
  <dimension ref="B1:R45"/>
  <sheetViews>
    <sheetView showGridLines="0" view="pageBreakPreview" topLeftCell="A7" zoomScaleNormal="100" zoomScaleSheetLayoutView="100" workbookViewId="0">
      <selection activeCell="N29" sqref="N29"/>
    </sheetView>
  </sheetViews>
  <sheetFormatPr defaultRowHeight="15" x14ac:dyDescent="0.25"/>
  <cols>
    <col min="1" max="1" width="1.7109375" customWidth="1"/>
    <col min="2" max="2" width="11.7109375" customWidth="1"/>
    <col min="3" max="3" width="55.7109375" customWidth="1"/>
    <col min="4" max="6" width="8.7109375" customWidth="1"/>
    <col min="7" max="9" width="9.7109375" customWidth="1"/>
  </cols>
  <sheetData>
    <row r="1" spans="2:18" ht="5.0999999999999996" customHeight="1" x14ac:dyDescent="0.25"/>
    <row r="2" spans="2:18" s="177" customFormat="1" ht="12.75" x14ac:dyDescent="0.2">
      <c r="B2" s="79" t="str">
        <f>DADOS!$B$3</f>
        <v>CLIENTE:</v>
      </c>
      <c r="C2" s="60" t="str">
        <f>DADOS!$C$3</f>
        <v>PREFEITURA MUNICIPAL DE RIO BRILHANTE / MS</v>
      </c>
      <c r="D2" s="196"/>
      <c r="E2" s="196"/>
      <c r="F2" s="196"/>
      <c r="G2" s="312" t="s">
        <v>144</v>
      </c>
      <c r="H2" s="219"/>
      <c r="I2" s="220"/>
    </row>
    <row r="3" spans="2:18" s="177" customFormat="1" ht="12.75" customHeight="1" x14ac:dyDescent="0.2">
      <c r="B3" s="80" t="str">
        <f>DADOS!$B$4</f>
        <v>ENDEREÇO:</v>
      </c>
      <c r="C3" s="61" t="str">
        <f>DADOS!$C$4</f>
        <v>RUA ATHAYDE NOGUEIRA, Nº 1.033 - CENTRO</v>
      </c>
      <c r="G3" s="303" t="str">
        <f>DADOS!$C$12</f>
        <v>COMPOSIÇÃO MS: 07/2025
INSUMO MS: 07/2025
AGESUL MS: 07/2025</v>
      </c>
      <c r="H3" s="222"/>
      <c r="I3" s="223"/>
    </row>
    <row r="4" spans="2:18" s="177" customFormat="1" ht="14.1" customHeight="1" x14ac:dyDescent="0.25">
      <c r="B4" s="62"/>
      <c r="C4" s="61"/>
      <c r="G4" s="303"/>
      <c r="H4" s="222"/>
      <c r="I4" s="223"/>
      <c r="M4"/>
      <c r="N4"/>
      <c r="O4"/>
    </row>
    <row r="5" spans="2:18" s="177" customFormat="1" ht="14.1" customHeight="1" x14ac:dyDescent="0.25">
      <c r="B5" s="80" t="str">
        <f>DADOS!$B$7</f>
        <v>OBRA:</v>
      </c>
      <c r="C5" s="61" t="str">
        <f>DADOS!$C$7</f>
        <v>PAVIMENTAÇÃO ASFÁLTICA E EM CONCRETO</v>
      </c>
      <c r="G5" s="303"/>
      <c r="H5" s="222"/>
      <c r="I5" s="223"/>
      <c r="M5"/>
      <c r="N5"/>
      <c r="O5"/>
    </row>
    <row r="6" spans="2:18" s="177" customFormat="1" ht="14.1" customHeight="1" x14ac:dyDescent="0.25">
      <c r="B6" s="63" t="str">
        <f>DADOS!$B$8</f>
        <v>LOCAL:</v>
      </c>
      <c r="C6" s="64" t="str">
        <f>DADOS!$C$8</f>
        <v>PRAÇA INTERATIVA, RIO BRILHANTE / MS</v>
      </c>
      <c r="D6" s="197"/>
      <c r="E6" s="197"/>
      <c r="F6" s="197"/>
      <c r="G6" s="206"/>
      <c r="H6" s="207"/>
      <c r="I6" s="198"/>
      <c r="M6"/>
      <c r="N6"/>
      <c r="O6"/>
    </row>
    <row r="7" spans="2:18" ht="5.0999999999999996" customHeight="1" x14ac:dyDescent="0.25"/>
    <row r="8" spans="2:18" ht="15" customHeight="1" x14ac:dyDescent="0.25">
      <c r="B8" s="225" t="s">
        <v>334</v>
      </c>
      <c r="C8" s="225"/>
      <c r="D8" s="225"/>
      <c r="E8" s="225"/>
      <c r="F8" s="225"/>
      <c r="G8" s="225"/>
      <c r="H8" s="225"/>
      <c r="I8" s="225"/>
      <c r="Q8" s="219"/>
      <c r="R8" s="220"/>
    </row>
    <row r="9" spans="2:18" ht="5.0999999999999996" customHeight="1" x14ac:dyDescent="0.25">
      <c r="Q9" s="222"/>
      <c r="R9" s="223"/>
    </row>
    <row r="10" spans="2:18" ht="20.100000000000001" customHeight="1" x14ac:dyDescent="0.25">
      <c r="B10" s="10" t="s">
        <v>27</v>
      </c>
      <c r="C10" s="268" t="s">
        <v>1</v>
      </c>
      <c r="D10" s="268"/>
      <c r="E10" s="268"/>
      <c r="F10" s="268"/>
      <c r="G10" s="10" t="s">
        <v>335</v>
      </c>
      <c r="H10" s="268" t="s">
        <v>336</v>
      </c>
      <c r="I10" s="268"/>
      <c r="Q10" s="222"/>
      <c r="R10" s="223"/>
    </row>
    <row r="11" spans="2:18" s="201" customFormat="1" ht="12.75" x14ac:dyDescent="0.25">
      <c r="B11" s="199" t="s">
        <v>337</v>
      </c>
      <c r="C11" s="308" t="s">
        <v>333</v>
      </c>
      <c r="D11" s="309"/>
      <c r="E11" s="309"/>
      <c r="F11" s="310"/>
      <c r="G11" s="200" t="s">
        <v>13</v>
      </c>
      <c r="H11" s="311">
        <v>30.18</v>
      </c>
      <c r="I11" s="311"/>
      <c r="Q11" s="222"/>
      <c r="R11" s="223"/>
    </row>
    <row r="12" spans="2:18" s="201" customFormat="1" ht="12.75" x14ac:dyDescent="0.25">
      <c r="B12" s="8"/>
      <c r="C12" s="8"/>
      <c r="D12" s="8"/>
      <c r="E12" s="8"/>
      <c r="F12" s="8"/>
      <c r="G12" s="8"/>
      <c r="H12" s="8"/>
      <c r="I12" s="8"/>
    </row>
    <row r="13" spans="2:18" ht="14.1" customHeight="1" x14ac:dyDescent="0.25">
      <c r="B13" s="277" t="s">
        <v>8</v>
      </c>
      <c r="C13" s="268" t="s">
        <v>338</v>
      </c>
      <c r="D13" s="268" t="s">
        <v>339</v>
      </c>
      <c r="E13" s="268"/>
      <c r="F13" s="277" t="s">
        <v>4</v>
      </c>
      <c r="G13" s="268" t="s">
        <v>340</v>
      </c>
      <c r="H13" s="268"/>
      <c r="I13" s="277" t="s">
        <v>341</v>
      </c>
    </row>
    <row r="14" spans="2:18" ht="14.1" customHeight="1" x14ac:dyDescent="0.25">
      <c r="B14" s="277"/>
      <c r="C14" s="268"/>
      <c r="D14" s="10" t="s">
        <v>342</v>
      </c>
      <c r="E14" s="10" t="s">
        <v>343</v>
      </c>
      <c r="F14" s="277"/>
      <c r="G14" s="10" t="s">
        <v>342</v>
      </c>
      <c r="H14" s="10" t="s">
        <v>343</v>
      </c>
      <c r="I14" s="277"/>
    </row>
    <row r="15" spans="2:18" s="201" customFormat="1" ht="33.75" x14ac:dyDescent="0.25">
      <c r="B15" s="202" t="s">
        <v>344</v>
      </c>
      <c r="C15" s="82" t="s">
        <v>345</v>
      </c>
      <c r="D15" s="73">
        <v>243.79</v>
      </c>
      <c r="E15" s="73">
        <v>55.7</v>
      </c>
      <c r="F15" s="73">
        <v>1</v>
      </c>
      <c r="G15" s="73">
        <v>0.5</v>
      </c>
      <c r="H15" s="73">
        <v>0.5</v>
      </c>
      <c r="I15" s="73">
        <f>TRUNC((D15*F15*G15),2)+TRUNC((E15*F15*H15),2)</f>
        <v>149.74</v>
      </c>
      <c r="K15" s="201">
        <f>ROUND(G15/$H$11,4)</f>
        <v>1.66E-2</v>
      </c>
      <c r="L15" s="201">
        <f>ROUND(H15/$H$11,4)</f>
        <v>1.66E-2</v>
      </c>
    </row>
    <row r="16" spans="2:18" s="201" customFormat="1" ht="22.5" x14ac:dyDescent="0.25">
      <c r="B16" s="47">
        <v>95133</v>
      </c>
      <c r="C16" s="49" t="s">
        <v>346</v>
      </c>
      <c r="D16" s="48">
        <v>207.7</v>
      </c>
      <c r="E16" s="48">
        <v>0</v>
      </c>
      <c r="F16" s="48">
        <v>1</v>
      </c>
      <c r="G16" s="48">
        <v>1</v>
      </c>
      <c r="H16" s="48">
        <v>0</v>
      </c>
      <c r="I16" s="48">
        <f>TRUNC((D16*F16*G16),2)+TRUNC((E16*F16*H16),2)</f>
        <v>207.7</v>
      </c>
      <c r="K16" s="201">
        <f>ROUND(G16/$H$11,4)</f>
        <v>3.3099999999999997E-2</v>
      </c>
    </row>
    <row r="17" spans="2:11" s="201" customFormat="1" ht="12.75" x14ac:dyDescent="0.25">
      <c r="B17" s="203"/>
      <c r="C17" s="204"/>
      <c r="D17" s="55"/>
      <c r="E17" s="55"/>
      <c r="F17" s="55"/>
      <c r="G17" s="55"/>
      <c r="H17" s="55"/>
      <c r="I17" s="55"/>
    </row>
    <row r="18" spans="2:11" s="201" customFormat="1" ht="12.75" x14ac:dyDescent="0.25">
      <c r="B18" s="300" t="s">
        <v>347</v>
      </c>
      <c r="C18" s="301"/>
      <c r="D18" s="301"/>
      <c r="E18" s="301"/>
      <c r="F18" s="301"/>
      <c r="G18" s="301"/>
      <c r="H18" s="302"/>
      <c r="I18" s="15">
        <f>SUM(I15:I17)</f>
        <v>357.44</v>
      </c>
    </row>
    <row r="19" spans="2:11" s="201" customFormat="1" ht="12.75" x14ac:dyDescent="0.25">
      <c r="B19" s="8"/>
      <c r="C19" s="8"/>
      <c r="D19" s="8"/>
      <c r="E19" s="8"/>
      <c r="F19" s="8"/>
      <c r="G19" s="8"/>
      <c r="H19" s="8"/>
      <c r="I19" s="8"/>
    </row>
    <row r="20" spans="2:11" ht="14.1" customHeight="1" x14ac:dyDescent="0.25">
      <c r="B20" s="277" t="s">
        <v>8</v>
      </c>
      <c r="C20" s="268" t="s">
        <v>348</v>
      </c>
      <c r="D20" s="277" t="s">
        <v>335</v>
      </c>
      <c r="E20" s="304" t="s">
        <v>349</v>
      </c>
      <c r="F20" s="305"/>
      <c r="G20" s="304" t="s">
        <v>350</v>
      </c>
      <c r="H20" s="305"/>
      <c r="I20" s="277" t="s">
        <v>341</v>
      </c>
    </row>
    <row r="21" spans="2:11" ht="14.1" customHeight="1" x14ac:dyDescent="0.25">
      <c r="B21" s="277"/>
      <c r="C21" s="268"/>
      <c r="D21" s="277"/>
      <c r="E21" s="306"/>
      <c r="F21" s="307"/>
      <c r="G21" s="306"/>
      <c r="H21" s="307"/>
      <c r="I21" s="277"/>
    </row>
    <row r="22" spans="2:11" s="8" customFormat="1" ht="11.25" x14ac:dyDescent="0.25">
      <c r="B22" s="202">
        <v>88310</v>
      </c>
      <c r="C22" s="82" t="s">
        <v>351</v>
      </c>
      <c r="D22" s="72" t="s">
        <v>28</v>
      </c>
      <c r="E22" s="285">
        <v>27.44</v>
      </c>
      <c r="F22" s="285"/>
      <c r="G22" s="285">
        <v>1</v>
      </c>
      <c r="H22" s="285"/>
      <c r="I22" s="73">
        <f>TRUNC((E22*G22),2)</f>
        <v>27.44</v>
      </c>
      <c r="K22" s="8">
        <f>ROUND(G22/$H$11,4)</f>
        <v>3.3099999999999997E-2</v>
      </c>
    </row>
    <row r="23" spans="2:11" s="8" customFormat="1" ht="11.25" x14ac:dyDescent="0.25">
      <c r="B23" s="47">
        <v>88316</v>
      </c>
      <c r="C23" s="49" t="s">
        <v>352</v>
      </c>
      <c r="D23" s="50" t="s">
        <v>28</v>
      </c>
      <c r="E23" s="286">
        <v>20.79</v>
      </c>
      <c r="F23" s="286"/>
      <c r="G23" s="286">
        <v>4</v>
      </c>
      <c r="H23" s="286"/>
      <c r="I23" s="48">
        <f>TRUNC((E23*G23),2)</f>
        <v>83.16</v>
      </c>
      <c r="K23" s="8">
        <f>ROUND(G23/$H$11,4)</f>
        <v>0.13250000000000001</v>
      </c>
    </row>
    <row r="24" spans="2:11" s="201" customFormat="1" ht="12.75" x14ac:dyDescent="0.25">
      <c r="B24" s="203"/>
      <c r="C24" s="204"/>
      <c r="D24" s="76"/>
      <c r="E24" s="287"/>
      <c r="F24" s="287"/>
      <c r="G24" s="287"/>
      <c r="H24" s="287"/>
      <c r="I24" s="55"/>
    </row>
    <row r="25" spans="2:11" s="201" customFormat="1" ht="12.75" x14ac:dyDescent="0.25">
      <c r="B25" s="300" t="s">
        <v>353</v>
      </c>
      <c r="C25" s="301"/>
      <c r="D25" s="301"/>
      <c r="E25" s="301"/>
      <c r="F25" s="301"/>
      <c r="G25" s="301"/>
      <c r="H25" s="302"/>
      <c r="I25" s="15">
        <f>SUM(I22:I24)</f>
        <v>110.6</v>
      </c>
    </row>
    <row r="26" spans="2:11" s="201" customFormat="1" ht="12.75" x14ac:dyDescent="0.25">
      <c r="B26" s="9"/>
      <c r="C26" s="8"/>
      <c r="D26" s="8"/>
      <c r="E26" s="8"/>
      <c r="F26" s="8"/>
      <c r="G26" s="8"/>
      <c r="H26" s="8"/>
      <c r="I26" s="8"/>
    </row>
    <row r="27" spans="2:11" s="201" customFormat="1" ht="12.75" x14ac:dyDescent="0.25">
      <c r="B27" s="300" t="s">
        <v>354</v>
      </c>
      <c r="C27" s="301"/>
      <c r="D27" s="301"/>
      <c r="E27" s="301"/>
      <c r="F27" s="301"/>
      <c r="G27" s="301"/>
      <c r="H27" s="302"/>
      <c r="I27" s="15">
        <f>I18+I25</f>
        <v>468.03999999999996</v>
      </c>
    </row>
    <row r="28" spans="2:11" ht="5.0999999999999996" customHeight="1" x14ac:dyDescent="0.25">
      <c r="B28" s="205"/>
      <c r="C28" s="205"/>
      <c r="D28" s="205"/>
      <c r="E28" s="205"/>
      <c r="F28" s="205"/>
      <c r="G28" s="205"/>
      <c r="H28" s="205"/>
      <c r="I28" s="205"/>
    </row>
    <row r="29" spans="2:11" s="201" customFormat="1" ht="12.75" x14ac:dyDescent="0.25">
      <c r="B29" s="300" t="s">
        <v>355</v>
      </c>
      <c r="C29" s="301"/>
      <c r="D29" s="301"/>
      <c r="E29" s="301"/>
      <c r="F29" s="301"/>
      <c r="G29" s="301"/>
      <c r="H29" s="302"/>
      <c r="I29" s="15">
        <f>ROUND((I27/H11),2)</f>
        <v>15.51</v>
      </c>
    </row>
    <row r="30" spans="2:11" ht="5.0999999999999996" customHeight="1" x14ac:dyDescent="0.25">
      <c r="B30" s="205"/>
      <c r="C30" s="205"/>
      <c r="D30" s="205"/>
      <c r="E30" s="205"/>
      <c r="F30" s="205"/>
      <c r="G30" s="205"/>
      <c r="H30" s="205"/>
      <c r="I30" s="205"/>
    </row>
    <row r="31" spans="2:11" ht="14.1" customHeight="1" x14ac:dyDescent="0.25">
      <c r="B31" s="277" t="s">
        <v>8</v>
      </c>
      <c r="C31" s="268" t="s">
        <v>356</v>
      </c>
      <c r="D31" s="277" t="s">
        <v>335</v>
      </c>
      <c r="E31" s="304" t="s">
        <v>357</v>
      </c>
      <c r="F31" s="305"/>
      <c r="G31" s="304" t="s">
        <v>350</v>
      </c>
      <c r="H31" s="305"/>
      <c r="I31" s="277" t="s">
        <v>358</v>
      </c>
    </row>
    <row r="32" spans="2:11" ht="14.1" customHeight="1" x14ac:dyDescent="0.25">
      <c r="B32" s="277"/>
      <c r="C32" s="268"/>
      <c r="D32" s="277"/>
      <c r="E32" s="306"/>
      <c r="F32" s="307"/>
      <c r="G32" s="306"/>
      <c r="H32" s="307"/>
      <c r="I32" s="277"/>
    </row>
    <row r="33" spans="2:9" s="201" customFormat="1" ht="22.5" x14ac:dyDescent="0.25">
      <c r="B33" s="202" t="s">
        <v>359</v>
      </c>
      <c r="C33" s="82" t="s">
        <v>360</v>
      </c>
      <c r="D33" s="72" t="s">
        <v>361</v>
      </c>
      <c r="E33" s="285">
        <v>13.36</v>
      </c>
      <c r="F33" s="285"/>
      <c r="G33" s="285">
        <v>0.06</v>
      </c>
      <c r="H33" s="285"/>
      <c r="I33" s="73">
        <f>TRUNC((E33*G33),2)</f>
        <v>0.8</v>
      </c>
    </row>
    <row r="34" spans="2:9" s="201" customFormat="1" ht="22.5" x14ac:dyDescent="0.25">
      <c r="B34" s="47" t="s">
        <v>362</v>
      </c>
      <c r="C34" s="49" t="s">
        <v>363</v>
      </c>
      <c r="D34" s="50" t="s">
        <v>361</v>
      </c>
      <c r="E34" s="286">
        <v>13.36</v>
      </c>
      <c r="F34" s="286"/>
      <c r="G34" s="286">
        <v>0.35</v>
      </c>
      <c r="H34" s="286"/>
      <c r="I34" s="48">
        <f>TRUNC((E34*G34),2)</f>
        <v>4.67</v>
      </c>
    </row>
    <row r="35" spans="2:9" s="201" customFormat="1" ht="22.5" x14ac:dyDescent="0.25">
      <c r="B35" s="47" t="s">
        <v>364</v>
      </c>
      <c r="C35" s="49" t="s">
        <v>365</v>
      </c>
      <c r="D35" s="50" t="s">
        <v>366</v>
      </c>
      <c r="E35" s="286">
        <v>19.64</v>
      </c>
      <c r="F35" s="286"/>
      <c r="G35" s="286">
        <v>0.3</v>
      </c>
      <c r="H35" s="286"/>
      <c r="I35" s="48">
        <f t="shared" ref="I35" si="0">TRUNC((E35*G35),2)</f>
        <v>5.89</v>
      </c>
    </row>
    <row r="36" spans="2:9" s="201" customFormat="1" ht="12.75" x14ac:dyDescent="0.25">
      <c r="B36" s="203"/>
      <c r="C36" s="204"/>
      <c r="D36" s="76"/>
      <c r="E36" s="287"/>
      <c r="F36" s="287"/>
      <c r="G36" s="287"/>
      <c r="H36" s="287"/>
      <c r="I36" s="55"/>
    </row>
    <row r="37" spans="2:9" s="201" customFormat="1" ht="12.75" x14ac:dyDescent="0.25">
      <c r="B37" s="300" t="s">
        <v>367</v>
      </c>
      <c r="C37" s="301"/>
      <c r="D37" s="301"/>
      <c r="E37" s="301"/>
      <c r="F37" s="301"/>
      <c r="G37" s="301"/>
      <c r="H37" s="302"/>
      <c r="I37" s="15">
        <f>SUM(I33:I36)</f>
        <v>11.36</v>
      </c>
    </row>
    <row r="38" spans="2:9" ht="5.0999999999999996" customHeight="1" x14ac:dyDescent="0.25">
      <c r="B38" s="205"/>
      <c r="C38" s="205"/>
      <c r="D38" s="205"/>
      <c r="E38" s="205"/>
      <c r="F38" s="205"/>
      <c r="G38" s="205"/>
      <c r="H38" s="205"/>
      <c r="I38" s="205"/>
    </row>
    <row r="39" spans="2:9" ht="14.1" customHeight="1" x14ac:dyDescent="0.25">
      <c r="B39" s="277" t="s">
        <v>8</v>
      </c>
      <c r="C39" s="268" t="s">
        <v>29</v>
      </c>
      <c r="D39" s="277" t="s">
        <v>2</v>
      </c>
      <c r="E39" s="304" t="s">
        <v>357</v>
      </c>
      <c r="F39" s="305"/>
      <c r="G39" s="304" t="s">
        <v>350</v>
      </c>
      <c r="H39" s="305"/>
      <c r="I39" s="277" t="s">
        <v>358</v>
      </c>
    </row>
    <row r="40" spans="2:9" ht="14.1" customHeight="1" x14ac:dyDescent="0.25">
      <c r="B40" s="277"/>
      <c r="C40" s="268"/>
      <c r="D40" s="277"/>
      <c r="E40" s="306"/>
      <c r="F40" s="307"/>
      <c r="G40" s="306"/>
      <c r="H40" s="307"/>
      <c r="I40" s="277"/>
    </row>
    <row r="41" spans="2:9" s="201" customFormat="1" ht="12.75" x14ac:dyDescent="0.25">
      <c r="B41" s="202"/>
      <c r="C41" s="82"/>
      <c r="D41" s="72"/>
      <c r="E41" s="285"/>
      <c r="F41" s="285"/>
      <c r="G41" s="285"/>
      <c r="H41" s="285"/>
      <c r="I41" s="73"/>
    </row>
    <row r="42" spans="2:9" s="201" customFormat="1" ht="12.75" x14ac:dyDescent="0.25">
      <c r="B42" s="203"/>
      <c r="C42" s="204"/>
      <c r="D42" s="76"/>
      <c r="E42" s="287"/>
      <c r="F42" s="287"/>
      <c r="G42" s="287"/>
      <c r="H42" s="287"/>
      <c r="I42" s="55"/>
    </row>
    <row r="43" spans="2:9" s="201" customFormat="1" ht="12.75" x14ac:dyDescent="0.25">
      <c r="B43" s="300" t="s">
        <v>368</v>
      </c>
      <c r="C43" s="301"/>
      <c r="D43" s="301"/>
      <c r="E43" s="301"/>
      <c r="F43" s="301"/>
      <c r="G43" s="301"/>
      <c r="H43" s="302"/>
      <c r="I43" s="15">
        <f>SUM(I41:I42)</f>
        <v>0</v>
      </c>
    </row>
    <row r="44" spans="2:9" ht="5.0999999999999996" customHeight="1" x14ac:dyDescent="0.25">
      <c r="B44" s="205"/>
      <c r="C44" s="205"/>
      <c r="D44" s="205"/>
      <c r="E44" s="205"/>
      <c r="F44" s="205"/>
      <c r="G44" s="205"/>
      <c r="H44" s="205"/>
      <c r="I44" s="205"/>
    </row>
    <row r="45" spans="2:9" s="201" customFormat="1" ht="12.75" x14ac:dyDescent="0.25">
      <c r="B45" s="300" t="s">
        <v>369</v>
      </c>
      <c r="C45" s="301"/>
      <c r="D45" s="301"/>
      <c r="E45" s="301"/>
      <c r="F45" s="301"/>
      <c r="G45" s="301"/>
      <c r="H45" s="302"/>
      <c r="I45" s="15">
        <f>I29+I37+I43-0.03</f>
        <v>26.839999999999996</v>
      </c>
    </row>
  </sheetData>
  <mergeCells count="58">
    <mergeCell ref="G2:I2"/>
    <mergeCell ref="B8:I8"/>
    <mergeCell ref="C10:F10"/>
    <mergeCell ref="H10:I10"/>
    <mergeCell ref="C11:F11"/>
    <mergeCell ref="H11:I11"/>
    <mergeCell ref="B13:B14"/>
    <mergeCell ref="C13:C14"/>
    <mergeCell ref="D13:E13"/>
    <mergeCell ref="F13:F14"/>
    <mergeCell ref="G13:H13"/>
    <mergeCell ref="I13:I14"/>
    <mergeCell ref="E24:F24"/>
    <mergeCell ref="G24:H24"/>
    <mergeCell ref="B18:H18"/>
    <mergeCell ref="B20:B21"/>
    <mergeCell ref="C20:C21"/>
    <mergeCell ref="D20:D21"/>
    <mergeCell ref="E20:F21"/>
    <mergeCell ref="G20:H21"/>
    <mergeCell ref="I20:I21"/>
    <mergeCell ref="E22:F22"/>
    <mergeCell ref="G22:H22"/>
    <mergeCell ref="E23:F23"/>
    <mergeCell ref="G23:H23"/>
    <mergeCell ref="B25:H25"/>
    <mergeCell ref="B27:H27"/>
    <mergeCell ref="B29:H29"/>
    <mergeCell ref="B31:B32"/>
    <mergeCell ref="C31:C32"/>
    <mergeCell ref="D31:D32"/>
    <mergeCell ref="E31:F32"/>
    <mergeCell ref="G31:H32"/>
    <mergeCell ref="E39:F40"/>
    <mergeCell ref="G39:H40"/>
    <mergeCell ref="I31:I32"/>
    <mergeCell ref="E33:F33"/>
    <mergeCell ref="G33:H33"/>
    <mergeCell ref="E34:F34"/>
    <mergeCell ref="G34:H34"/>
    <mergeCell ref="E35:F35"/>
    <mergeCell ref="G35:H35"/>
    <mergeCell ref="B45:H45"/>
    <mergeCell ref="Q8:R8"/>
    <mergeCell ref="Q9:R11"/>
    <mergeCell ref="G3:I5"/>
    <mergeCell ref="I39:I40"/>
    <mergeCell ref="E41:F41"/>
    <mergeCell ref="G41:H41"/>
    <mergeCell ref="E42:F42"/>
    <mergeCell ref="G42:H42"/>
    <mergeCell ref="B43:H43"/>
    <mergeCell ref="E36:F36"/>
    <mergeCell ref="G36:H36"/>
    <mergeCell ref="B37:H37"/>
    <mergeCell ref="B39:B40"/>
    <mergeCell ref="C39:C40"/>
    <mergeCell ref="D39:D40"/>
  </mergeCells>
  <pageMargins left="0.511811024" right="0.511811024" top="0.78740157499999996" bottom="0.78740157499999996" header="0.31496062000000002" footer="0.31496062000000002"/>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22</vt:i4>
      </vt:variant>
    </vt:vector>
  </HeadingPairs>
  <TitlesOfParts>
    <vt:vector size="36" baseType="lpstr">
      <vt:lpstr>DADOS</vt:lpstr>
      <vt:lpstr>Resumo DMT's</vt:lpstr>
      <vt:lpstr>Orçamento</vt:lpstr>
      <vt:lpstr>BDI SERVIÇO</vt:lpstr>
      <vt:lpstr>Tabela Resumo</vt:lpstr>
      <vt:lpstr>Cronograma</vt:lpstr>
      <vt:lpstr>Serv. Preliminares</vt:lpstr>
      <vt:lpstr>Cubação - TopoGRAPH</vt:lpstr>
      <vt:lpstr>Pav-Terrapl</vt:lpstr>
      <vt:lpstr>Pav-Pavimento</vt:lpstr>
      <vt:lpstr>Serv. Complementares</vt:lpstr>
      <vt:lpstr>Passeio com Acessibilidade</vt:lpstr>
      <vt:lpstr>Sinalização</vt:lpstr>
      <vt:lpstr>SV-04 - Comp. Pintura</vt:lpstr>
      <vt:lpstr>'BDI SERVIÇO'!Area_de_impressao</vt:lpstr>
      <vt:lpstr>Cronograma!Area_de_impressao</vt:lpstr>
      <vt:lpstr>'Cubação - TopoGRAPH'!Area_de_impressao</vt:lpstr>
      <vt:lpstr>DADOS!Area_de_impressao</vt:lpstr>
      <vt:lpstr>Orçamento!Area_de_impressao</vt:lpstr>
      <vt:lpstr>'Passeio com Acessibilidade'!Area_de_impressao</vt:lpstr>
      <vt:lpstr>'Pav-Pavimento'!Area_de_impressao</vt:lpstr>
      <vt:lpstr>'Pav-Terrapl'!Area_de_impressao</vt:lpstr>
      <vt:lpstr>'Resumo DMT''s'!Area_de_impressao</vt:lpstr>
      <vt:lpstr>'Serv. Complementares'!Area_de_impressao</vt:lpstr>
      <vt:lpstr>'Serv. Preliminares'!Area_de_impressao</vt:lpstr>
      <vt:lpstr>Sinalização!Area_de_impressao</vt:lpstr>
      <vt:lpstr>'SV-04 - Comp. Pintura'!Area_de_impressao</vt:lpstr>
      <vt:lpstr>'Tabela Resumo'!Area_de_impressao</vt:lpstr>
      <vt:lpstr>Cronograma!Titulos_de_impressao</vt:lpstr>
      <vt:lpstr>'Cubação - TopoGRAPH'!Titulos_de_impressao</vt:lpstr>
      <vt:lpstr>Orçamento!Titulos_de_impressao</vt:lpstr>
      <vt:lpstr>'Passeio com Acessibilidade'!Titulos_de_impressao</vt:lpstr>
      <vt:lpstr>'Pav-Pavimento'!Titulos_de_impressao</vt:lpstr>
      <vt:lpstr>'Pav-Terrapl'!Titulos_de_impressao</vt:lpstr>
      <vt:lpstr>'Serv. Complementares'!Titulos_de_impressao</vt:lpstr>
      <vt:lpstr>'Serv. Preliminares'!Titulos_de_impressao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Pereira Khalil</dc:creator>
  <cp:lastModifiedBy>Licitacao-1</cp:lastModifiedBy>
  <cp:lastPrinted>2025-11-19T21:38:05Z</cp:lastPrinted>
  <dcterms:created xsi:type="dcterms:W3CDTF">2019-12-01T21:24:16Z</dcterms:created>
  <dcterms:modified xsi:type="dcterms:W3CDTF">2026-02-20T14:34:18Z</dcterms:modified>
</cp:coreProperties>
</file>