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tipr.sharepoint.com/sites/COSEG-PlanejamentodeContrataes/Documentos Compartilhados/Planejamento de Contratações/01 - Sustentação_Infra_TIC/"/>
    </mc:Choice>
  </mc:AlternateContent>
  <xr:revisionPtr revIDLastSave="142" documentId="8_{AE732FBD-8531-41F3-99AC-C913B45711F0}" xr6:coauthVersionLast="47" xr6:coauthVersionMax="47" xr10:uidLastSave="{0B004178-740E-40EB-B21E-A620E8273E5E}"/>
  <bookViews>
    <workbookView xWindow="-120" yWindow="-120" windowWidth="16440" windowHeight="28440" xr2:uid="{D46DFAFE-0705-4C09-BE4B-7F8F663B7626}"/>
  </bookViews>
  <sheets>
    <sheet name="Estimativa_-_ITEM 1" sheetId="1" r:id="rId1"/>
    <sheet name="sobreaviso_hora-extra_ITEM1" sheetId="7" r:id="rId2"/>
    <sheet name="Resumo" sheetId="3" r:id="rId3"/>
  </sheets>
  <definedNames>
    <definedName name="Perfis">!#REF!</definedName>
    <definedName name="Serviços">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3" l="1"/>
  <c r="C10" i="7"/>
  <c r="C9" i="7"/>
  <c r="C8" i="7"/>
  <c r="C7" i="7"/>
  <c r="L44" i="1" l="1"/>
  <c r="Z18" i="7"/>
  <c r="Z17" i="7"/>
  <c r="Z16" i="7"/>
  <c r="Z15" i="7"/>
  <c r="Z14" i="7"/>
  <c r="Z13" i="7"/>
  <c r="Z12" i="7"/>
  <c r="Z11" i="7"/>
  <c r="Z10" i="7"/>
  <c r="Z9" i="7"/>
  <c r="Z8" i="7"/>
  <c r="Z7" i="7"/>
  <c r="P13" i="7"/>
  <c r="P8" i="7"/>
  <c r="P9" i="7"/>
  <c r="P10" i="7"/>
  <c r="P11" i="7"/>
  <c r="P12" i="7"/>
  <c r="P14" i="7"/>
  <c r="P15" i="7"/>
  <c r="P16" i="7"/>
  <c r="P17" i="7"/>
  <c r="P18" i="7"/>
  <c r="P7" i="7"/>
  <c r="Z19" i="7" l="1"/>
  <c r="P19" i="7"/>
  <c r="D4" i="7" l="1"/>
  <c r="C4" i="7"/>
  <c r="C3" i="7"/>
  <c r="C24" i="7" s="1"/>
  <c r="D18" i="7"/>
  <c r="C19" i="7"/>
  <c r="G5" i="1"/>
  <c r="H5" i="1" s="1"/>
  <c r="G6" i="1"/>
  <c r="H6" i="1" s="1"/>
  <c r="D17" i="7"/>
  <c r="C2" i="7"/>
  <c r="C23" i="7" s="1"/>
  <c r="K6" i="1" l="1"/>
  <c r="L6" i="1"/>
  <c r="K5" i="1"/>
  <c r="L5" i="1"/>
  <c r="G15" i="1"/>
  <c r="G16" i="1"/>
  <c r="H16" i="1" s="1"/>
  <c r="L16" i="1" s="1"/>
  <c r="G19" i="1"/>
  <c r="H19" i="1" s="1"/>
  <c r="G22" i="1"/>
  <c r="H22" i="1" s="1"/>
  <c r="L22" i="1" s="1"/>
  <c r="F25" i="1"/>
  <c r="G24" i="1"/>
  <c r="H24" i="1" s="1"/>
  <c r="L24" i="1" s="1"/>
  <c r="G23" i="1"/>
  <c r="H23" i="1" s="1"/>
  <c r="L23" i="1" s="1"/>
  <c r="G21" i="1"/>
  <c r="H21" i="1" s="1"/>
  <c r="L21" i="1" s="1"/>
  <c r="G20" i="1"/>
  <c r="H20" i="1" s="1"/>
  <c r="L20" i="1" s="1"/>
  <c r="G18" i="1"/>
  <c r="H18" i="1" s="1"/>
  <c r="L18" i="1" s="1"/>
  <c r="G17" i="1"/>
  <c r="H17" i="1" s="1"/>
  <c r="L17" i="1" s="1"/>
  <c r="G14" i="1"/>
  <c r="H15" i="1" l="1"/>
  <c r="D10" i="7"/>
  <c r="E10" i="7" s="1"/>
  <c r="H14" i="1"/>
  <c r="L14" i="1" s="1"/>
  <c r="D9" i="7"/>
  <c r="E9" i="7" s="1"/>
  <c r="E3" i="7" s="1"/>
  <c r="B18" i="7" s="1"/>
  <c r="E18" i="7" s="1"/>
  <c r="B24" i="7" s="1"/>
  <c r="K19" i="1"/>
  <c r="L19" i="1"/>
  <c r="K15" i="1"/>
  <c r="L15" i="1"/>
  <c r="K22" i="1"/>
  <c r="K16" i="1"/>
  <c r="K17" i="1"/>
  <c r="K18" i="1"/>
  <c r="K20" i="1"/>
  <c r="K21" i="1"/>
  <c r="K23" i="1"/>
  <c r="K24" i="1"/>
  <c r="G7" i="1"/>
  <c r="G8" i="1"/>
  <c r="G9" i="1"/>
  <c r="H9" i="1" s="1"/>
  <c r="G10" i="1"/>
  <c r="H10" i="1" s="1"/>
  <c r="L10" i="1" s="1"/>
  <c r="G11" i="1"/>
  <c r="H11" i="1" s="1"/>
  <c r="L11" i="1" s="1"/>
  <c r="G12" i="1"/>
  <c r="H12" i="1" s="1"/>
  <c r="L12" i="1" s="1"/>
  <c r="G13" i="1"/>
  <c r="H13" i="1" s="1"/>
  <c r="C36" i="1"/>
  <c r="J25" i="1"/>
  <c r="I25" i="1"/>
  <c r="G4" i="1"/>
  <c r="H4" i="1" s="1"/>
  <c r="H8" i="1" l="1"/>
  <c r="H25" i="1" s="1"/>
  <c r="D8" i="7"/>
  <c r="E8" i="7" s="1"/>
  <c r="B30" i="7"/>
  <c r="H7" i="1"/>
  <c r="L7" i="1" s="1"/>
  <c r="D7" i="7"/>
  <c r="E7" i="7" s="1"/>
  <c r="K14" i="1"/>
  <c r="E11" i="7"/>
  <c r="E2" i="7"/>
  <c r="K13" i="1"/>
  <c r="L13" i="1"/>
  <c r="L4" i="1"/>
  <c r="K9" i="1"/>
  <c r="L9" i="1"/>
  <c r="K7" i="1"/>
  <c r="K12" i="1"/>
  <c r="K11" i="1"/>
  <c r="K10" i="1"/>
  <c r="K4" i="1"/>
  <c r="L8" i="1" l="1"/>
  <c r="K8" i="1"/>
  <c r="D23" i="3"/>
  <c r="K25" i="1"/>
  <c r="B17" i="7"/>
  <c r="E4" i="7"/>
  <c r="L25" i="1"/>
  <c r="B19" i="7" l="1"/>
  <c r="E17" i="7"/>
  <c r="E24" i="7"/>
  <c r="D32" i="1" s="1"/>
  <c r="E30" i="7"/>
  <c r="D33" i="1" s="1"/>
  <c r="B29" i="7" l="1"/>
  <c r="E29" i="7" s="1"/>
  <c r="B23" i="7"/>
  <c r="E23" i="7" s="1"/>
  <c r="D30" i="1" l="1"/>
  <c r="E25" i="7"/>
  <c r="D24" i="3" s="1"/>
  <c r="D31" i="1"/>
  <c r="E31" i="7"/>
  <c r="D25" i="3" s="1"/>
  <c r="D26" i="3" l="1"/>
  <c r="D34" i="1"/>
  <c r="D36" i="1" s="1"/>
  <c r="F14" i="3" s="1"/>
  <c r="F15" i="3" s="1"/>
  <c r="G14" i="3" l="1"/>
  <c r="H14" i="3"/>
  <c r="H15" i="3" s="1"/>
  <c r="G15" i="3" l="1"/>
  <c r="G18" i="3" s="1"/>
  <c r="G20" i="3" l="1"/>
  <c r="H18" i="3"/>
  <c r="I18" i="3" l="1"/>
  <c r="I19" i="3"/>
  <c r="H20" i="3" l="1"/>
  <c r="I20" i="3" s="1"/>
</calcChain>
</file>

<file path=xl/sharedStrings.xml><?xml version="1.0" encoding="utf-8"?>
<sst xmlns="http://schemas.openxmlformats.org/spreadsheetml/2006/main" count="163" uniqueCount="109">
  <si>
    <t>Planilha Simplificada para Estimativa do Valor Mensal do Serviço</t>
  </si>
  <si>
    <t>Categoria de Posto de Trabalho</t>
  </si>
  <si>
    <t>Perfil</t>
  </si>
  <si>
    <t>Salário de referência (A)</t>
  </si>
  <si>
    <t>Fator-K</t>
  </si>
  <si>
    <t>Quantidade (B)</t>
  </si>
  <si>
    <t>Custo unitário mensal do Perfil (C)</t>
  </si>
  <si>
    <t>Custo total mensal por Perfil (D = C x B)</t>
  </si>
  <si>
    <t xml:space="preserve">Custo por serviço </t>
  </si>
  <si>
    <t>Custo total 12 Meses</t>
  </si>
  <si>
    <t>Analista de suporte computacional Júnior</t>
  </si>
  <si>
    <t>Analista de suporte computacional Pleno</t>
  </si>
  <si>
    <t>Analista de sistemas de automação - Pleno</t>
  </si>
  <si>
    <t>Quantitativo Total Equipe</t>
  </si>
  <si>
    <t>Custo Total mensal (F)</t>
  </si>
  <si>
    <t>Outros itens de custo</t>
  </si>
  <si>
    <t>ID</t>
  </si>
  <si>
    <t>Descrição</t>
  </si>
  <si>
    <t>Custo mensal (E)</t>
  </si>
  <si>
    <t>Custo total mensal das Horas de Sobreaviso</t>
  </si>
  <si>
    <t>INFRAESTRUTURA DE REDES E CONECTIVIDADE</t>
  </si>
  <si>
    <t>Custo mensal Total Outros Itens (G)</t>
  </si>
  <si>
    <t>Administrador de banco de dados - Sênior</t>
  </si>
  <si>
    <t>Administrador de sistemas operacionais Pleno</t>
  </si>
  <si>
    <t>ITEM</t>
  </si>
  <si>
    <t>Janela Padrão</t>
  </si>
  <si>
    <t>Horas mensais de Sobreaviso = (22 dias úteis X horas fora da janela padrão, mais 8 dias não úteis x 24 horas)</t>
  </si>
  <si>
    <t>09:00 às 18:00 horas X 5 dias</t>
  </si>
  <si>
    <t>Requisição</t>
  </si>
  <si>
    <t>Incidente</t>
  </si>
  <si>
    <t>Mudança</t>
  </si>
  <si>
    <t>Total Geral Mês</t>
  </si>
  <si>
    <t>TOTAL</t>
  </si>
  <si>
    <t>ASUPCOMP-02</t>
  </si>
  <si>
    <t>ASUPCOMP-03</t>
  </si>
  <si>
    <t>Custo médio da hora de serviço das categorias de serviços que possuem sobreaviso</t>
  </si>
  <si>
    <t>Total de horas mensais por perfil considerando 22 dias úteis ( C )</t>
  </si>
  <si>
    <t>Custo médio da hora de serviço (D = A / (B x C)</t>
  </si>
  <si>
    <t>Custo médio da hora de serviço (D)</t>
  </si>
  <si>
    <t>Total de horas de sobreaviso mensais (F)</t>
  </si>
  <si>
    <t>Fator de sobreaviso - 1/3 de hora (G)</t>
  </si>
  <si>
    <t>Custo total mensal das horas de sobreaviso (H = D x F x G)</t>
  </si>
  <si>
    <t>Fator de hora extra- 1,5 hora (J)</t>
  </si>
  <si>
    <t>Elementos de Custo Valores</t>
  </si>
  <si>
    <t>Referência</t>
  </si>
  <si>
    <t>Valor (R$)</t>
  </si>
  <si>
    <t>Estimativa de Custo Total Estimado da Equipe para o ITEM 01</t>
  </si>
  <si>
    <t>Tabela 11.04</t>
  </si>
  <si>
    <t>Tabela 11.07</t>
  </si>
  <si>
    <t>Tabela 11.09</t>
  </si>
  <si>
    <t>DESCRIÇÃO</t>
  </si>
  <si>
    <t>CATSER</t>
  </si>
  <si>
    <t>Qtde.</t>
  </si>
  <si>
    <t>MENSAL</t>
  </si>
  <si>
    <t>12 meses</t>
  </si>
  <si>
    <t>24 meses</t>
  </si>
  <si>
    <t>Ano  01</t>
  </si>
  <si>
    <t>Ano 02</t>
  </si>
  <si>
    <t>TOTAL 24 MESES</t>
  </si>
  <si>
    <t>OPERAÇÃO DE DATACENTER</t>
  </si>
  <si>
    <t>SUSTENTAÇÃO DE APLICAÇÕES E BANCO DE DADOS</t>
  </si>
  <si>
    <t>CIBERSEGURANÇA</t>
  </si>
  <si>
    <t>GERENCIAMENTO E EXECUÇÃO DE SERVIÇOS NEGOCIAIS DITEC</t>
  </si>
  <si>
    <t>GERENCIAMENTO E EXECUÇÃO DE SERVIÇOS NEGOCIAIS DAFN</t>
  </si>
  <si>
    <t>Analista de suporte computacional Sênior</t>
  </si>
  <si>
    <t>Administrador de sistemas operacionais Sênior</t>
  </si>
  <si>
    <t>Administrador de banco de dados - Pleno</t>
  </si>
  <si>
    <t>Analista de redes e de comunicação de dados Pleno</t>
  </si>
  <si>
    <t>Analista de redes e de comunicação de dados Sênior</t>
  </si>
  <si>
    <t>Administrador em segurança da informação - Júnior</t>
  </si>
  <si>
    <t>Administrador em segurança da informação - Pleno</t>
  </si>
  <si>
    <t>Administrador em segurança da informação - Sênior</t>
  </si>
  <si>
    <t>Desenvolvedor de sistemas de tecnologia da informação Pleno</t>
  </si>
  <si>
    <t>Custo total mensal das Horas Extras - Dias da Semana</t>
  </si>
  <si>
    <t>Custo total mensal das Horas de Horas Extra - Dias da Semana</t>
  </si>
  <si>
    <t>Unidade Mensal</t>
  </si>
  <si>
    <t>Equipe Técnica</t>
  </si>
  <si>
    <t>ARED-02</t>
  </si>
  <si>
    <t>ARED-03</t>
  </si>
  <si>
    <t>Custo total mensal das horas extras (L = D x I x J)</t>
  </si>
  <si>
    <t>Quantidade total de perfis por EQUIPE TÉCNICA (B)</t>
  </si>
  <si>
    <t>Custo total mensal das EQUIPE TÉCNICA (A)</t>
  </si>
  <si>
    <t>Custo total mensal por Equipe Técnica</t>
  </si>
  <si>
    <t>Quantidade total de perfis por Equipe Técnica em sobre aviso</t>
  </si>
  <si>
    <t>Custo total 24 Meses</t>
  </si>
  <si>
    <t>GOVERNANÇA DE SERVIÇOS DE TIC</t>
  </si>
  <si>
    <r>
      <t>ITEM</t>
    </r>
    <r>
      <rPr>
        <b/>
        <sz val="10"/>
        <rFont val="Arial1"/>
      </rPr>
      <t xml:space="preserve"> </t>
    </r>
    <r>
      <rPr>
        <b/>
        <sz val="11"/>
        <rFont val="Arial"/>
        <family val="2"/>
      </rPr>
      <t>1</t>
    </r>
  </si>
  <si>
    <t>Serviços técnicos especializados de 
sustentação de infraestrutura crítica de TI</t>
  </si>
  <si>
    <t>Custo total mensal das Horas de Sobreaviso ITEM 01</t>
  </si>
  <si>
    <t>Custo total mensal das Horas Extras ITEM 01</t>
  </si>
  <si>
    <t>UNIDADE DE MEDIDA</t>
  </si>
  <si>
    <t>Média de horas extras no período de 2024/2025 (I),</t>
  </si>
  <si>
    <t>Mês/Ano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</si>
  <si>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</si>
  <si>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</si>
  <si>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</si>
  <si>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</si>
  <si>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</si>
  <si>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</si>
  <si>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</si>
  <si>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</si>
  <si>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</si>
  <si>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</si>
  <si>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</si>
  <si>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</si>
  <si>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Média</t>
  </si>
  <si>
    <t>VALOR Estimados</t>
  </si>
  <si>
    <t>Correção ICTI (4,45%)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</si>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</sst>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R$-416]&quot; &quot;#,##0.00&quot; &quot;;&quot;-&quot;[$R$-416]&quot; &quot;#,##0.00&quot; &quot;;[$R$-416]&quot; -&quot;00&quot; &quot;;&quot; &quot;@&quot; &quot;"/>
    <numFmt numFmtId="165" formatCode="&quot; R$ &quot;* #,##0.00&quot; &quot;;&quot;-R$ &quot;* #,##0.00&quot; &quot;;&quot; R$ &quot;* &quot;-&quot;00&quot; &quot;;&quot; &quot;@&quot; &quot;"/>
    <numFmt numFmtId="166" formatCode="&quot; R$ &quot;* #,##0.00&quot; &quot;;&quot; R$ &quot;* &quot;(&quot;#,##0.00&quot;)&quot;;&quot; R$ &quot;* &quot;-&quot;00&quot; &quot;;&quot; &quot;@&quot; &quot;"/>
    <numFmt numFmtId="167" formatCode="&quot; &quot;* #,##0.00&quot; &quot;;&quot; &quot;* &quot;(&quot;#,##0.00&quot;)&quot;;&quot; &quot;* &quot;-&quot;00&quot; &quot;;&quot; &quot;@&quot; &quot;"/>
    <numFmt numFmtId="168" formatCode="&quot; &quot;* #,##0.00&quot; &quot;;&quot;-&quot;* #,##0.00&quot; &quot;;&quot; &quot;* &quot;-&quot;00&quot; &quot;;&quot; &quot;@&quot; &quot;"/>
    <numFmt numFmtId="169" formatCode="_(&quot;R$ &quot;* #,##0.00_);_(&quot;R$ &quot;* \(#,##0.00\);_(&quot;R$ &quot;* &quot;-&quot;??_);_(@_)"/>
    <numFmt numFmtId="170" formatCode="_(* #,##0.00_);_(* \(#,##0.00\);_(* \-??_);_(@_)"/>
    <numFmt numFmtId="171" formatCode="_(&quot;R$ &quot;* #,##0.00_);_(&quot;R$ &quot;* \(#,##0.00\);_(&quot;R$ &quot;* \-??_);_(@_)"/>
    <numFmt numFmtId="172" formatCode="&quot; &quot;[$R$-416]&quot; &quot;#,##0.00&quot; &quot;;&quot;-&quot;[$R$-416]&quot; &quot;#,##0.00&quot; &quot;;&quot; &quot;[$R$-416]&quot; -&quot;00&quot; &quot;;&quot; &quot;@&quot; &quot;"/>
    <numFmt numFmtId="173" formatCode="#,##0.00\ ;&quot; (&quot;#,##0.00\);&quot; -&quot;#\ ;@\ "/>
    <numFmt numFmtId="174" formatCode="&quot;R$&quot;\ #,##0.00"/>
    <numFmt numFmtId="175" formatCode="[$-F400]h:mm:ss\ AM/PM"/>
    <numFmt numFmtId="176" formatCode="[$R$-416]&quot; &quot;#,##0.00&quot; &quot;;&quot;-&quot;[$R$-416]&quot; &quot;#,##0.00&quot; &quot;;[$R$-416]&quot; -&quot;00.0&quot; &quot;;&quot; &quot;@&quot; &quot;"/>
    <numFmt numFmtId="177" formatCode="[$R$-416]&quot; &quot;#,##0.00&quot; &quot;;&quot;-&quot;[$R$-416]&quot; &quot;#,##0.00&quot; &quot;;[$R$-416]&quot; -&quot;00.00&quot; &quot;;&quot; &quot;@&quot; &quot;"/>
  </numFmts>
  <fonts count="78" x14ac:knownFonts="1">
    <font>
      <sz val="10"/>
      <color theme="1"/>
      <name val="Arial"/>
      <family val="2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FFFF"/>
      <name val="Arial"/>
      <family val="2"/>
    </font>
    <font>
      <sz val="10"/>
      <color rgb="FFFFFFFF"/>
      <name val="Times New Roman"/>
      <family val="1"/>
    </font>
    <font>
      <b/>
      <sz val="10"/>
      <color theme="1"/>
      <name val="Times New Roman"/>
      <family val="1"/>
    </font>
    <font>
      <sz val="10"/>
      <color rgb="FFCC0000"/>
      <name val="Arial"/>
      <family val="2"/>
    </font>
    <font>
      <sz val="10"/>
      <color rgb="FFFF0000"/>
      <name val="Times New Roman"/>
      <family val="1"/>
    </font>
    <font>
      <sz val="11"/>
      <color rgb="FF000000"/>
      <name val="Calibri"/>
      <family val="2"/>
    </font>
    <font>
      <b/>
      <sz val="10"/>
      <color rgb="FFFFFFFF"/>
      <name val="Times New Roman"/>
      <family val="1"/>
    </font>
    <font>
      <i/>
      <sz val="10"/>
      <color rgb="FF808080"/>
      <name val="Arial"/>
      <family val="2"/>
    </font>
    <font>
      <i/>
      <sz val="10"/>
      <color rgb="FF808080"/>
      <name val="Times New Roman"/>
      <family val="1"/>
    </font>
    <font>
      <sz val="10"/>
      <color rgb="FF006600"/>
      <name val="Arial"/>
      <family val="2"/>
    </font>
    <font>
      <sz val="10"/>
      <color rgb="FF008000"/>
      <name val="Times New Roman"/>
      <family val="1"/>
    </font>
    <font>
      <b/>
      <sz val="24"/>
      <color theme="1"/>
      <name val="Arial"/>
      <family val="2"/>
    </font>
    <font>
      <b/>
      <sz val="18"/>
      <color theme="1"/>
      <name val="Arial"/>
      <family val="2"/>
    </font>
    <font>
      <sz val="18"/>
      <color theme="1"/>
      <name val="Times New Roman"/>
      <family val="1"/>
    </font>
    <font>
      <b/>
      <sz val="12"/>
      <color theme="1"/>
      <name val="Arial"/>
      <family val="2"/>
    </font>
    <font>
      <sz val="12"/>
      <color theme="1"/>
      <name val="Times New Roman"/>
      <family val="1"/>
    </font>
    <font>
      <b/>
      <sz val="24"/>
      <color theme="1"/>
      <name val="Times New Roman"/>
      <family val="1"/>
    </font>
    <font>
      <u/>
      <sz val="10"/>
      <color rgb="FF0000EE"/>
      <name val="Arial"/>
      <family val="2"/>
    </font>
    <font>
      <u/>
      <sz val="10"/>
      <color rgb="FF0000FF"/>
      <name val="Times New Roman"/>
      <family val="1"/>
    </font>
    <font>
      <sz val="10"/>
      <color rgb="FF996600"/>
      <name val="Arial"/>
      <family val="2"/>
    </font>
    <font>
      <sz val="10"/>
      <color rgb="FF993300"/>
      <name val="Times New Roman"/>
      <family val="1"/>
    </font>
    <font>
      <sz val="10"/>
      <color theme="1"/>
      <name val="Arial1"/>
    </font>
    <font>
      <sz val="10"/>
      <color theme="1"/>
      <name val="Times New Roman"/>
      <family val="1"/>
    </font>
    <font>
      <sz val="10"/>
      <color rgb="FF333333"/>
      <name val="Arial"/>
      <family val="2"/>
    </font>
    <font>
      <sz val="10"/>
      <color rgb="FF333333"/>
      <name val="Times New Roman"/>
      <family val="1"/>
    </font>
    <font>
      <b/>
      <i/>
      <u/>
      <sz val="10"/>
      <color theme="1"/>
      <name val="Arial"/>
      <family val="2"/>
    </font>
    <font>
      <b/>
      <i/>
      <u/>
      <sz val="10"/>
      <color theme="1"/>
      <name val="Times New Roman"/>
      <family val="1"/>
    </font>
    <font>
      <b/>
      <sz val="15"/>
      <color rgb="FF003366"/>
      <name val="Arial"/>
      <family val="2"/>
    </font>
    <font>
      <b/>
      <sz val="10"/>
      <color theme="1"/>
      <name val="Arial1"/>
    </font>
    <font>
      <sz val="10"/>
      <color rgb="FFFF0000"/>
      <name val="Arial"/>
      <family val="2"/>
    </font>
    <font>
      <b/>
      <sz val="10"/>
      <color rgb="FF000000"/>
      <name val="Arial1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5"/>
      <color indexed="56"/>
      <name val="Calibri"/>
      <family val="2"/>
    </font>
    <font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CC0000"/>
      <name val="Times New Roman"/>
      <family val="1"/>
    </font>
    <font>
      <sz val="10"/>
      <color rgb="FF006600"/>
      <name val="Times New Roman"/>
      <family val="1"/>
    </font>
    <font>
      <b/>
      <sz val="24"/>
      <color rgb="FF000000"/>
      <name val="Times New Roman"/>
      <family val="1"/>
    </font>
    <font>
      <sz val="18"/>
      <color rgb="FF000000"/>
      <name val="Times New Roman"/>
      <family val="1"/>
    </font>
    <font>
      <sz val="12"/>
      <color rgb="FF000000"/>
      <name val="Times New Roman"/>
      <family val="1"/>
    </font>
    <font>
      <u/>
      <sz val="10"/>
      <color rgb="FF0000EE"/>
      <name val="Times New Roman"/>
      <family val="1"/>
    </font>
    <font>
      <sz val="10"/>
      <color rgb="FF996600"/>
      <name val="Times New Roman"/>
      <family val="1"/>
    </font>
    <font>
      <b/>
      <i/>
      <u/>
      <sz val="10"/>
      <color rgb="FF000000"/>
      <name val="Times New Roman"/>
      <family val="1"/>
    </font>
    <font>
      <sz val="11"/>
      <name val="Calibri"/>
      <family val="2"/>
    </font>
    <font>
      <sz val="11"/>
      <color rgb="FF9C6500"/>
      <name val="Aptos Narrow"/>
      <family val="2"/>
      <scheme val="minor"/>
    </font>
    <font>
      <sz val="11"/>
      <color indexed="64"/>
      <name val="Aptos Narrow"/>
      <family val="2"/>
      <scheme val="minor"/>
    </font>
    <font>
      <sz val="11"/>
      <color indexed="8"/>
      <name val="Calibri"/>
      <family val="2"/>
    </font>
    <font>
      <b/>
      <sz val="10"/>
      <name val="Arial1"/>
    </font>
    <font>
      <b/>
      <sz val="11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8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C0C0C0"/>
        <bgColor rgb="FFC0C0C0"/>
      </patternFill>
    </fill>
    <fill>
      <patternFill patternType="solid">
        <fgColor rgb="FFFFCCCC"/>
        <bgColor rgb="FFFFCCCC"/>
      </patternFill>
    </fill>
    <fill>
      <patternFill patternType="solid">
        <fgColor rgb="FFFF8080"/>
        <bgColor rgb="FFFF8080"/>
      </patternFill>
    </fill>
    <fill>
      <patternFill patternType="solid">
        <fgColor rgb="FFCC0000"/>
        <bgColor rgb="FFCC0000"/>
      </patternFill>
    </fill>
    <fill>
      <patternFill patternType="solid">
        <fgColor rgb="FFFF0000"/>
        <bgColor rgb="FFFF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9D9D9"/>
        <bgColor rgb="FFD9D9D9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rgb="FFD9D9D9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333399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thick">
        <color indexed="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4">
    <xf numFmtId="0" fontId="0" fillId="0" borderId="0"/>
    <xf numFmtId="164" fontId="19" fillId="0" borderId="0" applyFont="0" applyBorder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20" fillId="0" borderId="0" applyNumberFormat="0" applyBorder="0" applyProtection="0"/>
    <xf numFmtId="0" fontId="21" fillId="33" borderId="0" applyNumberFormat="0" applyBorder="0" applyProtection="0"/>
    <xf numFmtId="0" fontId="22" fillId="33" borderId="0" applyNumberFormat="0" applyBorder="0" applyProtection="0"/>
    <xf numFmtId="0" fontId="21" fillId="34" borderId="0" applyNumberFormat="0" applyBorder="0" applyProtection="0"/>
    <xf numFmtId="0" fontId="22" fillId="34" borderId="0" applyNumberFormat="0" applyBorder="0" applyProtection="0"/>
    <xf numFmtId="0" fontId="20" fillId="35" borderId="0" applyNumberFormat="0" applyBorder="0" applyProtection="0"/>
    <xf numFmtId="0" fontId="23" fillId="36" borderId="0" applyNumberFormat="0" applyBorder="0" applyProtection="0"/>
    <xf numFmtId="0" fontId="23" fillId="0" borderId="0" applyNumberFormat="0" applyBorder="0" applyProtection="0"/>
    <xf numFmtId="0" fontId="24" fillId="37" borderId="0" applyNumberFormat="0" applyBorder="0" applyProtection="0"/>
    <xf numFmtId="0" fontId="25" fillId="38" borderId="0" applyNumberFormat="0" applyBorder="0" applyProtection="0"/>
    <xf numFmtId="0" fontId="26" fillId="0" borderId="0" applyNumberFormat="0" applyBorder="0" applyProtection="0"/>
    <xf numFmtId="0" fontId="21" fillId="39" borderId="0" applyNumberFormat="0" applyBorder="0" applyProtection="0"/>
    <xf numFmtId="0" fontId="27" fillId="40" borderId="0" applyNumberFormat="0" applyBorder="0" applyProtection="0"/>
    <xf numFmtId="165" fontId="19" fillId="0" borderId="0" applyFont="0" applyBorder="0" applyProtection="0"/>
    <xf numFmtId="0" fontId="28" fillId="0" borderId="0" applyNumberFormat="0" applyBorder="0" applyProtection="0"/>
    <xf numFmtId="0" fontId="29" fillId="0" borderId="0" applyNumberFormat="0" applyBorder="0" applyProtection="0"/>
    <xf numFmtId="0" fontId="30" fillId="41" borderId="0" applyNumberFormat="0" applyBorder="0" applyProtection="0"/>
    <xf numFmtId="0" fontId="31" fillId="41" borderId="0" applyNumberFormat="0" applyBorder="0" applyProtection="0"/>
    <xf numFmtId="0" fontId="32" fillId="0" borderId="0" applyNumberFormat="0" applyBorder="0" applyProtection="0"/>
    <xf numFmtId="0" fontId="33" fillId="0" borderId="0" applyNumberFormat="0" applyBorder="0" applyProtection="0"/>
    <xf numFmtId="0" fontId="34" fillId="0" borderId="0" applyNumberFormat="0" applyBorder="0" applyProtection="0"/>
    <xf numFmtId="0" fontId="35" fillId="0" borderId="0" applyNumberFormat="0" applyBorder="0" applyProtection="0"/>
    <xf numFmtId="0" fontId="36" fillId="0" borderId="0" applyNumberFormat="0" applyBorder="0" applyProtection="0"/>
    <xf numFmtId="0" fontId="37" fillId="0" borderId="0" applyNumberFormat="0" applyBorder="0" applyProtection="0"/>
    <xf numFmtId="0" fontId="38" fillId="0" borderId="0" applyNumberFormat="0" applyBorder="0" applyProtection="0"/>
    <xf numFmtId="0" fontId="39" fillId="0" borderId="0" applyNumberFormat="0" applyBorder="0" applyProtection="0"/>
    <xf numFmtId="166" fontId="19" fillId="0" borderId="0" applyFont="0" applyBorder="0" applyProtection="0"/>
    <xf numFmtId="165" fontId="19" fillId="0" borderId="0" applyFont="0" applyBorder="0" applyProtection="0"/>
    <xf numFmtId="165" fontId="19" fillId="0" borderId="0" applyFont="0" applyBorder="0" applyProtection="0"/>
    <xf numFmtId="165" fontId="19" fillId="0" borderId="0" applyFont="0" applyBorder="0" applyProtection="0"/>
    <xf numFmtId="166" fontId="19" fillId="0" borderId="0" applyFont="0" applyBorder="0" applyProtection="0"/>
    <xf numFmtId="164" fontId="19" fillId="0" borderId="0" applyFont="0" applyBorder="0" applyProtection="0"/>
    <xf numFmtId="0" fontId="40" fillId="42" borderId="0" applyNumberFormat="0" applyBorder="0" applyProtection="0"/>
    <xf numFmtId="0" fontId="41" fillId="42" borderId="0" applyNumberFormat="0" applyBorder="0" applyProtection="0"/>
    <xf numFmtId="0" fontId="42" fillId="0" borderId="0" applyNumberFormat="0" applyBorder="0" applyProtection="0"/>
    <xf numFmtId="0" fontId="19" fillId="0" borderId="0" applyNumberFormat="0" applyFont="0" applyBorder="0" applyProtection="0"/>
    <xf numFmtId="0" fontId="43" fillId="0" borderId="0" applyNumberFormat="0" applyBorder="0" applyProtection="0"/>
    <xf numFmtId="0" fontId="19" fillId="0" borderId="0" applyNumberFormat="0" applyFont="0" applyBorder="0" applyProtection="0"/>
    <xf numFmtId="0" fontId="19" fillId="0" borderId="0" applyNumberFormat="0" applyFont="0" applyBorder="0" applyProtection="0"/>
    <xf numFmtId="0" fontId="19" fillId="0" borderId="0" applyNumberFormat="0" applyFont="0" applyBorder="0" applyProtection="0"/>
    <xf numFmtId="0" fontId="43" fillId="0" borderId="0" applyNumberFormat="0" applyBorder="0" applyProtection="0"/>
    <xf numFmtId="0" fontId="44" fillId="42" borderId="10" applyNumberFormat="0" applyProtection="0"/>
    <xf numFmtId="0" fontId="45" fillId="42" borderId="10" applyNumberFormat="0" applyProtection="0"/>
    <xf numFmtId="9" fontId="19" fillId="0" borderId="0" applyFont="0" applyBorder="0" applyProtection="0"/>
    <xf numFmtId="9" fontId="19" fillId="0" borderId="0" applyFont="0" applyBorder="0" applyProtection="0"/>
    <xf numFmtId="9" fontId="19" fillId="0" borderId="0" applyFont="0" applyBorder="0" applyProtection="0"/>
    <xf numFmtId="0" fontId="46" fillId="0" borderId="0" applyNumberFormat="0" applyBorder="0" applyProtection="0"/>
    <xf numFmtId="0" fontId="47" fillId="0" borderId="0" applyNumberFormat="0" applyBorder="0" applyProtection="0"/>
    <xf numFmtId="0" fontId="19" fillId="0" borderId="0" applyNumberFormat="0" applyFont="0" applyBorder="0" applyProtection="0"/>
    <xf numFmtId="0" fontId="19" fillId="0" borderId="0" applyNumberFormat="0" applyFont="0" applyBorder="0" applyProtection="0"/>
    <xf numFmtId="0" fontId="19" fillId="0" borderId="0" applyNumberFormat="0" applyFont="0" applyBorder="0" applyProtection="0"/>
    <xf numFmtId="0" fontId="19" fillId="0" borderId="0" applyNumberFormat="0" applyFont="0" applyBorder="0" applyProtection="0"/>
    <xf numFmtId="0" fontId="19" fillId="0" borderId="0" applyNumberFormat="0" applyFont="0" applyBorder="0" applyProtection="0"/>
    <xf numFmtId="0" fontId="19" fillId="0" borderId="0" applyNumberFormat="0" applyFont="0" applyBorder="0" applyProtection="0"/>
    <xf numFmtId="0" fontId="19" fillId="0" borderId="0" applyNumberFormat="0" applyFont="0" applyBorder="0" applyProtection="0"/>
    <xf numFmtId="0" fontId="48" fillId="0" borderId="11" applyNumberFormat="0" applyProtection="0"/>
    <xf numFmtId="0" fontId="19" fillId="0" borderId="0" applyNumberFormat="0" applyFont="0" applyBorder="0" applyProtection="0"/>
    <xf numFmtId="0" fontId="19" fillId="0" borderId="0" applyNumberFormat="0" applyFont="0" applyBorder="0" applyProtection="0"/>
    <xf numFmtId="167" fontId="19" fillId="0" borderId="0" applyFont="0" applyBorder="0" applyProtection="0"/>
    <xf numFmtId="168" fontId="19" fillId="0" borderId="0" applyFont="0" applyBorder="0" applyProtection="0"/>
    <xf numFmtId="168" fontId="19" fillId="0" borderId="0" applyFont="0" applyBorder="0" applyProtection="0"/>
    <xf numFmtId="0" fontId="24" fillId="0" borderId="0" applyNumberFormat="0" applyBorder="0" applyProtection="0"/>
    <xf numFmtId="0" fontId="25" fillId="0" borderId="0" applyNumberFormat="0" applyBorder="0" applyProtection="0"/>
    <xf numFmtId="0" fontId="3" fillId="0" borderId="0"/>
    <xf numFmtId="44" fontId="3" fillId="0" borderId="0" applyFont="0" applyFill="0" applyBorder="0" applyAlignment="0" applyProtection="0"/>
    <xf numFmtId="0" fontId="52" fillId="0" borderId="0"/>
    <xf numFmtId="44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53" fillId="0" borderId="0" applyFill="0" applyBorder="0" applyAlignment="0" applyProtection="0"/>
    <xf numFmtId="0" fontId="53" fillId="0" borderId="0"/>
    <xf numFmtId="43" fontId="53" fillId="0" borderId="0" applyFont="0" applyFill="0" applyBorder="0" applyAlignment="0" applyProtection="0"/>
    <xf numFmtId="44" fontId="53" fillId="0" borderId="0" applyFont="0" applyFill="0" applyBorder="0" applyAlignment="0" applyProtection="0"/>
    <xf numFmtId="9" fontId="53" fillId="0" borderId="0" applyFont="0" applyFill="0" applyBorder="0" applyAlignment="0" applyProtection="0"/>
    <xf numFmtId="0" fontId="54" fillId="0" borderId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1" fontId="53" fillId="0" borderId="0" applyFill="0" applyBorder="0" applyAlignment="0" applyProtection="0"/>
    <xf numFmtId="9" fontId="53" fillId="0" borderId="0" applyFill="0" applyBorder="0" applyAlignment="0" applyProtection="0"/>
    <xf numFmtId="0" fontId="55" fillId="0" borderId="20" applyNumberFormat="0" applyFill="0" applyAlignment="0" applyProtection="0"/>
    <xf numFmtId="0" fontId="56" fillId="0" borderId="0"/>
    <xf numFmtId="172" fontId="56" fillId="0" borderId="0" applyFont="0" applyFill="0" applyBorder="0" applyAlignment="0" applyProtection="0"/>
    <xf numFmtId="0" fontId="57" fillId="0" borderId="0" applyNumberFormat="0" applyBorder="0" applyProtection="0"/>
    <xf numFmtId="0" fontId="57" fillId="35" borderId="0" applyNumberFormat="0" applyBorder="0" applyProtection="0"/>
    <xf numFmtId="0" fontId="58" fillId="37" borderId="0" applyNumberFormat="0" applyBorder="0" applyProtection="0"/>
    <xf numFmtId="0" fontId="27" fillId="39" borderId="0" applyNumberFormat="0" applyBorder="0" applyProtection="0"/>
    <xf numFmtId="0" fontId="59" fillId="41" borderId="0" applyNumberFormat="0" applyBorder="0" applyProtection="0"/>
    <xf numFmtId="0" fontId="60" fillId="0" borderId="0" applyNumberFormat="0" applyBorder="0" applyProtection="0"/>
    <xf numFmtId="0" fontId="61" fillId="0" borderId="0" applyNumberFormat="0" applyBorder="0" applyProtection="0"/>
    <xf numFmtId="0" fontId="62" fillId="0" borderId="0" applyNumberFormat="0" applyBorder="0" applyProtection="0"/>
    <xf numFmtId="0" fontId="63" fillId="0" borderId="0" applyNumberFormat="0" applyBorder="0" applyProtection="0"/>
    <xf numFmtId="0" fontId="64" fillId="42" borderId="0" applyNumberFormat="0" applyBorder="0" applyProtection="0"/>
    <xf numFmtId="0" fontId="52" fillId="0" borderId="0" applyNumberFormat="0" applyBorder="0" applyProtection="0"/>
    <xf numFmtId="0" fontId="52" fillId="0" borderId="0" applyNumberFormat="0" applyBorder="0" applyProtection="0"/>
    <xf numFmtId="0" fontId="65" fillId="0" borderId="0" applyNumberFormat="0" applyBorder="0" applyProtection="0"/>
    <xf numFmtId="0" fontId="56" fillId="0" borderId="0" applyNumberFormat="0" applyFont="0" applyBorder="0" applyProtection="0"/>
    <xf numFmtId="0" fontId="56" fillId="0" borderId="0" applyNumberFormat="0" applyFont="0" applyBorder="0" applyProtection="0"/>
    <xf numFmtId="0" fontId="58" fillId="0" borderId="0" applyNumberFormat="0" applyBorder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67" fillId="4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43" fontId="3" fillId="0" borderId="0" applyFont="0" applyFill="0" applyBorder="0" applyAlignment="0" applyProtection="0"/>
    <xf numFmtId="0" fontId="6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9" fontId="53" fillId="0" borderId="0" applyFont="0" applyFill="0" applyBorder="0" applyAlignment="0" applyProtection="0"/>
    <xf numFmtId="0" fontId="66" fillId="0" borderId="0"/>
    <xf numFmtId="0" fontId="66" fillId="0" borderId="0"/>
    <xf numFmtId="9" fontId="53" fillId="0" borderId="0" applyFill="0" applyBorder="0" applyAlignment="0" applyProtection="0"/>
    <xf numFmtId="44" fontId="53" fillId="0" borderId="0" applyFill="0" applyBorder="0" applyAlignment="0" applyProtection="0"/>
    <xf numFmtId="173" fontId="53" fillId="0" borderId="0" applyFill="0" applyBorder="0" applyAlignment="0" applyProtection="0"/>
    <xf numFmtId="0" fontId="3" fillId="0" borderId="0"/>
    <xf numFmtId="0" fontId="53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53" fillId="0" borderId="0"/>
    <xf numFmtId="0" fontId="3" fillId="0" borderId="0"/>
    <xf numFmtId="9" fontId="53" fillId="0" borderId="0" applyFont="0" applyFill="0" applyBorder="0" applyAlignment="0" applyProtection="0"/>
    <xf numFmtId="9" fontId="69" fillId="0" borderId="0" applyFont="0" applyFill="0" applyBorder="0" applyAlignment="0" applyProtection="0"/>
    <xf numFmtId="169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146">
    <xf numFmtId="0" fontId="0" fillId="0" borderId="0" xfId="0"/>
    <xf numFmtId="0" fontId="42" fillId="0" borderId="0" xfId="0" applyFont="1"/>
    <xf numFmtId="0" fontId="42" fillId="0" borderId="0" xfId="0" applyFont="1" applyAlignment="1">
      <alignment horizontal="left" vertical="center" wrapText="1"/>
    </xf>
    <xf numFmtId="0" fontId="42" fillId="0" borderId="0" xfId="0" applyFont="1" applyAlignment="1">
      <alignment horizontal="center" vertical="center" wrapText="1"/>
    </xf>
    <xf numFmtId="0" fontId="42" fillId="0" borderId="0" xfId="0" applyFont="1" applyAlignment="1">
      <alignment horizontal="center"/>
    </xf>
    <xf numFmtId="164" fontId="42" fillId="0" borderId="0" xfId="0" applyNumberFormat="1" applyFont="1" applyAlignment="1">
      <alignment horizontal="center" vertical="center" wrapText="1"/>
    </xf>
    <xf numFmtId="0" fontId="49" fillId="43" borderId="15" xfId="0" applyFont="1" applyFill="1" applyBorder="1" applyAlignment="1">
      <alignment horizontal="center" vertical="center" wrapText="1"/>
    </xf>
    <xf numFmtId="164" fontId="51" fillId="0" borderId="0" xfId="1" applyFont="1" applyAlignment="1">
      <alignment horizontal="center" vertical="center" wrapText="1"/>
    </xf>
    <xf numFmtId="8" fontId="0" fillId="0" borderId="0" xfId="0" applyNumberFormat="1"/>
    <xf numFmtId="0" fontId="20" fillId="0" borderId="32" xfId="0" applyFont="1" applyBorder="1" applyAlignment="1">
      <alignment horizontal="center"/>
    </xf>
    <xf numFmtId="0" fontId="20" fillId="0" borderId="33" xfId="0" applyFont="1" applyBorder="1" applyAlignment="1">
      <alignment horizontal="center"/>
    </xf>
    <xf numFmtId="0" fontId="20" fillId="0" borderId="34" xfId="0" applyFont="1" applyBorder="1" applyAlignment="1">
      <alignment horizontal="center"/>
    </xf>
    <xf numFmtId="174" fontId="0" fillId="0" borderId="23" xfId="0" applyNumberFormat="1" applyBorder="1" applyAlignment="1">
      <alignment horizontal="center"/>
    </xf>
    <xf numFmtId="0" fontId="49" fillId="43" borderId="23" xfId="0" applyFont="1" applyFill="1" applyBorder="1" applyAlignment="1">
      <alignment horizontal="center" vertical="center" wrapText="1"/>
    </xf>
    <xf numFmtId="0" fontId="0" fillId="0" borderId="23" xfId="0" applyBorder="1"/>
    <xf numFmtId="0" fontId="0" fillId="0" borderId="16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174" fontId="0" fillId="0" borderId="16" xfId="0" applyNumberFormat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174" fontId="0" fillId="0" borderId="21" xfId="0" applyNumberForma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174" fontId="0" fillId="0" borderId="23" xfId="0" applyNumberForma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52" fillId="0" borderId="23" xfId="0" applyFont="1" applyBorder="1" applyAlignment="1">
      <alignment horizontal="center" vertical="center" wrapText="1"/>
    </xf>
    <xf numFmtId="174" fontId="0" fillId="0" borderId="23" xfId="0" applyNumberFormat="1" applyBorder="1" applyAlignment="1">
      <alignment horizontal="center" vertical="center"/>
    </xf>
    <xf numFmtId="0" fontId="49" fillId="44" borderId="13" xfId="0" applyFont="1" applyFill="1" applyBorder="1" applyAlignment="1">
      <alignment horizontal="center" vertical="center" wrapText="1"/>
    </xf>
    <xf numFmtId="0" fontId="49" fillId="44" borderId="19" xfId="0" applyFont="1" applyFill="1" applyBorder="1" applyAlignment="1">
      <alignment horizontal="center" vertical="center" wrapText="1"/>
    </xf>
    <xf numFmtId="0" fontId="49" fillId="0" borderId="23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49" fillId="43" borderId="23" xfId="0" applyFont="1" applyFill="1" applyBorder="1" applyAlignment="1">
      <alignment horizontal="center" vertical="center"/>
    </xf>
    <xf numFmtId="0" fontId="42" fillId="0" borderId="23" xfId="0" applyFont="1" applyBorder="1"/>
    <xf numFmtId="164" fontId="42" fillId="44" borderId="23" xfId="0" applyNumberFormat="1" applyFont="1" applyFill="1" applyBorder="1" applyAlignment="1">
      <alignment horizontal="center" vertical="center" wrapText="1"/>
    </xf>
    <xf numFmtId="164" fontId="42" fillId="0" borderId="23" xfId="0" applyNumberFormat="1" applyFont="1" applyBorder="1" applyAlignment="1">
      <alignment horizontal="center" vertical="center" wrapText="1"/>
    </xf>
    <xf numFmtId="0" fontId="50" fillId="0" borderId="23" xfId="0" applyFont="1" applyBorder="1"/>
    <xf numFmtId="0" fontId="0" fillId="0" borderId="23" xfId="0" applyBorder="1" applyAlignment="1">
      <alignment wrapText="1"/>
    </xf>
    <xf numFmtId="0" fontId="42" fillId="0" borderId="23" xfId="0" applyFont="1" applyBorder="1" applyAlignment="1">
      <alignment horizontal="center" vertical="center" wrapText="1"/>
    </xf>
    <xf numFmtId="0" fontId="49" fillId="0" borderId="23" xfId="0" applyFont="1" applyBorder="1" applyAlignment="1">
      <alignment vertical="center" wrapText="1"/>
    </xf>
    <xf numFmtId="0" fontId="42" fillId="0" borderId="23" xfId="0" applyFont="1" applyBorder="1" applyAlignment="1">
      <alignment vertical="center" wrapText="1"/>
    </xf>
    <xf numFmtId="0" fontId="42" fillId="0" borderId="33" xfId="0" applyFont="1" applyBorder="1" applyAlignment="1">
      <alignment horizontal="center" vertical="center" wrapText="1"/>
    </xf>
    <xf numFmtId="0" fontId="49" fillId="45" borderId="23" xfId="0" applyFont="1" applyFill="1" applyBorder="1" applyAlignment="1">
      <alignment horizontal="center" vertical="center" wrapText="1"/>
    </xf>
    <xf numFmtId="0" fontId="49" fillId="46" borderId="23" xfId="0" applyFont="1" applyFill="1" applyBorder="1" applyAlignment="1">
      <alignment horizontal="center" vertical="center" wrapText="1"/>
    </xf>
    <xf numFmtId="164" fontId="49" fillId="46" borderId="23" xfId="0" applyNumberFormat="1" applyFont="1" applyFill="1" applyBorder="1" applyAlignment="1">
      <alignment horizontal="center" vertical="center" wrapText="1"/>
    </xf>
    <xf numFmtId="0" fontId="49" fillId="43" borderId="18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/>
    </xf>
    <xf numFmtId="0" fontId="0" fillId="0" borderId="0" xfId="0" applyAlignment="1">
      <alignment horizontal="center"/>
    </xf>
    <xf numFmtId="174" fontId="0" fillId="0" borderId="0" xfId="0" applyNumberForma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8" fontId="0" fillId="0" borderId="21" xfId="0" applyNumberFormat="1" applyBorder="1" applyAlignment="1">
      <alignment horizontal="center" vertical="center" wrapText="1"/>
    </xf>
    <xf numFmtId="8" fontId="0" fillId="0" borderId="23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0" fillId="0" borderId="23" xfId="0" applyFont="1" applyBorder="1" applyAlignment="1">
      <alignment horizontal="center"/>
    </xf>
    <xf numFmtId="8" fontId="20" fillId="0" borderId="23" xfId="0" applyNumberFormat="1" applyFont="1" applyBorder="1" applyAlignment="1">
      <alignment horizontal="center"/>
    </xf>
    <xf numFmtId="0" fontId="0" fillId="0" borderId="23" xfId="0" applyBorder="1" applyAlignment="1">
      <alignment horizontal="right" vertical="center"/>
    </xf>
    <xf numFmtId="0" fontId="0" fillId="0" borderId="27" xfId="0" applyBorder="1" applyAlignment="1">
      <alignment horizontal="center" vertical="center" wrapText="1"/>
    </xf>
    <xf numFmtId="8" fontId="0" fillId="0" borderId="22" xfId="0" applyNumberForma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4" fontId="0" fillId="0" borderId="0" xfId="0" applyNumberFormat="1" applyAlignment="1">
      <alignment horizontal="center" vertical="center"/>
    </xf>
    <xf numFmtId="0" fontId="42" fillId="0" borderId="38" xfId="0" applyFont="1" applyBorder="1" applyAlignment="1">
      <alignment horizontal="center" vertical="center" wrapText="1"/>
    </xf>
    <xf numFmtId="164" fontId="0" fillId="0" borderId="23" xfId="1" applyFont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2" fontId="36" fillId="0" borderId="23" xfId="0" applyNumberFormat="1" applyFont="1" applyBorder="1" applyAlignment="1">
      <alignment horizontal="center" vertical="center" wrapText="1"/>
    </xf>
    <xf numFmtId="174" fontId="42" fillId="0" borderId="23" xfId="0" applyNumberFormat="1" applyFont="1" applyBorder="1"/>
    <xf numFmtId="174" fontId="49" fillId="46" borderId="23" xfId="0" applyNumberFormat="1" applyFont="1" applyFill="1" applyBorder="1" applyAlignment="1">
      <alignment horizontal="center" vertical="center" wrapText="1"/>
    </xf>
    <xf numFmtId="0" fontId="42" fillId="0" borderId="32" xfId="0" applyFont="1" applyBorder="1" applyAlignment="1">
      <alignment horizontal="center" vertical="center" wrapText="1"/>
    </xf>
    <xf numFmtId="0" fontId="42" fillId="0" borderId="35" xfId="0" applyFont="1" applyBorder="1" applyAlignment="1">
      <alignment horizontal="center" vertical="center" wrapText="1"/>
    </xf>
    <xf numFmtId="0" fontId="42" fillId="0" borderId="37" xfId="0" applyFont="1" applyBorder="1" applyAlignment="1">
      <alignment horizontal="center" vertical="center" wrapText="1"/>
    </xf>
    <xf numFmtId="0" fontId="52" fillId="0" borderId="26" xfId="0" applyFont="1" applyBorder="1" applyAlignment="1">
      <alignment horizontal="center" vertical="center" wrapText="1"/>
    </xf>
    <xf numFmtId="0" fontId="72" fillId="0" borderId="0" xfId="0" applyFont="1" applyAlignment="1">
      <alignment vertical="center"/>
    </xf>
    <xf numFmtId="0" fontId="0" fillId="0" borderId="35" xfId="0" applyBorder="1"/>
    <xf numFmtId="174" fontId="0" fillId="0" borderId="36" xfId="0" applyNumberFormat="1" applyBorder="1" applyAlignment="1">
      <alignment horizontal="center"/>
    </xf>
    <xf numFmtId="0" fontId="0" fillId="0" borderId="37" xfId="0" applyBorder="1"/>
    <xf numFmtId="174" fontId="0" fillId="0" borderId="38" xfId="0" applyNumberFormat="1" applyBorder="1" applyAlignment="1">
      <alignment horizontal="center"/>
    </xf>
    <xf numFmtId="0" fontId="73" fillId="0" borderId="0" xfId="0" applyFont="1"/>
    <xf numFmtId="20" fontId="73" fillId="0" borderId="0" xfId="0" applyNumberFormat="1" applyFont="1"/>
    <xf numFmtId="0" fontId="20" fillId="0" borderId="39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8" fontId="76" fillId="0" borderId="29" xfId="0" applyNumberFormat="1" applyFont="1" applyBorder="1" applyAlignment="1">
      <alignment horizontal="center" vertical="center" wrapText="1"/>
    </xf>
    <xf numFmtId="8" fontId="76" fillId="0" borderId="30" xfId="0" applyNumberFormat="1" applyFont="1" applyBorder="1" applyAlignment="1">
      <alignment horizontal="center" vertical="center" wrapText="1"/>
    </xf>
    <xf numFmtId="0" fontId="74" fillId="0" borderId="23" xfId="0" applyFont="1" applyBorder="1" applyAlignment="1">
      <alignment horizontal="center" vertical="center" wrapText="1"/>
    </xf>
    <xf numFmtId="0" fontId="75" fillId="0" borderId="23" xfId="0" applyFont="1" applyBorder="1" applyAlignment="1">
      <alignment wrapText="1"/>
    </xf>
    <xf numFmtId="174" fontId="75" fillId="0" borderId="23" xfId="0" applyNumberFormat="1" applyFont="1" applyBorder="1" applyAlignment="1">
      <alignment horizontal="center" wrapText="1"/>
    </xf>
    <xf numFmtId="0" fontId="75" fillId="0" borderId="23" xfId="0" applyFont="1" applyBorder="1"/>
    <xf numFmtId="174" fontId="75" fillId="0" borderId="23" xfId="0" applyNumberFormat="1" applyFont="1" applyBorder="1" applyAlignment="1">
      <alignment horizontal="center"/>
    </xf>
    <xf numFmtId="17" fontId="0" fillId="0" borderId="0" xfId="0" applyNumberFormat="1" applyAlignment="1">
      <alignment vertical="center" wrapText="1"/>
    </xf>
    <xf numFmtId="20" fontId="0" fillId="0" borderId="0" xfId="0" applyNumberFormat="1" applyAlignment="1">
      <alignment horizontal="center" vertical="center" wrapText="1"/>
    </xf>
    <xf numFmtId="175" fontId="0" fillId="0" borderId="0" xfId="0" applyNumberFormat="1" applyAlignment="1">
      <alignment horizontal="center" vertical="center" wrapText="1"/>
    </xf>
    <xf numFmtId="46" fontId="0" fillId="0" borderId="0" xfId="0" applyNumberFormat="1" applyAlignment="1">
      <alignment horizontal="center" vertical="center" wrapText="1"/>
    </xf>
    <xf numFmtId="175" fontId="0" fillId="0" borderId="23" xfId="0" applyNumberFormat="1" applyBorder="1" applyAlignment="1">
      <alignment horizontal="center" vertical="center" wrapText="1"/>
    </xf>
    <xf numFmtId="20" fontId="0" fillId="0" borderId="23" xfId="0" applyNumberFormat="1" applyBorder="1" applyAlignment="1">
      <alignment horizontal="center" vertical="center" wrapText="1"/>
    </xf>
    <xf numFmtId="17" fontId="0" fillId="0" borderId="23" xfId="0" applyNumberFormat="1" applyBorder="1" applyAlignment="1">
      <alignment vertical="center" wrapText="1"/>
    </xf>
    <xf numFmtId="175" fontId="0" fillId="0" borderId="23" xfId="0" applyNumberFormat="1" applyBorder="1"/>
    <xf numFmtId="2" fontId="0" fillId="0" borderId="23" xfId="0" applyNumberFormat="1" applyBorder="1"/>
    <xf numFmtId="2" fontId="0" fillId="0" borderId="23" xfId="0" applyNumberFormat="1" applyBorder="1" applyAlignment="1">
      <alignment horizontal="center" vertical="center" wrapText="1"/>
    </xf>
    <xf numFmtId="20" fontId="20" fillId="0" borderId="0" xfId="0" applyNumberFormat="1" applyFont="1" applyAlignment="1">
      <alignment horizontal="center" vertical="center" wrapText="1"/>
    </xf>
    <xf numFmtId="174" fontId="0" fillId="0" borderId="0" xfId="0" applyNumberFormat="1"/>
    <xf numFmtId="174" fontId="0" fillId="0" borderId="45" xfId="0" applyNumberFormat="1" applyBorder="1" applyAlignment="1">
      <alignment horizontal="center"/>
    </xf>
    <xf numFmtId="176" fontId="42" fillId="0" borderId="34" xfId="0" applyNumberFormat="1" applyFont="1" applyBorder="1" applyAlignment="1">
      <alignment horizontal="center" vertical="center" wrapText="1"/>
    </xf>
    <xf numFmtId="176" fontId="42" fillId="0" borderId="36" xfId="0" applyNumberFormat="1" applyFont="1" applyBorder="1" applyAlignment="1">
      <alignment horizontal="center" vertical="center" wrapText="1"/>
    </xf>
    <xf numFmtId="176" fontId="42" fillId="0" borderId="45" xfId="0" applyNumberFormat="1" applyFont="1" applyBorder="1" applyAlignment="1">
      <alignment horizontal="center" vertical="center" wrapText="1"/>
    </xf>
    <xf numFmtId="176" fontId="51" fillId="0" borderId="17" xfId="1" applyNumberFormat="1" applyFont="1" applyBorder="1" applyAlignment="1">
      <alignment horizontal="center" vertical="center" wrapText="1"/>
    </xf>
    <xf numFmtId="177" fontId="51" fillId="0" borderId="12" xfId="1" applyNumberFormat="1" applyFont="1" applyBorder="1" applyAlignment="1">
      <alignment horizontal="center" vertical="center" wrapText="1"/>
    </xf>
    <xf numFmtId="0" fontId="49" fillId="43" borderId="12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49" fillId="43" borderId="13" xfId="0" applyFont="1" applyFill="1" applyBorder="1" applyAlignment="1">
      <alignment horizontal="center" vertical="center"/>
    </xf>
    <xf numFmtId="0" fontId="49" fillId="43" borderId="23" xfId="0" applyFont="1" applyFill="1" applyBorder="1" applyAlignment="1">
      <alignment horizontal="center" vertical="center"/>
    </xf>
    <xf numFmtId="0" fontId="49" fillId="45" borderId="23" xfId="0" applyFont="1" applyFill="1" applyBorder="1" applyAlignment="1">
      <alignment horizontal="center" vertical="center" wrapText="1"/>
    </xf>
    <xf numFmtId="0" fontId="42" fillId="0" borderId="23" xfId="0" applyFont="1" applyBorder="1" applyAlignment="1">
      <alignment horizontal="center" vertical="center" wrapText="1"/>
    </xf>
    <xf numFmtId="0" fontId="49" fillId="0" borderId="26" xfId="0" applyFont="1" applyBorder="1" applyAlignment="1">
      <alignment horizontal="center" vertical="center" wrapText="1"/>
    </xf>
    <xf numFmtId="0" fontId="49" fillId="0" borderId="46" xfId="0" applyFont="1" applyBorder="1" applyAlignment="1">
      <alignment horizontal="center" vertical="center" wrapText="1"/>
    </xf>
    <xf numFmtId="0" fontId="49" fillId="0" borderId="27" xfId="0" applyFont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 wrapText="1"/>
    </xf>
    <xf numFmtId="0" fontId="20" fillId="0" borderId="49" xfId="0" applyFont="1" applyBorder="1" applyAlignment="1">
      <alignment horizontal="center" vertical="center" wrapText="1"/>
    </xf>
    <xf numFmtId="0" fontId="20" fillId="0" borderId="5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20" fillId="0" borderId="14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20" fillId="0" borderId="41" xfId="0" applyFont="1" applyBorder="1" applyAlignment="1">
      <alignment horizontal="center" vertical="center" wrapText="1"/>
    </xf>
    <xf numFmtId="17" fontId="0" fillId="0" borderId="25" xfId="0" applyNumberFormat="1" applyBorder="1" applyAlignment="1">
      <alignment horizontal="center" vertical="center" wrapText="1"/>
    </xf>
    <xf numFmtId="17" fontId="0" fillId="0" borderId="42" xfId="0" applyNumberFormat="1" applyBorder="1" applyAlignment="1">
      <alignment horizontal="center" vertical="center" wrapText="1"/>
    </xf>
    <xf numFmtId="17" fontId="0" fillId="0" borderId="43" xfId="0" applyNumberForma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4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52" xfId="0" applyBorder="1" applyAlignment="1">
      <alignment horizontal="center"/>
    </xf>
    <xf numFmtId="0" fontId="20" fillId="0" borderId="36" xfId="0" applyFont="1" applyBorder="1" applyAlignment="1">
      <alignment horizontal="center" vertical="center" wrapText="1"/>
    </xf>
    <xf numFmtId="174" fontId="0" fillId="0" borderId="35" xfId="0" applyNumberFormat="1" applyBorder="1" applyAlignment="1">
      <alignment horizontal="center" vertical="center" wrapText="1"/>
    </xf>
    <xf numFmtId="174" fontId="0" fillId="0" borderId="36" xfId="0" applyNumberFormat="1" applyBorder="1" applyAlignment="1">
      <alignment horizontal="center" vertical="center" wrapText="1"/>
    </xf>
    <xf numFmtId="8" fontId="76" fillId="0" borderId="53" xfId="0" applyNumberFormat="1" applyFont="1" applyBorder="1" applyAlignment="1">
      <alignment horizontal="center" vertical="center" wrapText="1"/>
    </xf>
    <xf numFmtId="0" fontId="0" fillId="0" borderId="0" xfId="0" applyBorder="1" applyAlignment="1"/>
    <xf numFmtId="0" fontId="20" fillId="0" borderId="0" xfId="0" applyFont="1" applyBorder="1" applyAlignment="1">
      <alignment horizontal="center" vertical="center" wrapText="1"/>
    </xf>
    <xf numFmtId="174" fontId="0" fillId="0" borderId="0" xfId="0" applyNumberFormat="1" applyBorder="1" applyAlignment="1">
      <alignment horizontal="center" vertical="center" wrapText="1"/>
    </xf>
    <xf numFmtId="8" fontId="76" fillId="0" borderId="0" xfId="0" applyNumberFormat="1" applyFont="1" applyBorder="1" applyAlignment="1">
      <alignment horizontal="center" vertical="center" wrapText="1"/>
    </xf>
    <xf numFmtId="0" fontId="49" fillId="43" borderId="23" xfId="0" quotePrefix="1" applyFont="1" applyFill="1" applyBorder="1" applyAlignment="1">
      <alignment horizontal="center" vertical="center" wrapText="1"/>
    </xf>
  </cellXfs>
  <cellStyles count="194">
    <cellStyle name="20% - Ênfase1 2" xfId="130" xr:uid="{7E40125B-0F88-41F0-B4F8-C12015506D2A}"/>
    <cellStyle name="20% - Ênfase2 2" xfId="132" xr:uid="{2EAD12C6-02AE-4764-92C6-8E143452170B}"/>
    <cellStyle name="20% - Ênfase3 2" xfId="134" xr:uid="{386D8B95-078E-42EF-840B-F8084867F325}"/>
    <cellStyle name="20% - Ênfase4 2" xfId="136" xr:uid="{D8A97EC5-2715-4D58-A8AA-C625C4633953}"/>
    <cellStyle name="20% - Ênfase5 2" xfId="138" xr:uid="{4A62B41B-A6AD-4608-9DCF-284192D8A646}"/>
    <cellStyle name="20% - Ênfase6 2" xfId="140" xr:uid="{63460B82-3555-4A5F-AA01-CFBEF56BE47B}"/>
    <cellStyle name="40% - Ênfase1 2" xfId="131" xr:uid="{53F6FCA9-8067-4CB4-BE69-CA4157C794F6}"/>
    <cellStyle name="40% - Ênfase2 2" xfId="133" xr:uid="{69B5592A-5F93-4859-A1E3-CB5C6CA305B9}"/>
    <cellStyle name="40% - Ênfase3 2" xfId="135" xr:uid="{58FDDD16-6DAC-4C9D-846D-A06E723642C5}"/>
    <cellStyle name="40% - Ênfase4 2" xfId="137" xr:uid="{0B678B9E-2AD9-451B-8FA0-139D8F20A351}"/>
    <cellStyle name="40% - Ênfase5 2" xfId="139" xr:uid="{70F9F1FD-DDFF-4997-A4F0-76F2F9C23CC3}"/>
    <cellStyle name="40% - Ênfase6 2" xfId="141" xr:uid="{32D5488F-C8FA-4123-B9F4-E91D6C1BE4EE}"/>
    <cellStyle name="60% - Ênfase1 2" xfId="146" xr:uid="{C5414393-A5B0-4F25-9263-5A22D0A4BF83}"/>
    <cellStyle name="60% - Ênfase2 2" xfId="147" xr:uid="{250308C3-7EF4-4323-B61F-0709E042610D}"/>
    <cellStyle name="60% - Ênfase3 2" xfId="148" xr:uid="{4F221017-AE22-42E5-9073-F3169278C748}"/>
    <cellStyle name="60% - Ênfase4 2" xfId="149" xr:uid="{8BA3EC4C-4187-4B48-BDAC-5384D0F88B1B}"/>
    <cellStyle name="60% - Ênfase5 2" xfId="150" xr:uid="{6BB9B16A-4F28-4A89-BD15-577D67F1F40A}"/>
    <cellStyle name="60% - Ênfase6 2" xfId="151" xr:uid="{6F4EC79F-4A85-4F91-807A-CFDFAD3D931F}"/>
    <cellStyle name="Accent" xfId="23" xr:uid="{BCA2C9FB-8907-4B4A-8177-6874DC94C4F7}"/>
    <cellStyle name="Accent 1" xfId="24" xr:uid="{643BD10C-3BC0-4FC9-9FC8-C3EC3EECC1D3}"/>
    <cellStyle name="Accent 1 1" xfId="25" xr:uid="{01C73957-5BCF-4D55-89DD-363FEDA5E59B}"/>
    <cellStyle name="Accent 2" xfId="26" xr:uid="{D1A260BA-C6C2-4616-B019-729DF1156A68}"/>
    <cellStyle name="Accent 2 1" xfId="27" xr:uid="{EE5B36B5-F826-4537-82B7-94B153E4ACC8}"/>
    <cellStyle name="Accent 3" xfId="28" xr:uid="{0A6A647C-7C66-4B88-8A5C-66F7E82261EF}"/>
    <cellStyle name="Accent 3 1" xfId="29" xr:uid="{92822CF6-8142-4816-BBD9-481968E497AE}"/>
    <cellStyle name="Accent 3 2" xfId="114" xr:uid="{87006B4F-A2B2-4491-8F76-CAAB00772402}"/>
    <cellStyle name="Accent 4" xfId="30" xr:uid="{01296DB9-A781-484E-B353-8ABC12ED3AE4}"/>
    <cellStyle name="Accent 5" xfId="113" xr:uid="{F723A7B6-0C43-4F77-A5C9-0802B12796AF}"/>
    <cellStyle name="Bad" xfId="31" xr:uid="{90A79887-6C99-4FE2-AF04-7E8E3ED87852}"/>
    <cellStyle name="Bad 1" xfId="32" xr:uid="{A22A8AC9-C6B7-49B0-A295-703B050C2010}"/>
    <cellStyle name="Bad 2" xfId="115" xr:uid="{D5260E2A-5397-4EF5-8A6E-F2509EF3026F}"/>
    <cellStyle name="Bom" xfId="7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Default" xfId="33" xr:uid="{50EC0377-EA10-416B-A652-4AA99E806EAD}"/>
    <cellStyle name="Ênfase1" xfId="17" builtinId="29" customBuiltin="1"/>
    <cellStyle name="Ênfase2" xfId="18" builtinId="33" customBuiltin="1"/>
    <cellStyle name="Ênfase3" xfId="19" builtinId="37" customBuiltin="1"/>
    <cellStyle name="Ênfase4" xfId="20" builtinId="41" customBuiltin="1"/>
    <cellStyle name="Ênfase5" xfId="21" builtinId="45" customBuiltin="1"/>
    <cellStyle name="Ênfase6" xfId="22" builtinId="49" customBuiltin="1"/>
    <cellStyle name="Entrada" xfId="9" builtinId="20" customBuiltin="1"/>
    <cellStyle name="Error" xfId="34" xr:uid="{73DD764B-E2E0-479E-859C-A90823AFE4AD}"/>
    <cellStyle name="Error 1" xfId="35" xr:uid="{3D23F895-B743-4FDB-9A04-8A5E4CCC82AE}"/>
    <cellStyle name="Error 2" xfId="116" xr:uid="{6EB96627-5E47-4C17-8632-82315E3317B2}"/>
    <cellStyle name="Excel_BuiltIn_Currency" xfId="36" xr:uid="{01E24857-56D7-422F-9188-9A5FCCF74FE6}"/>
    <cellStyle name="Footnote" xfId="37" xr:uid="{EFB48E51-BF73-4586-BC1A-A7E5847AC769}"/>
    <cellStyle name="Footnote 1" xfId="38" xr:uid="{4F49D708-9686-4964-9428-B237F54D5EFB}"/>
    <cellStyle name="Good" xfId="39" xr:uid="{8C7DFE5B-6593-44F1-95AA-F399C603FECA}"/>
    <cellStyle name="Good 1" xfId="40" xr:uid="{31E22C76-3D18-4D3A-966D-06D5DF058357}"/>
    <cellStyle name="Good 2" xfId="117" xr:uid="{9255DD4A-3142-45D3-BF37-F8B5D52AE016}"/>
    <cellStyle name="Heading" xfId="41" xr:uid="{ADCC3EB9-97D6-4359-8728-B110C4DFC3F2}"/>
    <cellStyle name="Heading 1" xfId="42" xr:uid="{3602869E-225C-4FC9-B99C-36927F532D51}"/>
    <cellStyle name="Heading 1 1" xfId="43" xr:uid="{0F729C56-13AE-4FC0-9F3B-E77226E461F8}"/>
    <cellStyle name="Heading 1 2" xfId="119" xr:uid="{888F985C-243D-4BED-A26F-27D007378E28}"/>
    <cellStyle name="Heading 2" xfId="44" xr:uid="{F1102FF3-271E-4996-8A93-6A0348450C17}"/>
    <cellStyle name="Heading 2 1" xfId="45" xr:uid="{1213F5C5-7816-4207-AC97-8464355083ED}"/>
    <cellStyle name="Heading 2 2" xfId="120" xr:uid="{D5C32F04-C2E0-4F33-B666-6C4CB471F48A}"/>
    <cellStyle name="Heading 3" xfId="46" xr:uid="{A58D120A-EDBD-4479-A4EC-522D97A455FC}"/>
    <cellStyle name="Heading 4" xfId="118" xr:uid="{5C53DC92-F976-41C2-941A-E9CEB5826151}"/>
    <cellStyle name="Hyperlink" xfId="47" xr:uid="{0417D922-6C2C-410C-A570-DAC95B8E4961}"/>
    <cellStyle name="Hyperlink 1" xfId="48" xr:uid="{94D15554-F72B-4F17-B8B7-CA3CA807340B}"/>
    <cellStyle name="Hyperlink 2" xfId="121" xr:uid="{93689B1E-E626-4825-A47D-04F67A4C06BB}"/>
    <cellStyle name="Moeda" xfId="1" builtinId="4" customBuiltin="1"/>
    <cellStyle name="Moeda 10" xfId="180" xr:uid="{ED8E7A9D-A911-4226-9A27-7AEAEE6A5FA6}"/>
    <cellStyle name="Moeda 11" xfId="188" xr:uid="{4036B72D-9BFC-493E-8A32-38411F803365}"/>
    <cellStyle name="Moeda 2" xfId="49" xr:uid="{90C0B82A-0CA5-4D5E-9E64-585957FD20B0}"/>
    <cellStyle name="Moeda 2 2" xfId="166" xr:uid="{D9C06E1A-FB7E-43A5-A33C-4DF715687F48}"/>
    <cellStyle name="Moeda 2 3" xfId="90" xr:uid="{EF1384DF-F1DD-486A-91DA-9A2B63917BA7}"/>
    <cellStyle name="Moeda 3" xfId="50" xr:uid="{8E32C5A8-2757-4683-9DE2-521AFA28D470}"/>
    <cellStyle name="Moeda 3 2" xfId="89" xr:uid="{F359BB21-7B0A-457F-AD84-EC6CB889ADF7}"/>
    <cellStyle name="Moeda 4" xfId="51" xr:uid="{A138E0B2-97C6-464B-A0BC-4CAAFAA8B9D6}"/>
    <cellStyle name="Moeda 4 2" xfId="99" xr:uid="{AFC25A25-7F54-4F1C-B974-1510C4955017}"/>
    <cellStyle name="Moeda 4 3" xfId="176" xr:uid="{5AF2DEAF-4C34-4DA6-B475-2316683B9832}"/>
    <cellStyle name="Moeda 5" xfId="52" xr:uid="{6DFCDF65-DA65-4900-94C3-E92204FD7E8F}"/>
    <cellStyle name="Moeda 5 2" xfId="95" xr:uid="{78FE9264-6BD3-46EF-BE31-4667701A0D83}"/>
    <cellStyle name="Moeda 6" xfId="53" xr:uid="{DC6E6C37-5276-44C7-B7F6-2FF15FD6D83C}"/>
    <cellStyle name="Moeda 6 2" xfId="108" xr:uid="{F701BB6E-C7BA-4D5F-A9F0-41081BC37A77}"/>
    <cellStyle name="Moeda 6 2 2" xfId="171" xr:uid="{006E98D9-3D47-4289-AA9D-F23B6A683B2E}"/>
    <cellStyle name="Moeda 6 2 2 2" xfId="184" xr:uid="{0DBABE6C-F1FB-4EE4-8AE9-46A11430BEEF}"/>
    <cellStyle name="Moeda 6 2 2 3" xfId="192" xr:uid="{410CD04B-912D-4305-B7F4-DB1ACD79F784}"/>
    <cellStyle name="Moeda 7" xfId="54" xr:uid="{AF4C122C-DBCE-46E4-B79D-DA4625B378CC}"/>
    <cellStyle name="Moeda 7 2" xfId="112" xr:uid="{1A45106D-6801-4F99-8A47-4749226022E9}"/>
    <cellStyle name="Moeda 8" xfId="158" xr:uid="{7C14506E-4940-428A-B836-EA053B29826A}"/>
    <cellStyle name="Moeda 9" xfId="87" xr:uid="{0C7E723C-52EF-4C2D-9111-402D331D7549}"/>
    <cellStyle name="Neutral" xfId="55" xr:uid="{C05E8E06-065D-4671-878F-7ADC76DD37B2}"/>
    <cellStyle name="Neutral 1" xfId="56" xr:uid="{E52E9C09-8075-49B5-B153-8A74E66651DA}"/>
    <cellStyle name="Neutral 2" xfId="122" xr:uid="{BED0CCEE-5AF0-423B-A87E-89FBFB6BD955}"/>
    <cellStyle name="Neutro 2" xfId="145" xr:uid="{EBF2773C-8C8A-4160-83DA-F0EF749D20F4}"/>
    <cellStyle name="Normal" xfId="0" builtinId="0" customBuiltin="1"/>
    <cellStyle name="Normal 10" xfId="172" xr:uid="{098FD126-62E0-4C34-8175-4E7B093033AF}"/>
    <cellStyle name="Normal 2" xfId="57" xr:uid="{94380184-D171-4016-9C1E-863F33D322AA}"/>
    <cellStyle name="Normal 2 2" xfId="58" xr:uid="{66225047-2974-46AA-B4A7-D37495A39D76}"/>
    <cellStyle name="Normal 2 2 2" xfId="163" xr:uid="{460D7AE7-C6AF-429D-BF61-C26EC7FC9058}"/>
    <cellStyle name="Normal 2 2 3" xfId="93" xr:uid="{916EB853-A22F-495C-BF00-FD751B8705DC}"/>
    <cellStyle name="Normal 2 3" xfId="153" xr:uid="{81140EA8-2F7C-4105-95B3-1C9C715164DF}"/>
    <cellStyle name="Normal 2 4" xfId="164" xr:uid="{5E37EF76-5198-452A-9B81-B006D33A8B22}"/>
    <cellStyle name="Normal 2 4 2 3" xfId="173" xr:uid="{611940F7-1F77-4D6B-828A-BD26CE82D930}"/>
    <cellStyle name="Normal 2 4 2 3 2" xfId="185" xr:uid="{830D2523-7658-4FBF-9CAA-0AAC3C1A751B}"/>
    <cellStyle name="Normal 2 4 2 3 3" xfId="193" xr:uid="{1D2E0BE4-AB78-4F05-884A-008762CDB791}"/>
    <cellStyle name="Normal 2 5" xfId="88" xr:uid="{D8B28CFD-0DB1-4C80-9743-DCBF02155261}"/>
    <cellStyle name="Normal 3" xfId="59" xr:uid="{3F9A5425-E5DF-4138-ABE2-E3E210A417F4}"/>
    <cellStyle name="Normal 3 2" xfId="97" xr:uid="{F6BFFA99-6B3E-4DF3-8B6F-157481EE8771}"/>
    <cellStyle name="Normal 4" xfId="60" xr:uid="{BFB061FD-A567-4E7D-9D1F-E2B0D79EE6B0}"/>
    <cellStyle name="Normal 4 2" xfId="61" xr:uid="{4147B4B3-739A-4AB1-B6BF-F8D117683099}"/>
    <cellStyle name="Normal 4 2 2" xfId="123" xr:uid="{4881B855-00DC-434F-B27F-1AC6DC7D4042}"/>
    <cellStyle name="Normal 4 3" xfId="160" xr:uid="{02CAEE52-56F2-4CFA-B12C-BF47FD4B9F27}"/>
    <cellStyle name="Normal 4 4" xfId="98" xr:uid="{8FBEE2F7-346B-4A72-904E-1D1EC290ABFC}"/>
    <cellStyle name="Normal 41 2" xfId="169" xr:uid="{F56AEB01-5904-4777-BDED-EAD174CC2BC1}"/>
    <cellStyle name="Normal 5" xfId="62" xr:uid="{083DFFDA-52C6-4910-8968-808C35DC7508}"/>
    <cellStyle name="Normal 5 2" xfId="124" xr:uid="{06A0118D-77C8-4C9F-A929-D6A9DCF0C1D6}"/>
    <cellStyle name="Normal 5 2 2" xfId="168" xr:uid="{A7E36AF9-0A06-47AC-BA50-3A7379EF93AE}"/>
    <cellStyle name="Normal 5 2 2 2" xfId="182" xr:uid="{82D9FFD8-114E-4D6E-BB35-306B6D2D783C}"/>
    <cellStyle name="Normal 5 2 2 3" xfId="190" xr:uid="{CE657E98-DCE1-438F-98D4-69792DB9073E}"/>
    <cellStyle name="Normal 6" xfId="63" xr:uid="{55B48587-E790-4A2C-9A47-D1FC70B5A345}"/>
    <cellStyle name="Normal 6 2" xfId="161" xr:uid="{A3E112E6-EF28-413C-A6B3-E04A0971C2F4}"/>
    <cellStyle name="Normal 6 3" xfId="159" xr:uid="{56D81287-6437-4F25-983D-339D2EE3DCF9}"/>
    <cellStyle name="Normal 6 4" xfId="111" xr:uid="{16FDB663-9420-4049-ABB7-EEDF25F0E783}"/>
    <cellStyle name="Normal 7" xfId="86" xr:uid="{3954E03B-C384-413D-A2F1-B7E251C29189}"/>
    <cellStyle name="Normal 8" xfId="178" xr:uid="{B5CB33EC-5E2E-45E4-A3ED-2DEF29A5071B}"/>
    <cellStyle name="Normal 9" xfId="186" xr:uid="{42574AF0-D484-4947-BE14-41D218871DEA}"/>
    <cellStyle name="Nota 2" xfId="129" xr:uid="{AE6E97CA-D282-49BF-BC84-9AC662827C1D}"/>
    <cellStyle name="Note" xfId="64" xr:uid="{B06CB33B-D8AE-4299-B92A-825180041DB0}"/>
    <cellStyle name="Note 1" xfId="65" xr:uid="{776F17FC-2356-4AF1-97D4-5CE9464BD439}"/>
    <cellStyle name="Porcentagem 2" xfId="66" xr:uid="{E3568E7C-7550-40CA-8EA5-9FCEE139F12E}"/>
    <cellStyle name="Porcentagem 2 2" xfId="165" xr:uid="{A3374F2E-BCBE-455A-9AD1-77B34D1B4DA2}"/>
    <cellStyle name="Porcentagem 2 3" xfId="96" xr:uid="{13333CD2-4CF8-482E-8FC0-D0823BF59EA2}"/>
    <cellStyle name="Porcentagem 2 4" xfId="170" xr:uid="{A99D01E4-D872-4392-B14B-5B5B88F5FBBC}"/>
    <cellStyle name="Porcentagem 2 4 2" xfId="183" xr:uid="{9A29B98E-0E2C-47A7-9C01-980207345B62}"/>
    <cellStyle name="Porcentagem 2 4 3" xfId="191" xr:uid="{85AC5808-B0E8-477C-82C8-0F7DF7FCF49A}"/>
    <cellStyle name="Porcentagem 2 5" xfId="174" xr:uid="{37468857-5FCC-4BEE-AF28-D35C9B142AA2}"/>
    <cellStyle name="Porcentagem 3" xfId="67" xr:uid="{C5CC9C30-F958-488F-803C-911C223A96F5}"/>
    <cellStyle name="Porcentagem 3 2" xfId="162" xr:uid="{0568E30A-4AC8-454D-834D-CDA9B6069BE6}"/>
    <cellStyle name="Porcentagem 3 3" xfId="100" xr:uid="{90885E8D-4454-4452-AFC5-1BBB01098EAD}"/>
    <cellStyle name="Porcentagem 4" xfId="68" xr:uid="{20835781-0061-4DF3-94B8-392E04197F5B}"/>
    <cellStyle name="Porcentagem 4 2" xfId="109" xr:uid="{CDF9A09B-4754-4A82-AA71-FA455CE03141}"/>
    <cellStyle name="Porcentagem 4 3" xfId="175" xr:uid="{5B2C80F7-C779-4F38-9E80-C38672734F0C}"/>
    <cellStyle name="Porcentagem 5" xfId="102" xr:uid="{CAB03F1B-C807-4438-99D2-6F5B516A0B93}"/>
    <cellStyle name="Porcentagem 6" xfId="181" xr:uid="{526A821C-85F8-48D6-B241-616893F3C7DF}"/>
    <cellStyle name="Porcentagem 7" xfId="189" xr:uid="{F8510189-A4A7-4525-B995-58DD1A8165B8}"/>
    <cellStyle name="Result" xfId="69" xr:uid="{5C9AA1F7-2554-4D88-A496-37CF8049CAC5}"/>
    <cellStyle name="Result 1" xfId="70" xr:uid="{085738D7-7EA5-42DD-B061-0D10DD742537}"/>
    <cellStyle name="Result 2" xfId="125" xr:uid="{CF9A15D0-F4DD-4B95-B670-CBCDBB44D18C}"/>
    <cellStyle name="Ruim" xfId="8" builtinId="27" customBuiltin="1"/>
    <cellStyle name="Saída" xfId="10" builtinId="21" customBuiltin="1"/>
    <cellStyle name="Separador de milhares 3" xfId="177" xr:uid="{BC15E67F-C3CB-44E3-8627-3502D027663A}"/>
    <cellStyle name="Status" xfId="71" xr:uid="{C6B03742-17C7-48CA-A099-9FA5C4936BEF}"/>
    <cellStyle name="Status 1" xfId="72" xr:uid="{417EBEE8-4B9B-43B5-930C-C8A1DB4EACA9}"/>
    <cellStyle name="Status 2" xfId="126" xr:uid="{B1D0FE36-4BD7-4254-8EB6-3D90C84B8C38}"/>
    <cellStyle name="style1672160922653" xfId="73" xr:uid="{7CC15F9B-0A37-4819-8693-3587866EEE96}"/>
    <cellStyle name="style1672160922653 2" xfId="103" xr:uid="{BB53C47C-F185-486C-BC38-869BDC750687}"/>
    <cellStyle name="style1672160922793" xfId="74" xr:uid="{5DB96A73-88B9-4C61-BB48-8988F927243C}"/>
    <cellStyle name="style1672160922793 2" xfId="104" xr:uid="{3EF57628-941D-42D2-9175-095F9E574F51}"/>
    <cellStyle name="style1672160922903" xfId="75" xr:uid="{457206BB-E9CC-4A3A-8C6D-71DF2FE586E0}"/>
    <cellStyle name="style1672160922903 2" xfId="105" xr:uid="{AEFB1484-6F95-424D-B42B-D8E1027AA169}"/>
    <cellStyle name="style1672160923012" xfId="76" xr:uid="{7B9DB019-AECD-4FB4-8DDB-C97B4A723065}"/>
    <cellStyle name="style1672160923012 2" xfId="106" xr:uid="{83AED035-6780-47EB-9DFB-15EF6E723A64}"/>
    <cellStyle name="style1672160923121" xfId="77" xr:uid="{C456BEB2-A561-43FD-9CEC-374D90007FF2}"/>
    <cellStyle name="style1672160923121 2" xfId="107" xr:uid="{454A2379-D5BD-49C6-A05A-6B4EBDC1B4E9}"/>
    <cellStyle name="Text" xfId="79" xr:uid="{A53F40F9-77F0-4FA3-84B3-553A64EAF8F8}"/>
    <cellStyle name="Text 1" xfId="80" xr:uid="{88BF4462-EA48-40C2-BED5-5D7D361440E4}"/>
    <cellStyle name="Text 2" xfId="127" xr:uid="{ACA7865C-98F4-435A-991B-8BE5EA41A5AB}"/>
    <cellStyle name="Texto de Aviso" xfId="14" builtinId="11" customBuiltin="1"/>
    <cellStyle name="Texto Explicativo" xfId="15" builtinId="53" customBuiltin="1"/>
    <cellStyle name="Título" xfId="2" builtinId="15" customBuiltin="1"/>
    <cellStyle name="Título 1" xfId="3" builtinId="16" customBuiltin="1"/>
    <cellStyle name="Título 1 1" xfId="78" xr:uid="{F687AA37-81B2-4324-BA41-BEA5F368AA98}"/>
    <cellStyle name="Título 1 1 2" xfId="110" xr:uid="{FA160FBD-FF02-4B14-A70B-1FD197FE6854}"/>
    <cellStyle name="Título 2" xfId="4" builtinId="17" customBuiltin="1"/>
    <cellStyle name="Título 3" xfId="5" builtinId="18" customBuiltin="1"/>
    <cellStyle name="Título 4" xfId="6" builtinId="19" customBuiltin="1"/>
    <cellStyle name="Total" xfId="16" builtinId="25" customBuiltin="1"/>
    <cellStyle name="Vírgula 10" xfId="179" xr:uid="{ED3DA1C7-EBA2-4398-A1A6-66DE24603523}"/>
    <cellStyle name="Vírgula 11" xfId="187" xr:uid="{A48FC5ED-2E60-4865-9CE8-892DE6D99D75}"/>
    <cellStyle name="Vírgula 2" xfId="81" xr:uid="{9D6EF1DE-9A8A-4C64-AC1D-E195175858A3}"/>
    <cellStyle name="Vírgula 2 2" xfId="92" xr:uid="{2338180B-E3DA-4EF0-B556-B49F2291DBDA}"/>
    <cellStyle name="Vírgula 2 4" xfId="82" xr:uid="{97C5174A-C96E-491E-8564-D15AE4662FE6}"/>
    <cellStyle name="Vírgula 2 4 2" xfId="94" xr:uid="{C72293B0-1A28-4544-A27F-9C5AB50F09DF}"/>
    <cellStyle name="Vírgula 3" xfId="83" xr:uid="{38E19AE3-D5A3-433B-A2BE-33082E939A7B}"/>
    <cellStyle name="Vírgula 3 2" xfId="156" xr:uid="{55075C45-B205-4F75-A485-D47AB9D88E76}"/>
    <cellStyle name="Vírgula 3 3" xfId="144" xr:uid="{AECB0F37-4249-475A-B5D4-32225047235D}"/>
    <cellStyle name="Vírgula 3 4" xfId="91" xr:uid="{4A4943ED-5627-4672-A323-08C3872659C2}"/>
    <cellStyle name="Vírgula 4" xfId="143" xr:uid="{BDA89DE8-2164-4B09-9715-EC37DEC35472}"/>
    <cellStyle name="Vírgula 4 2" xfId="155" xr:uid="{2F691A12-D857-4954-B483-4EABBE419CC2}"/>
    <cellStyle name="Vírgula 5" xfId="152" xr:uid="{E0E3647E-0C9F-4B4F-8262-3C8A5347AE02}"/>
    <cellStyle name="Vírgula 5 2" xfId="157" xr:uid="{BFF727C5-D3B8-4DCD-9B1F-CCCDF2A9D5CA}"/>
    <cellStyle name="Vírgula 6" xfId="154" xr:uid="{58866FEF-C31F-4082-A670-F77C53E735E0}"/>
    <cellStyle name="Vírgula 7" xfId="167" xr:uid="{2A703B25-F38E-4C7A-85A7-EA6E02411ACA}"/>
    <cellStyle name="Vírgula 8" xfId="142" xr:uid="{01ABB0D6-6B49-4393-8CDD-CE185192C92B}"/>
    <cellStyle name="Vírgula 9" xfId="101" xr:uid="{37470BFD-7F6A-4572-8CB7-AF1303FA4306}"/>
    <cellStyle name="Warning" xfId="84" xr:uid="{18B3D2ED-FDA3-4E3E-8C38-DD46E9052FAC}"/>
    <cellStyle name="Warning 1" xfId="85" xr:uid="{DF861AEE-DC29-46C3-B1CD-3A78C76E6F7D}"/>
    <cellStyle name="Warning 2" xfId="128" xr:uid="{CB5B6574-F27D-4C8D-8C56-1ED2DC8FC2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08283-23EC-4648-B4C8-71A39879CCE5}">
  <dimension ref="A1:L44"/>
  <sheetViews>
    <sheetView tabSelected="1" topLeftCell="B1" zoomScale="70" zoomScaleNormal="70" workbookViewId="0">
      <selection activeCell="D36" sqref="D36"/>
    </sheetView>
  </sheetViews>
  <sheetFormatPr defaultColWidth="8.7109375" defaultRowHeight="12.75" x14ac:dyDescent="0.2"/>
  <cols>
    <col min="1" max="1" width="13.28515625" style="1" customWidth="1"/>
    <col min="2" max="2" width="45.7109375" style="1" customWidth="1"/>
    <col min="3" max="3" width="65.7109375" style="1" customWidth="1"/>
    <col min="4" max="4" width="18.7109375" style="1" customWidth="1"/>
    <col min="5" max="5" width="14.28515625" style="4" customWidth="1"/>
    <col min="6" max="6" width="14.28515625" style="1" bestFit="1" customWidth="1"/>
    <col min="7" max="7" width="23.28515625" style="1" bestFit="1" customWidth="1"/>
    <col min="8" max="8" width="21.28515625" style="1" bestFit="1" customWidth="1"/>
    <col min="9" max="9" width="13.28515625" style="1" bestFit="1" customWidth="1"/>
    <col min="10" max="10" width="9.28515625" style="1" bestFit="1" customWidth="1"/>
    <col min="11" max="12" width="18.7109375" style="1" bestFit="1" customWidth="1"/>
    <col min="13" max="13" width="8.7109375" style="1" customWidth="1"/>
    <col min="14" max="16384" width="8.7109375" style="1"/>
  </cols>
  <sheetData>
    <row r="1" spans="1:12" x14ac:dyDescent="0.2">
      <c r="A1" s="109" t="s">
        <v>0</v>
      </c>
      <c r="B1" s="109"/>
      <c r="C1" s="109"/>
      <c r="D1" s="109"/>
      <c r="E1" s="109"/>
      <c r="F1" s="109"/>
      <c r="G1" s="109"/>
      <c r="H1" s="109"/>
    </row>
    <row r="2" spans="1:12" ht="13.15" customHeight="1" x14ac:dyDescent="0.2">
      <c r="A2" s="113" t="s">
        <v>86</v>
      </c>
      <c r="B2" s="27"/>
      <c r="C2" s="110" t="s">
        <v>1</v>
      </c>
      <c r="D2" s="110"/>
      <c r="E2" s="110"/>
      <c r="F2" s="110"/>
      <c r="G2" s="29"/>
      <c r="H2" s="29"/>
      <c r="I2" s="30"/>
      <c r="J2" s="30"/>
      <c r="K2" s="30"/>
      <c r="L2" s="30"/>
    </row>
    <row r="3" spans="1:12" ht="25.5" x14ac:dyDescent="0.2">
      <c r="A3" s="114"/>
      <c r="B3" s="145" t="s">
        <v>108</v>
      </c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30"/>
      <c r="K3" s="13" t="s">
        <v>9</v>
      </c>
      <c r="L3" s="13" t="s">
        <v>84</v>
      </c>
    </row>
    <row r="4" spans="1:12" customFormat="1" ht="15.75" x14ac:dyDescent="0.2">
      <c r="A4" s="114"/>
      <c r="B4" s="112" t="s">
        <v>85</v>
      </c>
      <c r="C4" s="18" t="s">
        <v>10</v>
      </c>
      <c r="D4" s="60">
        <v>3890.77</v>
      </c>
      <c r="E4" s="61">
        <v>2.25</v>
      </c>
      <c r="F4" s="62">
        <v>2</v>
      </c>
      <c r="G4" s="31">
        <f t="shared" ref="G4" si="0">IFERROR((D4*E4),"")</f>
        <v>8754.2325000000001</v>
      </c>
      <c r="H4" s="32">
        <f t="shared" ref="H4" si="1">IFERROR((G4*F4),"")</f>
        <v>17508.465</v>
      </c>
      <c r="I4" s="14"/>
      <c r="J4" s="33"/>
      <c r="K4" s="63">
        <f t="shared" ref="K4" si="2">H4*12</f>
        <v>210101.58000000002</v>
      </c>
      <c r="L4" s="63">
        <f t="shared" ref="L4:L24" si="3">H4*24</f>
        <v>420203.16000000003</v>
      </c>
    </row>
    <row r="5" spans="1:12" customFormat="1" ht="15.75" x14ac:dyDescent="0.2">
      <c r="A5" s="114"/>
      <c r="B5" s="112"/>
      <c r="C5" s="18" t="s">
        <v>11</v>
      </c>
      <c r="D5" s="60">
        <v>5433.33</v>
      </c>
      <c r="E5" s="61">
        <v>2.15</v>
      </c>
      <c r="F5" s="62">
        <v>1</v>
      </c>
      <c r="G5" s="31">
        <f>IFERROR((D5*E5),"")</f>
        <v>11681.6595</v>
      </c>
      <c r="H5" s="32">
        <f>IFERROR((G5*F5),"")</f>
        <v>11681.6595</v>
      </c>
      <c r="I5" s="14"/>
      <c r="J5" s="33"/>
      <c r="K5" s="63">
        <f>H5*12</f>
        <v>140179.91399999999</v>
      </c>
      <c r="L5" s="63">
        <f t="shared" si="3"/>
        <v>280359.82799999998</v>
      </c>
    </row>
    <row r="6" spans="1:12" customFormat="1" ht="15.75" x14ac:dyDescent="0.2">
      <c r="A6" s="114"/>
      <c r="B6" s="112"/>
      <c r="C6" s="18" t="s">
        <v>64</v>
      </c>
      <c r="D6" s="60">
        <v>8675.61</v>
      </c>
      <c r="E6" s="61">
        <v>2.06</v>
      </c>
      <c r="F6" s="62">
        <v>1</v>
      </c>
      <c r="G6" s="31">
        <f>IFERROR((D6*E6),"")</f>
        <v>17871.756600000001</v>
      </c>
      <c r="H6" s="32">
        <f>IFERROR((G6*F6),"")</f>
        <v>17871.756600000001</v>
      </c>
      <c r="I6" s="14"/>
      <c r="J6" s="33"/>
      <c r="K6" s="63">
        <f>H6*12</f>
        <v>214461.07920000001</v>
      </c>
      <c r="L6" s="63">
        <f t="shared" si="3"/>
        <v>428922.15840000001</v>
      </c>
    </row>
    <row r="7" spans="1:12" customFormat="1" ht="15.75" x14ac:dyDescent="0.2">
      <c r="A7" s="114"/>
      <c r="B7" s="112" t="s">
        <v>59</v>
      </c>
      <c r="C7" s="18" t="s">
        <v>11</v>
      </c>
      <c r="D7" s="60">
        <v>5433.33</v>
      </c>
      <c r="E7" s="61">
        <v>2.25</v>
      </c>
      <c r="F7" s="62">
        <v>3</v>
      </c>
      <c r="G7" s="31">
        <f t="shared" ref="G7:G13" si="4">IFERROR((D7*E7),"")</f>
        <v>12224.9925</v>
      </c>
      <c r="H7" s="32">
        <f t="shared" ref="H7:H13" si="5">IFERROR((G7*F7),"")</f>
        <v>36674.977500000001</v>
      </c>
      <c r="I7" s="14"/>
      <c r="J7" s="33"/>
      <c r="K7" s="63">
        <f t="shared" ref="K7:K13" si="6">H7*12</f>
        <v>440099.73</v>
      </c>
      <c r="L7" s="63">
        <f t="shared" si="3"/>
        <v>880199.46</v>
      </c>
    </row>
    <row r="8" spans="1:12" customFormat="1" ht="15.75" x14ac:dyDescent="0.2">
      <c r="A8" s="114"/>
      <c r="B8" s="112"/>
      <c r="C8" s="18" t="s">
        <v>64</v>
      </c>
      <c r="D8" s="60">
        <v>8675.61</v>
      </c>
      <c r="E8" s="61">
        <v>2.15</v>
      </c>
      <c r="F8" s="62">
        <v>1</v>
      </c>
      <c r="G8" s="31">
        <f t="shared" si="4"/>
        <v>18652.5615</v>
      </c>
      <c r="H8" s="32">
        <f t="shared" si="5"/>
        <v>18652.5615</v>
      </c>
      <c r="I8" s="14"/>
      <c r="J8" s="33"/>
      <c r="K8" s="63">
        <f t="shared" si="6"/>
        <v>223830.73800000001</v>
      </c>
      <c r="L8" s="63">
        <f t="shared" si="3"/>
        <v>447661.47600000002</v>
      </c>
    </row>
    <row r="9" spans="1:12" customFormat="1" ht="15.75" x14ac:dyDescent="0.2">
      <c r="A9" s="114"/>
      <c r="B9" s="112" t="s">
        <v>60</v>
      </c>
      <c r="C9" s="18" t="s">
        <v>23</v>
      </c>
      <c r="D9" s="60">
        <v>6589.79</v>
      </c>
      <c r="E9" s="61">
        <v>2.11</v>
      </c>
      <c r="F9" s="62">
        <v>1</v>
      </c>
      <c r="G9" s="31">
        <f t="shared" si="4"/>
        <v>13904.456899999999</v>
      </c>
      <c r="H9" s="32">
        <f t="shared" si="5"/>
        <v>13904.456899999999</v>
      </c>
      <c r="I9" s="14"/>
      <c r="J9" s="34"/>
      <c r="K9" s="63">
        <f t="shared" si="6"/>
        <v>166853.4828</v>
      </c>
      <c r="L9" s="63">
        <f t="shared" si="3"/>
        <v>333706.9656</v>
      </c>
    </row>
    <row r="10" spans="1:12" customFormat="1" ht="15.75" x14ac:dyDescent="0.2">
      <c r="A10" s="114"/>
      <c r="B10" s="112"/>
      <c r="C10" s="18" t="s">
        <v>65</v>
      </c>
      <c r="D10" s="60">
        <v>10109.23</v>
      </c>
      <c r="E10" s="61">
        <v>2.0299999999999998</v>
      </c>
      <c r="F10" s="62">
        <v>1</v>
      </c>
      <c r="G10" s="31">
        <f t="shared" si="4"/>
        <v>20521.736899999996</v>
      </c>
      <c r="H10" s="32">
        <f t="shared" si="5"/>
        <v>20521.736899999996</v>
      </c>
      <c r="I10" s="14"/>
      <c r="J10" s="34"/>
      <c r="K10" s="63">
        <f t="shared" si="6"/>
        <v>246260.84279999995</v>
      </c>
      <c r="L10" s="63">
        <f t="shared" si="3"/>
        <v>492521.68559999991</v>
      </c>
    </row>
    <row r="11" spans="1:12" customFormat="1" ht="15.75" x14ac:dyDescent="0.2">
      <c r="A11" s="114"/>
      <c r="B11" s="112"/>
      <c r="C11" s="18" t="s">
        <v>12</v>
      </c>
      <c r="D11" s="60">
        <v>9008.23</v>
      </c>
      <c r="E11" s="61">
        <v>2.0499999999999998</v>
      </c>
      <c r="F11" s="62">
        <v>2</v>
      </c>
      <c r="G11" s="31">
        <f t="shared" si="4"/>
        <v>18466.871499999997</v>
      </c>
      <c r="H11" s="32">
        <f t="shared" si="5"/>
        <v>36933.742999999995</v>
      </c>
      <c r="I11" s="14"/>
      <c r="J11" s="34"/>
      <c r="K11" s="63">
        <f t="shared" si="6"/>
        <v>443204.91599999997</v>
      </c>
      <c r="L11" s="63">
        <f t="shared" si="3"/>
        <v>886409.83199999994</v>
      </c>
    </row>
    <row r="12" spans="1:12" customFormat="1" ht="15.75" x14ac:dyDescent="0.2">
      <c r="A12" s="114"/>
      <c r="B12" s="112"/>
      <c r="C12" s="18" t="s">
        <v>66</v>
      </c>
      <c r="D12" s="60">
        <v>6894.28</v>
      </c>
      <c r="E12" s="61">
        <v>2.1</v>
      </c>
      <c r="F12" s="62">
        <v>1</v>
      </c>
      <c r="G12" s="31">
        <f t="shared" si="4"/>
        <v>14477.987999999999</v>
      </c>
      <c r="H12" s="32">
        <f t="shared" si="5"/>
        <v>14477.987999999999</v>
      </c>
      <c r="I12" s="14"/>
      <c r="J12" s="34"/>
      <c r="K12" s="63">
        <f t="shared" si="6"/>
        <v>173735.856</v>
      </c>
      <c r="L12" s="63">
        <f t="shared" si="3"/>
        <v>347471.712</v>
      </c>
    </row>
    <row r="13" spans="1:12" customFormat="1" ht="15.75" x14ac:dyDescent="0.2">
      <c r="A13" s="114"/>
      <c r="B13" s="112"/>
      <c r="C13" s="18" t="s">
        <v>22</v>
      </c>
      <c r="D13" s="60">
        <v>11112.49</v>
      </c>
      <c r="E13" s="61">
        <v>2.02</v>
      </c>
      <c r="F13" s="62">
        <v>1</v>
      </c>
      <c r="G13" s="31">
        <f t="shared" si="4"/>
        <v>22447.229800000001</v>
      </c>
      <c r="H13" s="32">
        <f t="shared" si="5"/>
        <v>22447.229800000001</v>
      </c>
      <c r="I13" s="14"/>
      <c r="J13" s="14"/>
      <c r="K13" s="63">
        <f t="shared" si="6"/>
        <v>269366.75760000001</v>
      </c>
      <c r="L13" s="63">
        <f t="shared" si="3"/>
        <v>538733.51520000002</v>
      </c>
    </row>
    <row r="14" spans="1:12" customFormat="1" ht="15.75" x14ac:dyDescent="0.2">
      <c r="A14" s="114"/>
      <c r="B14" s="112" t="s">
        <v>20</v>
      </c>
      <c r="C14" s="18" t="s">
        <v>67</v>
      </c>
      <c r="D14" s="60">
        <v>7597.66</v>
      </c>
      <c r="E14" s="61">
        <v>2.08</v>
      </c>
      <c r="F14" s="62">
        <v>1</v>
      </c>
      <c r="G14" s="31">
        <f t="shared" ref="G14:G24" si="7">IFERROR((D14*E14),"")</f>
        <v>15803.132799999999</v>
      </c>
      <c r="H14" s="32">
        <f t="shared" ref="H14:H24" si="8">IFERROR((G14*F14),"")</f>
        <v>15803.132799999999</v>
      </c>
      <c r="I14" s="14"/>
      <c r="J14" s="14"/>
      <c r="K14" s="63">
        <f t="shared" ref="K14:K24" si="9">H14*12</f>
        <v>189637.59359999999</v>
      </c>
      <c r="L14" s="63">
        <f t="shared" si="3"/>
        <v>379275.18719999999</v>
      </c>
    </row>
    <row r="15" spans="1:12" customFormat="1" ht="15.75" x14ac:dyDescent="0.2">
      <c r="A15" s="114"/>
      <c r="B15" s="112"/>
      <c r="C15" s="18" t="s">
        <v>68</v>
      </c>
      <c r="D15" s="60">
        <v>10750</v>
      </c>
      <c r="E15" s="61">
        <v>2.0299999999999998</v>
      </c>
      <c r="F15" s="62">
        <v>1</v>
      </c>
      <c r="G15" s="31">
        <f t="shared" si="7"/>
        <v>21822.499999999996</v>
      </c>
      <c r="H15" s="32">
        <f t="shared" si="8"/>
        <v>21822.499999999996</v>
      </c>
      <c r="I15" s="14"/>
      <c r="J15" s="14"/>
      <c r="K15" s="63">
        <f t="shared" si="9"/>
        <v>261869.99999999994</v>
      </c>
      <c r="L15" s="63">
        <f t="shared" si="3"/>
        <v>523739.99999999988</v>
      </c>
    </row>
    <row r="16" spans="1:12" customFormat="1" ht="15.75" x14ac:dyDescent="0.2">
      <c r="A16" s="114"/>
      <c r="B16" s="112" t="s">
        <v>61</v>
      </c>
      <c r="C16" s="18" t="s">
        <v>69</v>
      </c>
      <c r="D16" s="60">
        <v>7168</v>
      </c>
      <c r="E16" s="61">
        <v>2.09</v>
      </c>
      <c r="F16" s="62">
        <v>4</v>
      </c>
      <c r="G16" s="31">
        <f t="shared" si="7"/>
        <v>14981.119999999999</v>
      </c>
      <c r="H16" s="32">
        <f t="shared" si="8"/>
        <v>59924.479999999996</v>
      </c>
      <c r="I16" s="14"/>
      <c r="J16" s="14"/>
      <c r="K16" s="63">
        <f t="shared" si="9"/>
        <v>719093.76000000001</v>
      </c>
      <c r="L16" s="63">
        <f t="shared" si="3"/>
        <v>1438187.52</v>
      </c>
    </row>
    <row r="17" spans="1:12" customFormat="1" ht="15.75" x14ac:dyDescent="0.2">
      <c r="A17" s="114"/>
      <c r="B17" s="112"/>
      <c r="C17" s="18" t="s">
        <v>70</v>
      </c>
      <c r="D17" s="60">
        <v>9997.48</v>
      </c>
      <c r="E17" s="61">
        <v>2.04</v>
      </c>
      <c r="F17" s="62">
        <v>4</v>
      </c>
      <c r="G17" s="31">
        <f t="shared" si="7"/>
        <v>20394.859199999999</v>
      </c>
      <c r="H17" s="32">
        <f t="shared" si="8"/>
        <v>81579.436799999996</v>
      </c>
      <c r="I17" s="14"/>
      <c r="J17" s="14"/>
      <c r="K17" s="63">
        <f t="shared" si="9"/>
        <v>978953.24159999995</v>
      </c>
      <c r="L17" s="63">
        <f t="shared" si="3"/>
        <v>1957906.4831999999</v>
      </c>
    </row>
    <row r="18" spans="1:12" customFormat="1" ht="15.75" x14ac:dyDescent="0.2">
      <c r="A18" s="114"/>
      <c r="B18" s="112"/>
      <c r="C18" s="18" t="s">
        <v>71</v>
      </c>
      <c r="D18" s="60">
        <v>15586.67</v>
      </c>
      <c r="E18" s="61">
        <v>1.99</v>
      </c>
      <c r="F18" s="62">
        <v>2</v>
      </c>
      <c r="G18" s="31">
        <f t="shared" si="7"/>
        <v>31017.473300000001</v>
      </c>
      <c r="H18" s="32">
        <f t="shared" si="8"/>
        <v>62034.946600000003</v>
      </c>
      <c r="I18" s="14"/>
      <c r="J18" s="14"/>
      <c r="K18" s="63">
        <f t="shared" si="9"/>
        <v>744419.35920000006</v>
      </c>
      <c r="L18" s="63">
        <f t="shared" si="3"/>
        <v>1488838.7184000001</v>
      </c>
    </row>
    <row r="19" spans="1:12" customFormat="1" ht="15.75" x14ac:dyDescent="0.2">
      <c r="A19" s="114"/>
      <c r="B19" s="112" t="s">
        <v>62</v>
      </c>
      <c r="C19" s="18" t="s">
        <v>72</v>
      </c>
      <c r="D19" s="60">
        <v>11349.54</v>
      </c>
      <c r="E19" s="61">
        <v>2.02</v>
      </c>
      <c r="F19" s="62">
        <v>1</v>
      </c>
      <c r="G19" s="31">
        <f t="shared" si="7"/>
        <v>22926.070800000001</v>
      </c>
      <c r="H19" s="32">
        <f t="shared" si="8"/>
        <v>22926.070800000001</v>
      </c>
      <c r="I19" s="14"/>
      <c r="J19" s="14"/>
      <c r="K19" s="63">
        <f t="shared" si="9"/>
        <v>275112.84960000002</v>
      </c>
      <c r="L19" s="63">
        <f t="shared" si="3"/>
        <v>550225.69920000003</v>
      </c>
    </row>
    <row r="20" spans="1:12" customFormat="1" ht="15.75" x14ac:dyDescent="0.2">
      <c r="A20" s="114"/>
      <c r="B20" s="112"/>
      <c r="C20" s="18" t="s">
        <v>70</v>
      </c>
      <c r="D20" s="60">
        <v>9997.48</v>
      </c>
      <c r="E20" s="61">
        <v>2.04</v>
      </c>
      <c r="F20" s="62">
        <v>2</v>
      </c>
      <c r="G20" s="31">
        <f t="shared" si="7"/>
        <v>20394.859199999999</v>
      </c>
      <c r="H20" s="32">
        <f t="shared" si="8"/>
        <v>40789.718399999998</v>
      </c>
      <c r="I20" s="14"/>
      <c r="J20" s="14"/>
      <c r="K20" s="63">
        <f t="shared" si="9"/>
        <v>489476.62079999998</v>
      </c>
      <c r="L20" s="63">
        <f t="shared" si="3"/>
        <v>978953.24159999995</v>
      </c>
    </row>
    <row r="21" spans="1:12" customFormat="1" ht="15.6" customHeight="1" x14ac:dyDescent="0.2">
      <c r="A21" s="114"/>
      <c r="B21" s="112" t="s">
        <v>63</v>
      </c>
      <c r="C21" s="18" t="s">
        <v>12</v>
      </c>
      <c r="D21" s="60">
        <v>9008.23</v>
      </c>
      <c r="E21" s="61">
        <v>2.0499999999999998</v>
      </c>
      <c r="F21" s="62">
        <v>2</v>
      </c>
      <c r="G21" s="31">
        <f t="shared" si="7"/>
        <v>18466.871499999997</v>
      </c>
      <c r="H21" s="32">
        <f t="shared" si="8"/>
        <v>36933.742999999995</v>
      </c>
      <c r="I21" s="14"/>
      <c r="J21" s="14"/>
      <c r="K21" s="63">
        <f t="shared" si="9"/>
        <v>443204.91599999997</v>
      </c>
      <c r="L21" s="63">
        <f t="shared" si="3"/>
        <v>886409.83199999994</v>
      </c>
    </row>
    <row r="22" spans="1:12" customFormat="1" ht="15.75" x14ac:dyDescent="0.2">
      <c r="A22" s="114"/>
      <c r="B22" s="112"/>
      <c r="C22" s="18" t="s">
        <v>22</v>
      </c>
      <c r="D22" s="60">
        <v>11112.49</v>
      </c>
      <c r="E22" s="61">
        <v>2.02</v>
      </c>
      <c r="F22" s="62">
        <v>1</v>
      </c>
      <c r="G22" s="31">
        <f t="shared" si="7"/>
        <v>22447.229800000001</v>
      </c>
      <c r="H22" s="32">
        <f t="shared" si="8"/>
        <v>22447.229800000001</v>
      </c>
      <c r="I22" s="14"/>
      <c r="J22" s="14"/>
      <c r="K22" s="63">
        <f t="shared" si="9"/>
        <v>269366.75760000001</v>
      </c>
      <c r="L22" s="63">
        <f t="shared" si="3"/>
        <v>538733.51520000002</v>
      </c>
    </row>
    <row r="23" spans="1:12" customFormat="1" ht="15.75" x14ac:dyDescent="0.2">
      <c r="A23" s="114"/>
      <c r="B23" s="112"/>
      <c r="C23" s="18" t="s">
        <v>69</v>
      </c>
      <c r="D23" s="60">
        <v>7168</v>
      </c>
      <c r="E23" s="61">
        <v>2.09</v>
      </c>
      <c r="F23" s="62">
        <v>1</v>
      </c>
      <c r="G23" s="31">
        <f t="shared" si="7"/>
        <v>14981.119999999999</v>
      </c>
      <c r="H23" s="32">
        <f t="shared" si="8"/>
        <v>14981.119999999999</v>
      </c>
      <c r="I23" s="14"/>
      <c r="J23" s="14"/>
      <c r="K23" s="63">
        <f t="shared" si="9"/>
        <v>179773.44</v>
      </c>
      <c r="L23" s="63">
        <f t="shared" si="3"/>
        <v>359546.88</v>
      </c>
    </row>
    <row r="24" spans="1:12" customFormat="1" ht="15.75" x14ac:dyDescent="0.2">
      <c r="A24" s="115"/>
      <c r="B24" s="112"/>
      <c r="C24" s="18" t="s">
        <v>70</v>
      </c>
      <c r="D24" s="60">
        <v>9997.48</v>
      </c>
      <c r="E24" s="61">
        <v>2.04</v>
      </c>
      <c r="F24" s="62">
        <v>1</v>
      </c>
      <c r="G24" s="31">
        <f t="shared" si="7"/>
        <v>20394.859199999999</v>
      </c>
      <c r="H24" s="32">
        <f t="shared" si="8"/>
        <v>20394.859199999999</v>
      </c>
      <c r="I24" s="14"/>
      <c r="J24" s="14"/>
      <c r="K24" s="63">
        <f t="shared" si="9"/>
        <v>244738.31039999999</v>
      </c>
      <c r="L24" s="63">
        <f t="shared" si="3"/>
        <v>489476.62079999998</v>
      </c>
    </row>
    <row r="25" spans="1:12" customFormat="1" x14ac:dyDescent="0.2">
      <c r="A25" s="36"/>
      <c r="B25" s="37"/>
      <c r="C25" s="35"/>
      <c r="D25" s="111" t="s">
        <v>13</v>
      </c>
      <c r="E25" s="111"/>
      <c r="F25" s="40">
        <f>SUM(F4:F24)</f>
        <v>34</v>
      </c>
      <c r="G25" s="39" t="s">
        <v>14</v>
      </c>
      <c r="H25" s="41">
        <f>IFERROR(SUM(H4:H24),"")</f>
        <v>610311.81209999998</v>
      </c>
      <c r="I25" s="41">
        <f>IFERROR(SUM(I4:I21),"")</f>
        <v>0</v>
      </c>
      <c r="J25" s="41">
        <f>IFERROR(SUM(J4:J21),"")</f>
        <v>0</v>
      </c>
      <c r="K25" s="64">
        <f>IFERROR(SUM(K4:K21),"")</f>
        <v>6629863.2372000003</v>
      </c>
      <c r="L25" s="64">
        <f>IFERROR(SUM(L4:L21),"")</f>
        <v>13259726.474400001</v>
      </c>
    </row>
    <row r="26" spans="1:12" customFormat="1" x14ac:dyDescent="0.2">
      <c r="A26" s="2"/>
      <c r="B26" s="2"/>
      <c r="C26" s="2"/>
      <c r="D26" s="2"/>
      <c r="E26" s="3"/>
      <c r="F26" s="2"/>
      <c r="G26" s="2"/>
      <c r="H26" s="2"/>
    </row>
    <row r="27" spans="1:12" customFormat="1" ht="13.5" thickBot="1" x14ac:dyDescent="0.25">
      <c r="A27" s="2"/>
      <c r="B27" s="2"/>
      <c r="C27" s="2"/>
      <c r="D27" s="2"/>
      <c r="E27" s="3"/>
      <c r="F27" s="1"/>
      <c r="G27" s="1"/>
      <c r="H27" s="1"/>
    </row>
    <row r="28" spans="1:12" customFormat="1" ht="13.5" thickBot="1" x14ac:dyDescent="0.25">
      <c r="A28" s="106" t="s">
        <v>15</v>
      </c>
      <c r="B28" s="106"/>
      <c r="C28" s="106"/>
      <c r="D28" s="106"/>
      <c r="E28" s="4"/>
      <c r="F28" s="1"/>
      <c r="G28" s="1"/>
      <c r="H28" s="1"/>
    </row>
    <row r="29" spans="1:12" customFormat="1" ht="30" customHeight="1" thickBot="1" x14ac:dyDescent="0.25">
      <c r="A29" s="25" t="s">
        <v>16</v>
      </c>
      <c r="B29" s="25"/>
      <c r="C29" s="25" t="s">
        <v>17</v>
      </c>
      <c r="D29" s="26" t="s">
        <v>18</v>
      </c>
      <c r="E29" s="4"/>
      <c r="F29" s="1"/>
      <c r="G29" s="1"/>
      <c r="H29" s="1"/>
    </row>
    <row r="30" spans="1:12" customFormat="1" x14ac:dyDescent="0.2">
      <c r="A30" s="65">
        <v>1</v>
      </c>
      <c r="B30" s="107" t="s">
        <v>59</v>
      </c>
      <c r="C30" s="38" t="s">
        <v>19</v>
      </c>
      <c r="D30" s="101">
        <f>'sobreaviso_hora-extra_ITEM1'!E23</f>
        <v>13674.704227802569</v>
      </c>
      <c r="E30" s="5"/>
      <c r="F30" s="1"/>
      <c r="G30" s="1"/>
      <c r="H30" s="1"/>
    </row>
    <row r="31" spans="1:12" customFormat="1" ht="13.5" thickBot="1" x14ac:dyDescent="0.25">
      <c r="A31" s="66">
        <v>2</v>
      </c>
      <c r="B31" s="108"/>
      <c r="C31" s="35" t="s">
        <v>74</v>
      </c>
      <c r="D31" s="102">
        <f>'sobreaviso_hora-extra_ITEM1'!E29</f>
        <v>2416.650318536932</v>
      </c>
      <c r="E31" s="5"/>
      <c r="F31" s="1"/>
      <c r="G31" s="1"/>
      <c r="H31" s="1"/>
    </row>
    <row r="32" spans="1:12" customFormat="1" x14ac:dyDescent="0.2">
      <c r="A32" s="65">
        <v>3</v>
      </c>
      <c r="B32" s="107" t="s">
        <v>20</v>
      </c>
      <c r="C32" s="38" t="s">
        <v>19</v>
      </c>
      <c r="D32" s="101">
        <f>'sobreaviso_hora-extra_ITEM1'!E24</f>
        <v>18599.034376855507</v>
      </c>
      <c r="E32" s="5"/>
      <c r="F32" s="1"/>
      <c r="G32" s="1"/>
      <c r="H32" s="1"/>
    </row>
    <row r="33" spans="1:12" customFormat="1" ht="13.5" thickBot="1" x14ac:dyDescent="0.25">
      <c r="A33" s="67">
        <v>4</v>
      </c>
      <c r="B33" s="108"/>
      <c r="C33" s="59" t="s">
        <v>74</v>
      </c>
      <c r="D33" s="103">
        <f>'sobreaviso_hora-extra_ITEM1'!E30</f>
        <v>3286.8983198863634</v>
      </c>
      <c r="E33" s="5"/>
      <c r="F33" s="1"/>
      <c r="G33" s="1"/>
      <c r="H33" s="1"/>
    </row>
    <row r="34" spans="1:12" customFormat="1" ht="13.5" thickBot="1" x14ac:dyDescent="0.25">
      <c r="A34" s="2"/>
      <c r="B34" s="2"/>
      <c r="C34" s="42" t="s">
        <v>21</v>
      </c>
      <c r="D34" s="104">
        <f>IFERROR(SUM(D30:D33),"")</f>
        <v>37977.287243081373</v>
      </c>
      <c r="E34" s="7"/>
      <c r="F34" s="1"/>
      <c r="G34" s="1"/>
      <c r="H34" s="1"/>
    </row>
    <row r="35" spans="1:12" customFormat="1" ht="13.5" thickBot="1" x14ac:dyDescent="0.25">
      <c r="A35" s="2"/>
      <c r="B35" s="2"/>
      <c r="C35" s="2"/>
      <c r="D35" s="2"/>
      <c r="E35" s="3"/>
      <c r="F35" s="1"/>
      <c r="G35" s="1"/>
      <c r="H35" s="1"/>
    </row>
    <row r="36" spans="1:12" customFormat="1" ht="13.5" thickBot="1" x14ac:dyDescent="0.25">
      <c r="A36" s="2"/>
      <c r="B36" s="2"/>
      <c r="C36" s="6" t="str">
        <f>CONCATENATE("Valor Mensal de Referência do ",$A$2)</f>
        <v>Valor Mensal de Referência do ITEM 1</v>
      </c>
      <c r="D36" s="105">
        <f>TRUNC(H25+D34,2)</f>
        <v>648289.09</v>
      </c>
      <c r="E36" s="5"/>
      <c r="F36" s="1"/>
      <c r="G36" s="1"/>
      <c r="H36" s="1"/>
    </row>
    <row r="37" spans="1:12" customFormat="1" x14ac:dyDescent="0.2">
      <c r="A37" s="1"/>
      <c r="B37" s="1"/>
      <c r="C37" s="1"/>
      <c r="D37" s="1"/>
      <c r="E37" s="4"/>
      <c r="F37" s="1"/>
      <c r="G37" s="1"/>
      <c r="H37" s="1"/>
    </row>
    <row r="42" spans="1:12" x14ac:dyDescent="0.2">
      <c r="L42" s="1">
        <v>190192</v>
      </c>
    </row>
    <row r="43" spans="1:12" x14ac:dyDescent="0.2">
      <c r="L43" s="1">
        <v>120184.49</v>
      </c>
    </row>
    <row r="44" spans="1:12" x14ac:dyDescent="0.2">
      <c r="L44" s="1">
        <f>L42+L43</f>
        <v>310376.49</v>
      </c>
    </row>
  </sheetData>
  <mergeCells count="14">
    <mergeCell ref="A28:D28"/>
    <mergeCell ref="B32:B33"/>
    <mergeCell ref="B30:B31"/>
    <mergeCell ref="A1:H1"/>
    <mergeCell ref="C2:F2"/>
    <mergeCell ref="D25:E25"/>
    <mergeCell ref="B7:B8"/>
    <mergeCell ref="B9:B13"/>
    <mergeCell ref="B14:B15"/>
    <mergeCell ref="B16:B18"/>
    <mergeCell ref="B19:B20"/>
    <mergeCell ref="A2:A24"/>
    <mergeCell ref="B21:B24"/>
    <mergeCell ref="B4:B6"/>
  </mergeCells>
  <dataValidations count="1">
    <dataValidation type="list" allowBlank="1" showInputMessage="1" showErrorMessage="1" promptTitle="Perfil" prompt="Selecione o perfil desejado" sqref="C4:C24" xr:uid="{CE73CC25-B123-40BE-AD08-0AC5CD30B384}">
      <formula1>#REF!</formula1>
    </dataValidation>
  </dataValidations>
  <pageMargins left="0.511811023622047" right="0.511811023622047" top="0.7874015748031491" bottom="0.7874015748031491" header="0.31535433070866109" footer="0.31535433070866109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6D0ED-077B-41DB-B48C-5382B0ABFA21}">
  <dimension ref="A1:Z31"/>
  <sheetViews>
    <sheetView zoomScale="70" workbookViewId="0">
      <selection activeCell="E31" sqref="E31"/>
    </sheetView>
  </sheetViews>
  <sheetFormatPr defaultRowHeight="12.75" x14ac:dyDescent="0.2"/>
  <cols>
    <col min="1" max="1" width="39.7109375" customWidth="1"/>
    <col min="2" max="2" width="28.7109375" customWidth="1"/>
    <col min="3" max="3" width="27.5703125" customWidth="1"/>
    <col min="4" max="4" width="17.7109375" customWidth="1"/>
    <col min="5" max="5" width="18.28515625" customWidth="1"/>
    <col min="10" max="10" width="11.140625" bestFit="1" customWidth="1"/>
    <col min="11" max="11" width="10.7109375" customWidth="1"/>
    <col min="13" max="13" width="9" customWidth="1"/>
    <col min="16" max="16" width="11.5703125" bestFit="1" customWidth="1"/>
  </cols>
  <sheetData>
    <row r="1" spans="1:26" ht="63.75" x14ac:dyDescent="0.2">
      <c r="A1" s="13" t="s">
        <v>76</v>
      </c>
      <c r="B1" s="13" t="s">
        <v>25</v>
      </c>
      <c r="C1" s="13" t="s">
        <v>26</v>
      </c>
      <c r="D1" s="13" t="s">
        <v>83</v>
      </c>
      <c r="E1" s="13" t="s">
        <v>82</v>
      </c>
      <c r="I1" s="119"/>
      <c r="J1" s="119"/>
      <c r="K1" s="119"/>
      <c r="L1" s="119"/>
      <c r="M1" s="119"/>
      <c r="O1" s="119"/>
      <c r="P1" s="119"/>
      <c r="Q1" s="119"/>
      <c r="R1" s="119"/>
      <c r="S1" s="119"/>
    </row>
    <row r="2" spans="1:26" ht="16.5" customHeight="1" x14ac:dyDescent="0.2">
      <c r="A2" s="22" t="s">
        <v>59</v>
      </c>
      <c r="B2" s="28" t="s">
        <v>27</v>
      </c>
      <c r="C2" s="15">
        <f>(22*15)+(8*24)</f>
        <v>522</v>
      </c>
      <c r="D2" s="15">
        <v>4</v>
      </c>
      <c r="E2" s="17">
        <f>E7+E8</f>
        <v>55327.539000000004</v>
      </c>
      <c r="I2" s="46"/>
      <c r="J2" s="46"/>
      <c r="K2" s="46"/>
      <c r="L2" s="46"/>
      <c r="M2" s="46"/>
    </row>
    <row r="3" spans="1:26" ht="25.5" x14ac:dyDescent="0.2">
      <c r="A3" s="22" t="s">
        <v>20</v>
      </c>
      <c r="B3" s="28" t="s">
        <v>27</v>
      </c>
      <c r="C3" s="15">
        <f>(22*15)+(8*24)</f>
        <v>522</v>
      </c>
      <c r="D3" s="15">
        <v>2</v>
      </c>
      <c r="E3" s="17">
        <f>E9+E10</f>
        <v>37625.632799999992</v>
      </c>
      <c r="I3" s="46"/>
      <c r="J3" s="46"/>
      <c r="K3" s="46"/>
      <c r="L3" s="46"/>
      <c r="M3" s="46"/>
      <c r="O3" s="46"/>
      <c r="P3" s="46"/>
      <c r="Q3" s="46"/>
      <c r="R3" s="46"/>
      <c r="S3" s="46"/>
    </row>
    <row r="4" spans="1:26" x14ac:dyDescent="0.2">
      <c r="A4" s="120" t="s">
        <v>32</v>
      </c>
      <c r="B4" s="120"/>
      <c r="C4" s="15">
        <f>SUM(C3)</f>
        <v>522</v>
      </c>
      <c r="D4" s="15">
        <f>SUM(D3)</f>
        <v>2</v>
      </c>
      <c r="E4" s="17">
        <f>SUM(E2,E3)</f>
        <v>92953.171799999996</v>
      </c>
    </row>
    <row r="5" spans="1:26" x14ac:dyDescent="0.2">
      <c r="I5" s="14"/>
      <c r="J5" s="126" t="s">
        <v>28</v>
      </c>
      <c r="K5" s="126"/>
      <c r="L5" s="126" t="s">
        <v>29</v>
      </c>
      <c r="M5" s="126"/>
      <c r="N5" s="126" t="s">
        <v>30</v>
      </c>
      <c r="O5" s="126"/>
      <c r="P5" s="14"/>
      <c r="S5" s="14"/>
      <c r="T5" s="126" t="s">
        <v>28</v>
      </c>
      <c r="U5" s="126"/>
      <c r="V5" s="126" t="s">
        <v>29</v>
      </c>
      <c r="W5" s="126"/>
      <c r="X5" s="126" t="s">
        <v>30</v>
      </c>
      <c r="Y5" s="126"/>
      <c r="Z5" s="14"/>
    </row>
    <row r="6" spans="1:26" ht="38.25" x14ac:dyDescent="0.2">
      <c r="A6" s="13" t="s">
        <v>76</v>
      </c>
      <c r="B6" s="13" t="s">
        <v>2</v>
      </c>
      <c r="C6" s="13" t="s">
        <v>5</v>
      </c>
      <c r="D6" s="13" t="s">
        <v>6</v>
      </c>
      <c r="E6" s="13" t="s">
        <v>7</v>
      </c>
      <c r="I6" s="14" t="s">
        <v>92</v>
      </c>
      <c r="J6" s="14">
        <v>2024</v>
      </c>
      <c r="K6" s="14">
        <v>2025</v>
      </c>
      <c r="L6" s="14">
        <v>2024</v>
      </c>
      <c r="M6" s="14">
        <v>2025</v>
      </c>
      <c r="N6" s="14">
        <v>2024</v>
      </c>
      <c r="O6" s="14">
        <v>2025</v>
      </c>
      <c r="P6" s="55" t="s">
        <v>31</v>
      </c>
      <c r="S6" s="14" t="s">
        <v>92</v>
      </c>
      <c r="T6" s="14">
        <v>2024</v>
      </c>
      <c r="U6" s="14">
        <v>2025</v>
      </c>
      <c r="V6" s="14">
        <v>2024</v>
      </c>
      <c r="W6" s="14">
        <v>2025</v>
      </c>
      <c r="X6" s="14">
        <v>2024</v>
      </c>
      <c r="Y6" s="14">
        <v>2025</v>
      </c>
      <c r="Z6" s="55" t="s">
        <v>31</v>
      </c>
    </row>
    <row r="7" spans="1:26" x14ac:dyDescent="0.2">
      <c r="A7" s="121" t="s">
        <v>59</v>
      </c>
      <c r="B7" s="23" t="s">
        <v>33</v>
      </c>
      <c r="C7" s="61">
        <f>'Estimativa_-_ITEM 1'!F7</f>
        <v>3</v>
      </c>
      <c r="D7" s="12">
        <f>'Estimativa_-_ITEM 1'!G7</f>
        <v>12224.9925</v>
      </c>
      <c r="E7" s="12">
        <f>D7*C7</f>
        <v>36674.977500000001</v>
      </c>
      <c r="I7" s="14" t="s">
        <v>93</v>
      </c>
      <c r="J7" s="92">
        <v>0</v>
      </c>
      <c r="K7" s="92">
        <v>0.2361111111111111</v>
      </c>
      <c r="L7" s="92">
        <v>0</v>
      </c>
      <c r="M7" s="92">
        <v>0</v>
      </c>
      <c r="N7" s="92">
        <v>0</v>
      </c>
      <c r="O7" s="92">
        <v>0</v>
      </c>
      <c r="P7" s="95">
        <f>SUM(J7:O7)</f>
        <v>0.2361111111111111</v>
      </c>
      <c r="S7" s="14" t="s">
        <v>93</v>
      </c>
      <c r="T7" s="97">
        <v>0</v>
      </c>
      <c r="U7" s="97">
        <v>5.6</v>
      </c>
      <c r="V7" s="97">
        <v>0</v>
      </c>
      <c r="W7" s="97">
        <v>0</v>
      </c>
      <c r="X7" s="97">
        <v>0</v>
      </c>
      <c r="Y7" s="97">
        <v>0</v>
      </c>
      <c r="Z7" s="96">
        <f>SUM(T7:Y7)</f>
        <v>5.6</v>
      </c>
    </row>
    <row r="8" spans="1:26" x14ac:dyDescent="0.2">
      <c r="A8" s="121"/>
      <c r="B8" s="23" t="s">
        <v>34</v>
      </c>
      <c r="C8" s="61">
        <f>'Estimativa_-_ITEM 1'!F8</f>
        <v>1</v>
      </c>
      <c r="D8" s="12">
        <f>'Estimativa_-_ITEM 1'!G8</f>
        <v>18652.5615</v>
      </c>
      <c r="E8" s="12">
        <f>D8*C8</f>
        <v>18652.5615</v>
      </c>
      <c r="I8" s="14" t="s">
        <v>94</v>
      </c>
      <c r="J8" s="92">
        <v>0.12083333333333333</v>
      </c>
      <c r="K8" s="92">
        <v>0</v>
      </c>
      <c r="L8" s="92">
        <v>0</v>
      </c>
      <c r="M8" s="92">
        <v>0</v>
      </c>
      <c r="N8" s="92">
        <v>0.83333333333333337</v>
      </c>
      <c r="O8" s="92">
        <v>0</v>
      </c>
      <c r="P8" s="95">
        <f t="shared" ref="P8:P18" si="0">SUM(J8:O8)</f>
        <v>0.95416666666666672</v>
      </c>
      <c r="S8" s="14" t="s">
        <v>94</v>
      </c>
      <c r="T8" s="97">
        <v>2.9</v>
      </c>
      <c r="U8" s="97">
        <v>0</v>
      </c>
      <c r="V8" s="97">
        <v>0</v>
      </c>
      <c r="W8" s="97">
        <v>0</v>
      </c>
      <c r="X8" s="97">
        <v>0</v>
      </c>
      <c r="Y8" s="97">
        <v>0</v>
      </c>
      <c r="Z8" s="96">
        <f t="shared" ref="Z8:Z12" si="1">SUM(T8:Y8)</f>
        <v>2.9</v>
      </c>
    </row>
    <row r="9" spans="1:26" x14ac:dyDescent="0.2">
      <c r="A9" s="124" t="s">
        <v>20</v>
      </c>
      <c r="B9" s="23" t="s">
        <v>77</v>
      </c>
      <c r="C9" s="61">
        <f>'Estimativa_-_ITEM 1'!F14</f>
        <v>1</v>
      </c>
      <c r="D9" s="12">
        <f>'Estimativa_-_ITEM 1'!G14</f>
        <v>15803.132799999999</v>
      </c>
      <c r="E9" s="12">
        <f>D9*C9</f>
        <v>15803.132799999999</v>
      </c>
      <c r="I9" s="14" t="s">
        <v>95</v>
      </c>
      <c r="J9" s="92">
        <v>0</v>
      </c>
      <c r="K9" s="92">
        <v>0</v>
      </c>
      <c r="L9" s="92">
        <v>0.14583333333333334</v>
      </c>
      <c r="M9" s="92">
        <v>0</v>
      </c>
      <c r="N9" s="92">
        <v>0.41666666666666669</v>
      </c>
      <c r="O9" s="92">
        <v>0</v>
      </c>
      <c r="P9" s="95">
        <f t="shared" si="0"/>
        <v>0.5625</v>
      </c>
      <c r="S9" s="14" t="s">
        <v>95</v>
      </c>
      <c r="T9" s="97">
        <v>0</v>
      </c>
      <c r="U9" s="97">
        <v>0</v>
      </c>
      <c r="V9" s="97">
        <v>3.5</v>
      </c>
      <c r="W9" s="97">
        <v>0</v>
      </c>
      <c r="X9" s="97">
        <v>10</v>
      </c>
      <c r="Y9" s="97">
        <v>0</v>
      </c>
      <c r="Z9" s="96">
        <f t="shared" si="1"/>
        <v>13.5</v>
      </c>
    </row>
    <row r="10" spans="1:26" x14ac:dyDescent="0.2">
      <c r="A10" s="125"/>
      <c r="B10" s="23" t="s">
        <v>78</v>
      </c>
      <c r="C10" s="61">
        <f>'Estimativa_-_ITEM 1'!F15</f>
        <v>1</v>
      </c>
      <c r="D10" s="12">
        <f>'Estimativa_-_ITEM 1'!G15</f>
        <v>21822.499999999996</v>
      </c>
      <c r="E10" s="12">
        <f>D10*C10</f>
        <v>21822.499999999996</v>
      </c>
      <c r="I10" s="14" t="s">
        <v>96</v>
      </c>
      <c r="J10" s="92">
        <v>0.11527777777777778</v>
      </c>
      <c r="K10" s="92">
        <v>0.1701388888888889</v>
      </c>
      <c r="L10" s="92">
        <v>0</v>
      </c>
      <c r="M10" s="92">
        <v>0</v>
      </c>
      <c r="N10" s="92">
        <v>0.33333333333333331</v>
      </c>
      <c r="O10" s="92">
        <v>0</v>
      </c>
      <c r="P10" s="95">
        <f t="shared" si="0"/>
        <v>0.61874999999999991</v>
      </c>
      <c r="S10" s="14" t="s">
        <v>96</v>
      </c>
      <c r="T10" s="97">
        <v>2.8</v>
      </c>
      <c r="U10" s="97">
        <v>4.0999999999999996</v>
      </c>
      <c r="V10" s="97">
        <v>0</v>
      </c>
      <c r="W10" s="97">
        <v>0</v>
      </c>
      <c r="X10" s="97">
        <v>8</v>
      </c>
      <c r="Y10" s="97">
        <v>0</v>
      </c>
      <c r="Z10" s="96">
        <f t="shared" si="1"/>
        <v>14.899999999999999</v>
      </c>
    </row>
    <row r="11" spans="1:26" x14ac:dyDescent="0.2">
      <c r="B11" s="122" t="s">
        <v>32</v>
      </c>
      <c r="C11" s="122"/>
      <c r="D11" s="122"/>
      <c r="E11" s="12">
        <f>SUM(E7:E10)</f>
        <v>92953.171800000011</v>
      </c>
      <c r="I11" s="14" t="s">
        <v>97</v>
      </c>
      <c r="J11" s="92">
        <v>0</v>
      </c>
      <c r="K11" s="92">
        <v>0</v>
      </c>
      <c r="L11" s="92">
        <v>0.65138888888888891</v>
      </c>
      <c r="M11" s="92">
        <v>0</v>
      </c>
      <c r="N11" s="92">
        <v>0.2638888888888889</v>
      </c>
      <c r="O11" s="92">
        <v>0</v>
      </c>
      <c r="P11" s="95">
        <f t="shared" si="0"/>
        <v>0.91527777777777786</v>
      </c>
      <c r="S11" s="14" t="s">
        <v>97</v>
      </c>
      <c r="T11" s="97">
        <v>0</v>
      </c>
      <c r="U11" s="97">
        <v>0</v>
      </c>
      <c r="V11" s="97">
        <v>15.6</v>
      </c>
      <c r="W11" s="97">
        <v>0</v>
      </c>
      <c r="X11" s="97">
        <v>6.4</v>
      </c>
      <c r="Y11" s="97">
        <v>0</v>
      </c>
      <c r="Z11" s="96">
        <f t="shared" si="1"/>
        <v>22</v>
      </c>
    </row>
    <row r="12" spans="1:26" x14ac:dyDescent="0.2">
      <c r="I12" s="14" t="s">
        <v>98</v>
      </c>
      <c r="J12" s="92">
        <v>0</v>
      </c>
      <c r="K12" s="92">
        <v>0.69722222222222219</v>
      </c>
      <c r="L12" s="92">
        <v>0</v>
      </c>
      <c r="M12" s="92">
        <v>5.4166666666666669E-2</v>
      </c>
      <c r="N12" s="92">
        <v>0</v>
      </c>
      <c r="O12" s="92">
        <v>0</v>
      </c>
      <c r="P12" s="95">
        <f t="shared" si="0"/>
        <v>0.75138888888888888</v>
      </c>
      <c r="S12" s="14" t="s">
        <v>98</v>
      </c>
      <c r="T12" s="97">
        <v>0</v>
      </c>
      <c r="U12" s="97">
        <v>16.7</v>
      </c>
      <c r="V12" s="97">
        <v>0</v>
      </c>
      <c r="W12" s="97">
        <v>1.3</v>
      </c>
      <c r="X12" s="97">
        <v>0</v>
      </c>
      <c r="Y12" s="97">
        <v>0</v>
      </c>
      <c r="Z12" s="96">
        <f t="shared" si="1"/>
        <v>18</v>
      </c>
    </row>
    <row r="13" spans="1:26" x14ac:dyDescent="0.2">
      <c r="I13" s="14" t="s">
        <v>99</v>
      </c>
      <c r="J13" s="92">
        <v>0</v>
      </c>
      <c r="K13" s="92">
        <v>0.58333333333333337</v>
      </c>
      <c r="L13" s="92">
        <v>0</v>
      </c>
      <c r="M13" s="92">
        <v>0</v>
      </c>
      <c r="N13" s="92">
        <v>1.125</v>
      </c>
      <c r="O13" s="92">
        <v>0.16666666666666666</v>
      </c>
      <c r="P13" s="95">
        <f>SUM(J13:O13)</f>
        <v>1.8750000000000002</v>
      </c>
      <c r="S13" s="14" t="s">
        <v>99</v>
      </c>
      <c r="T13" s="97">
        <v>0</v>
      </c>
      <c r="U13" s="97">
        <v>14</v>
      </c>
      <c r="V13" s="97">
        <v>0</v>
      </c>
      <c r="W13" s="97">
        <v>0</v>
      </c>
      <c r="X13" s="97">
        <v>23</v>
      </c>
      <c r="Y13" s="97">
        <v>4</v>
      </c>
      <c r="Z13" s="96">
        <f>SUM(T13:Y13)</f>
        <v>41</v>
      </c>
    </row>
    <row r="14" spans="1:26" x14ac:dyDescent="0.2">
      <c r="I14" s="14" t="s">
        <v>100</v>
      </c>
      <c r="J14" s="92">
        <v>0</v>
      </c>
      <c r="K14" s="92">
        <v>0.54861111111111116</v>
      </c>
      <c r="L14" s="92">
        <v>0.79027777777777775</v>
      </c>
      <c r="M14" s="92">
        <v>0</v>
      </c>
      <c r="N14" s="92">
        <v>0.62361111111111112</v>
      </c>
      <c r="O14" s="92">
        <v>0.44722222222222224</v>
      </c>
      <c r="P14" s="95">
        <f t="shared" si="0"/>
        <v>2.4097222222222223</v>
      </c>
      <c r="S14" s="14" t="s">
        <v>100</v>
      </c>
      <c r="T14" s="97">
        <v>0</v>
      </c>
      <c r="U14" s="97">
        <v>13.2</v>
      </c>
      <c r="V14" s="97">
        <v>18.899999999999999</v>
      </c>
      <c r="W14" s="97">
        <v>0</v>
      </c>
      <c r="X14" s="97">
        <v>14.9</v>
      </c>
      <c r="Y14" s="97">
        <v>10.7</v>
      </c>
      <c r="Z14" s="96">
        <f t="shared" ref="Z14:Z18" si="2">SUM(T14:Y14)</f>
        <v>57.699999999999989</v>
      </c>
    </row>
    <row r="15" spans="1:26" ht="13.15" customHeight="1" x14ac:dyDescent="0.2">
      <c r="B15" s="123" t="s">
        <v>35</v>
      </c>
      <c r="C15" s="123"/>
      <c r="D15" s="123"/>
      <c r="E15" s="123"/>
      <c r="I15" s="14" t="s">
        <v>101</v>
      </c>
      <c r="J15" s="92">
        <v>0</v>
      </c>
      <c r="K15" s="92">
        <v>0</v>
      </c>
      <c r="L15" s="92">
        <v>0.17083333333333334</v>
      </c>
      <c r="M15" s="92">
        <v>0</v>
      </c>
      <c r="N15" s="92">
        <v>0.12083333333333333</v>
      </c>
      <c r="O15" s="92">
        <v>0</v>
      </c>
      <c r="P15" s="95">
        <f t="shared" si="0"/>
        <v>0.29166666666666669</v>
      </c>
      <c r="S15" s="14" t="s">
        <v>101</v>
      </c>
      <c r="T15" s="97">
        <v>0</v>
      </c>
      <c r="U15" s="97">
        <v>0</v>
      </c>
      <c r="V15" s="97">
        <v>4.0999999999999996</v>
      </c>
      <c r="W15" s="97">
        <v>0</v>
      </c>
      <c r="X15" s="97">
        <v>2.8</v>
      </c>
      <c r="Y15" s="97">
        <v>0</v>
      </c>
      <c r="Z15" s="96">
        <f t="shared" si="2"/>
        <v>6.8999999999999995</v>
      </c>
    </row>
    <row r="16" spans="1:26" ht="51" x14ac:dyDescent="0.2">
      <c r="A16" s="13" t="s">
        <v>76</v>
      </c>
      <c r="B16" s="15" t="s">
        <v>81</v>
      </c>
      <c r="C16" s="15" t="s">
        <v>80</v>
      </c>
      <c r="D16" s="15" t="s">
        <v>36</v>
      </c>
      <c r="E16" s="15" t="s">
        <v>37</v>
      </c>
      <c r="I16" s="14" t="s">
        <v>102</v>
      </c>
      <c r="J16" s="92">
        <v>0.33750000000000002</v>
      </c>
      <c r="K16" s="92">
        <v>0.3125</v>
      </c>
      <c r="L16" s="92">
        <v>0</v>
      </c>
      <c r="M16" s="92">
        <v>0.1875</v>
      </c>
      <c r="N16" s="92">
        <v>0</v>
      </c>
      <c r="O16" s="92">
        <v>6.805555555555555E-2</v>
      </c>
      <c r="P16" s="95">
        <f t="shared" si="0"/>
        <v>0.90555555555555556</v>
      </c>
      <c r="S16" s="14" t="s">
        <v>102</v>
      </c>
      <c r="T16" s="97">
        <v>8.1</v>
      </c>
      <c r="U16" s="97">
        <v>7.5</v>
      </c>
      <c r="V16" s="97">
        <v>0</v>
      </c>
      <c r="W16" s="97">
        <v>4.5</v>
      </c>
      <c r="X16" s="97">
        <v>0</v>
      </c>
      <c r="Y16" s="97">
        <v>1.6</v>
      </c>
      <c r="Z16" s="96">
        <f t="shared" si="2"/>
        <v>21.700000000000003</v>
      </c>
    </row>
    <row r="17" spans="1:26" ht="13.15" customHeight="1" x14ac:dyDescent="0.2">
      <c r="A17" s="22" t="s">
        <v>59</v>
      </c>
      <c r="B17" s="19">
        <f>E2</f>
        <v>55327.539000000004</v>
      </c>
      <c r="C17" s="20">
        <v>4</v>
      </c>
      <c r="D17" s="20">
        <f>22*8</f>
        <v>176</v>
      </c>
      <c r="E17" s="19">
        <f>B17/(C17*D17)</f>
        <v>78.59025426136364</v>
      </c>
      <c r="I17" s="14" t="s">
        <v>103</v>
      </c>
      <c r="J17" s="92">
        <v>0</v>
      </c>
      <c r="K17" s="92">
        <v>0.48055555555555557</v>
      </c>
      <c r="L17" s="92">
        <v>0</v>
      </c>
      <c r="M17" s="92">
        <v>0.15138888888888888</v>
      </c>
      <c r="N17" s="92">
        <v>0</v>
      </c>
      <c r="O17" s="92">
        <v>0.24027777777777778</v>
      </c>
      <c r="P17" s="95">
        <f t="shared" si="0"/>
        <v>0.87222222222222223</v>
      </c>
      <c r="S17" s="14" t="s">
        <v>103</v>
      </c>
      <c r="T17" s="97">
        <v>0</v>
      </c>
      <c r="U17" s="97">
        <v>11.5</v>
      </c>
      <c r="V17" s="97">
        <v>0</v>
      </c>
      <c r="W17" s="97">
        <v>3.6</v>
      </c>
      <c r="X17" s="97">
        <v>0</v>
      </c>
      <c r="Y17" s="97">
        <v>5.8</v>
      </c>
      <c r="Z17" s="96">
        <f t="shared" si="2"/>
        <v>20.9</v>
      </c>
    </row>
    <row r="18" spans="1:26" ht="25.5" x14ac:dyDescent="0.2">
      <c r="A18" s="22" t="s">
        <v>20</v>
      </c>
      <c r="B18" s="12">
        <f>E3</f>
        <v>37625.632799999992</v>
      </c>
      <c r="C18" s="18">
        <v>2</v>
      </c>
      <c r="D18" s="43">
        <f>22*8</f>
        <v>176</v>
      </c>
      <c r="E18" s="21">
        <f>B18/(C18*D18)</f>
        <v>106.89100227272725</v>
      </c>
      <c r="I18" s="14" t="s">
        <v>104</v>
      </c>
      <c r="J18" s="92">
        <v>0</v>
      </c>
      <c r="K18" s="92">
        <v>0</v>
      </c>
      <c r="L18" s="92">
        <v>0.87916666666666665</v>
      </c>
      <c r="M18" s="92">
        <v>0</v>
      </c>
      <c r="N18" s="92">
        <v>0</v>
      </c>
      <c r="O18" s="92">
        <v>0</v>
      </c>
      <c r="P18" s="95">
        <f t="shared" si="0"/>
        <v>0.87916666666666665</v>
      </c>
      <c r="S18" s="14" t="s">
        <v>104</v>
      </c>
      <c r="T18" s="97">
        <v>0</v>
      </c>
      <c r="U18" s="97">
        <v>0</v>
      </c>
      <c r="V18" s="97">
        <v>21.1</v>
      </c>
      <c r="W18" s="97">
        <v>0</v>
      </c>
      <c r="X18" s="97">
        <v>0</v>
      </c>
      <c r="Y18" s="97">
        <v>0</v>
      </c>
      <c r="Z18" s="96">
        <f t="shared" si="2"/>
        <v>21.1</v>
      </c>
    </row>
    <row r="19" spans="1:26" x14ac:dyDescent="0.2">
      <c r="A19" s="52" t="s">
        <v>32</v>
      </c>
      <c r="B19" s="12">
        <f>SUM(B17:B18)</f>
        <v>92953.171799999996</v>
      </c>
      <c r="C19" s="18">
        <f>SUM(C17:C18)</f>
        <v>6</v>
      </c>
      <c r="D19" s="44"/>
      <c r="E19" s="45"/>
      <c r="I19" s="94"/>
      <c r="J19" s="14">
        <v>0</v>
      </c>
      <c r="K19" s="14"/>
      <c r="L19" s="14"/>
      <c r="M19" s="93"/>
      <c r="N19" s="14"/>
      <c r="O19" s="94"/>
      <c r="P19" s="95">
        <f>AVERAGE(P7:P18)</f>
        <v>0.93929398148148147</v>
      </c>
      <c r="S19" s="129" t="s">
        <v>105</v>
      </c>
      <c r="T19" s="130"/>
      <c r="U19" s="130"/>
      <c r="V19" s="130"/>
      <c r="W19" s="130"/>
      <c r="X19" s="130"/>
      <c r="Y19" s="131"/>
      <c r="Z19" s="96">
        <f>AVERAGE(Z7:Z18)</f>
        <v>20.516666666666666</v>
      </c>
    </row>
    <row r="20" spans="1:26" x14ac:dyDescent="0.2">
      <c r="I20" s="88"/>
      <c r="M20" s="89"/>
      <c r="O20" s="88"/>
      <c r="S20" s="90"/>
    </row>
    <row r="21" spans="1:26" ht="13.15" customHeight="1" x14ac:dyDescent="0.2">
      <c r="B21" s="123" t="s">
        <v>19</v>
      </c>
      <c r="C21" s="127"/>
      <c r="D21" s="127"/>
      <c r="E21" s="128"/>
      <c r="I21" s="88"/>
      <c r="M21" s="91"/>
      <c r="O21" s="88"/>
      <c r="S21" s="90"/>
    </row>
    <row r="22" spans="1:26" ht="51" x14ac:dyDescent="0.2">
      <c r="A22" s="13" t="s">
        <v>76</v>
      </c>
      <c r="B22" s="16" t="s">
        <v>38</v>
      </c>
      <c r="C22" s="16" t="s">
        <v>39</v>
      </c>
      <c r="D22" s="16" t="s">
        <v>40</v>
      </c>
      <c r="E22" s="16" t="s">
        <v>41</v>
      </c>
      <c r="I22" s="88"/>
      <c r="M22" s="89"/>
      <c r="O22" s="88"/>
      <c r="S22" s="90"/>
    </row>
    <row r="23" spans="1:26" x14ac:dyDescent="0.2">
      <c r="A23" s="22" t="s">
        <v>59</v>
      </c>
      <c r="B23" s="45">
        <f>$E$17</f>
        <v>78.59025426136364</v>
      </c>
      <c r="C23" s="15">
        <f>C2</f>
        <v>522</v>
      </c>
      <c r="D23" s="20">
        <v>0.33333333300000001</v>
      </c>
      <c r="E23" s="47">
        <f>B23*C23*D23</f>
        <v>13674.704227802569</v>
      </c>
      <c r="I23" s="88"/>
      <c r="M23" s="91"/>
      <c r="O23" s="88"/>
      <c r="S23" s="90"/>
    </row>
    <row r="24" spans="1:26" ht="25.5" x14ac:dyDescent="0.2">
      <c r="A24" s="22" t="s">
        <v>20</v>
      </c>
      <c r="B24" s="24">
        <f>$E$18</f>
        <v>106.89100227272725</v>
      </c>
      <c r="C24" s="49">
        <f>C3</f>
        <v>522</v>
      </c>
      <c r="D24" s="22">
        <v>0.33333333300000001</v>
      </c>
      <c r="E24" s="48">
        <f>B24*C24*D24</f>
        <v>18599.034376855507</v>
      </c>
      <c r="I24" s="88"/>
      <c r="M24" s="91"/>
      <c r="O24" s="88"/>
      <c r="S24" s="90"/>
    </row>
    <row r="25" spans="1:26" x14ac:dyDescent="0.2">
      <c r="D25" s="50" t="s">
        <v>32</v>
      </c>
      <c r="E25" s="51">
        <f>SUM(E23:E24)</f>
        <v>32273.738604658076</v>
      </c>
      <c r="I25" s="88"/>
      <c r="M25" s="89"/>
      <c r="O25" s="88"/>
      <c r="S25" s="90"/>
    </row>
    <row r="26" spans="1:26" x14ac:dyDescent="0.2">
      <c r="I26" s="88"/>
      <c r="M26" s="89"/>
      <c r="O26" s="88"/>
      <c r="S26" s="90"/>
    </row>
    <row r="27" spans="1:26" ht="13.15" customHeight="1" x14ac:dyDescent="0.2">
      <c r="B27" s="116" t="s">
        <v>73</v>
      </c>
      <c r="C27" s="117"/>
      <c r="D27" s="117"/>
      <c r="E27" s="118"/>
      <c r="I27" s="88"/>
      <c r="M27" s="89"/>
      <c r="O27" s="88"/>
      <c r="S27" s="90"/>
    </row>
    <row r="28" spans="1:26" ht="38.25" x14ac:dyDescent="0.2">
      <c r="A28" s="13" t="s">
        <v>76</v>
      </c>
      <c r="B28" s="55" t="s">
        <v>38</v>
      </c>
      <c r="C28" s="55" t="s">
        <v>91</v>
      </c>
      <c r="D28" s="55" t="s">
        <v>42</v>
      </c>
      <c r="E28" s="55" t="s">
        <v>79</v>
      </c>
      <c r="I28" s="88"/>
      <c r="M28" s="89"/>
      <c r="O28" s="88"/>
      <c r="S28" s="90"/>
    </row>
    <row r="29" spans="1:26" x14ac:dyDescent="0.2">
      <c r="A29" s="22" t="s">
        <v>59</v>
      </c>
      <c r="B29" s="45">
        <f>$E$17</f>
        <v>78.59025426136364</v>
      </c>
      <c r="C29" s="22">
        <v>20.5</v>
      </c>
      <c r="D29" s="22">
        <v>1.5</v>
      </c>
      <c r="E29" s="54">
        <f>B29*C29*D29</f>
        <v>2416.650318536932</v>
      </c>
      <c r="I29" s="119"/>
      <c r="J29" s="119"/>
      <c r="K29" s="119"/>
      <c r="L29" s="119"/>
      <c r="M29" s="98"/>
      <c r="O29" s="119"/>
      <c r="P29" s="119"/>
      <c r="Q29" s="119"/>
      <c r="R29" s="119"/>
      <c r="S29" s="98"/>
    </row>
    <row r="30" spans="1:26" ht="25.5" x14ac:dyDescent="0.2">
      <c r="A30" s="53" t="s">
        <v>20</v>
      </c>
      <c r="B30" s="24">
        <f>$E$18</f>
        <v>106.89100227272725</v>
      </c>
      <c r="C30" s="56">
        <v>20.5</v>
      </c>
      <c r="D30" s="56">
        <v>1.5</v>
      </c>
      <c r="E30" s="54">
        <f>B30*C30*D30</f>
        <v>3286.8983198863634</v>
      </c>
    </row>
    <row r="31" spans="1:26" x14ac:dyDescent="0.2">
      <c r="A31" s="57"/>
      <c r="B31" s="58"/>
      <c r="C31" s="57"/>
      <c r="D31" s="50" t="s">
        <v>32</v>
      </c>
      <c r="E31" s="51">
        <f>SUM(E29:E30)</f>
        <v>5703.5486384232954</v>
      </c>
      <c r="M31" s="74"/>
      <c r="N31" s="75"/>
    </row>
  </sheetData>
  <mergeCells count="18">
    <mergeCell ref="T5:U5"/>
    <mergeCell ref="V5:W5"/>
    <mergeCell ref="X5:Y5"/>
    <mergeCell ref="S19:Y19"/>
    <mergeCell ref="O29:R29"/>
    <mergeCell ref="O1:S1"/>
    <mergeCell ref="J5:K5"/>
    <mergeCell ref="L5:M5"/>
    <mergeCell ref="N5:O5"/>
    <mergeCell ref="B21:E21"/>
    <mergeCell ref="B27:E27"/>
    <mergeCell ref="I29:L29"/>
    <mergeCell ref="I1:M1"/>
    <mergeCell ref="A4:B4"/>
    <mergeCell ref="A7:A8"/>
    <mergeCell ref="B11:D11"/>
    <mergeCell ref="B15:E15"/>
    <mergeCell ref="A9:A10"/>
  </mergeCells>
  <phoneticPr fontId="77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5D43C-1D5A-43D0-B19D-F14AE60EC9CD}">
  <dimension ref="A11:J26"/>
  <sheetViews>
    <sheetView topLeftCell="A4" workbookViewId="0">
      <selection activeCell="I20" sqref="I20"/>
    </sheetView>
  </sheetViews>
  <sheetFormatPr defaultRowHeight="12.75" x14ac:dyDescent="0.2"/>
  <cols>
    <col min="2" max="2" width="26.5703125" customWidth="1"/>
    <col min="3" max="3" width="11.28515625" customWidth="1"/>
    <col min="4" max="4" width="18.140625" customWidth="1"/>
    <col min="6" max="6" width="20.7109375" customWidth="1"/>
    <col min="7" max="7" width="18.85546875" bestFit="1" customWidth="1"/>
    <col min="8" max="8" width="22.28515625" customWidth="1"/>
    <col min="9" max="9" width="23.28515625" customWidth="1"/>
    <col min="10" max="10" width="16.28515625" bestFit="1" customWidth="1"/>
    <col min="11" max="11" width="19.7109375" bestFit="1" customWidth="1"/>
    <col min="12" max="12" width="15.140625" customWidth="1"/>
    <col min="13" max="13" width="13.140625" bestFit="1" customWidth="1"/>
  </cols>
  <sheetData>
    <row r="11" spans="1:10" ht="13.5" thickBot="1" x14ac:dyDescent="0.25"/>
    <row r="12" spans="1:10" ht="13.5" thickBot="1" x14ac:dyDescent="0.25">
      <c r="A12" s="134"/>
      <c r="B12" s="134"/>
      <c r="C12" s="134"/>
      <c r="D12" s="134"/>
      <c r="E12" s="134"/>
      <c r="F12" s="134" t="s">
        <v>106</v>
      </c>
      <c r="G12" s="135"/>
      <c r="H12" s="136"/>
      <c r="I12" s="141"/>
    </row>
    <row r="13" spans="1:10" ht="25.5" x14ac:dyDescent="0.2">
      <c r="A13" s="76" t="s">
        <v>24</v>
      </c>
      <c r="B13" s="77" t="s">
        <v>50</v>
      </c>
      <c r="C13" s="77" t="s">
        <v>51</v>
      </c>
      <c r="D13" s="77" t="s">
        <v>90</v>
      </c>
      <c r="E13" s="78" t="s">
        <v>52</v>
      </c>
      <c r="F13" s="76" t="s">
        <v>53</v>
      </c>
      <c r="G13" s="77" t="s">
        <v>54</v>
      </c>
      <c r="H13" s="137" t="s">
        <v>55</v>
      </c>
      <c r="I13" s="142"/>
    </row>
    <row r="14" spans="1:10" ht="51.75" thickBot="1" x14ac:dyDescent="0.25">
      <c r="A14" s="79">
        <v>1</v>
      </c>
      <c r="B14" s="68" t="s">
        <v>87</v>
      </c>
      <c r="C14" s="22">
        <v>27014</v>
      </c>
      <c r="D14" s="22" t="s">
        <v>75</v>
      </c>
      <c r="E14" s="80">
        <v>24</v>
      </c>
      <c r="F14" s="138">
        <f>'Estimativa_-_ITEM 1'!D36</f>
        <v>648289.09</v>
      </c>
      <c r="G14" s="21">
        <f>F14*12</f>
        <v>7779469.0800000001</v>
      </c>
      <c r="H14" s="139">
        <f>F14*24</f>
        <v>15558938.16</v>
      </c>
      <c r="I14" s="143"/>
      <c r="J14" s="8"/>
    </row>
    <row r="15" spans="1:10" ht="34.9" customHeight="1" thickBot="1" x14ac:dyDescent="0.25">
      <c r="A15" s="132" t="s">
        <v>32</v>
      </c>
      <c r="B15" s="133"/>
      <c r="C15" s="133"/>
      <c r="D15" s="133"/>
      <c r="E15" s="133"/>
      <c r="F15" s="81">
        <f>F14</f>
        <v>648289.09</v>
      </c>
      <c r="G15" s="82">
        <f>G14</f>
        <v>7779469.0800000001</v>
      </c>
      <c r="H15" s="140">
        <f>H14</f>
        <v>15558938.16</v>
      </c>
      <c r="I15" s="144"/>
    </row>
    <row r="16" spans="1:10" ht="15.75" thickBot="1" x14ac:dyDescent="0.25">
      <c r="A16" s="69"/>
    </row>
    <row r="17" spans="1:9" ht="15" x14ac:dyDescent="0.2">
      <c r="A17" s="69"/>
      <c r="F17" s="9"/>
      <c r="G17" s="10" t="s">
        <v>56</v>
      </c>
      <c r="H17" s="10" t="s">
        <v>57</v>
      </c>
      <c r="I17" s="11" t="s">
        <v>58</v>
      </c>
    </row>
    <row r="18" spans="1:9" x14ac:dyDescent="0.2">
      <c r="F18" s="70"/>
      <c r="G18" s="12">
        <f>G15</f>
        <v>7779469.0800000001</v>
      </c>
      <c r="H18" s="12">
        <f>G18</f>
        <v>7779469.0800000001</v>
      </c>
      <c r="I18" s="71">
        <f>G18+H18</f>
        <v>15558938.16</v>
      </c>
    </row>
    <row r="19" spans="1:9" x14ac:dyDescent="0.2">
      <c r="F19" s="70" t="s">
        <v>107</v>
      </c>
      <c r="G19" s="12">
        <v>0</v>
      </c>
      <c r="H19" s="12">
        <f>H18*4.45%</f>
        <v>346186.37406000006</v>
      </c>
      <c r="I19" s="71">
        <f>G19+H19</f>
        <v>346186.37406000006</v>
      </c>
    </row>
    <row r="20" spans="1:9" ht="13.5" thickBot="1" x14ac:dyDescent="0.25">
      <c r="F20" s="72"/>
      <c r="G20" s="73">
        <f>G18+G19</f>
        <v>7779469.0800000001</v>
      </c>
      <c r="H20" s="73">
        <f>H18+H19</f>
        <v>8125655.4540600004</v>
      </c>
      <c r="I20" s="100">
        <f>G20+H20</f>
        <v>15905124.534060001</v>
      </c>
    </row>
    <row r="22" spans="1:9" ht="30" x14ac:dyDescent="0.2">
      <c r="B22" s="83" t="s">
        <v>43</v>
      </c>
      <c r="C22" s="83" t="s">
        <v>44</v>
      </c>
      <c r="D22" s="83" t="s">
        <v>45</v>
      </c>
    </row>
    <row r="23" spans="1:9" ht="42.75" x14ac:dyDescent="0.2">
      <c r="B23" s="84" t="s">
        <v>46</v>
      </c>
      <c r="C23" s="84" t="s">
        <v>47</v>
      </c>
      <c r="D23" s="85">
        <f>'Estimativa_-_ITEM 1'!H25</f>
        <v>610311.81209999998</v>
      </c>
      <c r="F23" s="8"/>
      <c r="H23" s="99"/>
    </row>
    <row r="24" spans="1:9" ht="42.75" x14ac:dyDescent="0.2">
      <c r="B24" s="84" t="s">
        <v>88</v>
      </c>
      <c r="C24" s="84" t="s">
        <v>48</v>
      </c>
      <c r="D24" s="85">
        <f>'sobreaviso_hora-extra_ITEM1'!E25</f>
        <v>32273.738604658076</v>
      </c>
      <c r="G24" s="8"/>
      <c r="H24" s="8"/>
    </row>
    <row r="25" spans="1:9" ht="28.5" x14ac:dyDescent="0.2">
      <c r="B25" s="84" t="s">
        <v>89</v>
      </c>
      <c r="C25" s="84" t="s">
        <v>49</v>
      </c>
      <c r="D25" s="85">
        <f>'sobreaviso_hora-extra_ITEM1'!E31</f>
        <v>5703.5486384232954</v>
      </c>
      <c r="G25" s="8"/>
      <c r="I25" s="8"/>
    </row>
    <row r="26" spans="1:9" ht="14.25" x14ac:dyDescent="0.2">
      <c r="B26" s="86"/>
      <c r="C26" s="86"/>
      <c r="D26" s="87">
        <f>SUM(D23:D25)</f>
        <v>648289.09934308135</v>
      </c>
      <c r="G26" s="8"/>
    </row>
  </sheetData>
  <mergeCells count="3">
    <mergeCell ref="A15:E15"/>
    <mergeCell ref="A12:E12"/>
    <mergeCell ref="F12:H12"/>
  </mergeCells>
  <phoneticPr fontId="77" type="noConversion"/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92B83805857954384DDDE888C7451EC" ma:contentTypeVersion="12" ma:contentTypeDescription="Crie um novo documento." ma:contentTypeScope="" ma:versionID="6d1f7d67b44268d40bc6de9d01b59a06">
  <xsd:schema xmlns:xsd="http://www.w3.org/2001/XMLSchema" xmlns:xs="http://www.w3.org/2001/XMLSchema" xmlns:p="http://schemas.microsoft.com/office/2006/metadata/properties" xmlns:ns2="411abc54-d9e4-47b0-9fa0-0cf9537ab5a5" targetNamespace="http://schemas.microsoft.com/office/2006/metadata/properties" ma:root="true" ma:fieldsID="3ff92de6dc058e1a72af72f86ce5de0d" ns2:_="">
    <xsd:import namespace="411abc54-d9e4-47b0-9fa0-0cf9537ab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1abc54-d9e4-47b0-9fa0-0cf9537ab5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Marcações de imagem" ma:readOnly="false" ma:fieldId="{5cf76f15-5ced-4ddc-b409-7134ff3c332f}" ma:taxonomyMulti="true" ma:sspId="ce446ee5-1110-4d7f-810b-ccc81ff6c1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1abc54-d9e4-47b0-9fa0-0cf9537ab5a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7C5462-D100-46BF-BCB0-5D35D711B9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1abc54-d9e4-47b0-9fa0-0cf9537ab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1E5940-49C1-4EE5-A9D2-B7AB9DACF7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8627E0-15AE-4239-BD6D-DA30FDA10DD7}">
  <ds:schemaRefs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411abc54-d9e4-47b0-9fa0-0cf9537ab5a5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Estimativa_-_ITEM 1</vt:lpstr>
      <vt:lpstr>sobreaviso_hora-extra_ITEM1</vt:lpstr>
      <vt:lpstr>Resumo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 Pires</dc:creator>
  <cp:keywords/>
  <dc:description/>
  <cp:lastModifiedBy>Ramon Leonn Victor Medeiros</cp:lastModifiedBy>
  <cp:revision>5</cp:revision>
  <dcterms:created xsi:type="dcterms:W3CDTF">2021-04-28T18:20:29Z</dcterms:created>
  <dcterms:modified xsi:type="dcterms:W3CDTF">2026-07-27T21:49:06Z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0x010100B92B83805857954384DDDE888C7451EC</vt:lpwstr>
  </property>
  <property fmtid="{D5CDD505-2E9C-101B-9397-08002B2CF9AE}" pid="3" name="MediaServiceImageTags">
    <vt:lpwstr/>
  </property>
</Properties>
</file>