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2026\TCE LICITACON\PE 6 - RESÍDUOS SÓLIDOS\"/>
    </mc:Choice>
  </mc:AlternateContent>
  <bookViews>
    <workbookView xWindow="0" yWindow="0" windowWidth="20490" windowHeight="9045" tabRatio="500"/>
  </bookViews>
  <sheets>
    <sheet name="1. Coleta Domiciliar" sheetId="1" r:id="rId1"/>
    <sheet name="2.Encargos Sociais" sheetId="2" r:id="rId2"/>
    <sheet name="3.CAGED" sheetId="3" r:id="rId3"/>
    <sheet name="4.BDI" sheetId="4" r:id="rId4"/>
    <sheet name="5. Depreciação" sheetId="5" r:id="rId5"/>
    <sheet name="6.Remuneração de capital" sheetId="6" r:id="rId6"/>
    <sheet name="7. Dimensionamento" sheetId="7" r:id="rId7"/>
  </sheets>
  <definedNames>
    <definedName name="AbaDeprec">'5. Depreciação'!$A$1</definedName>
    <definedName name="AbaRemun">'6.Remuneração de capital'!$A$1</definedName>
    <definedName name="_xlnm.Print_Area" localSheetId="0">'1. Coleta Domiciliar'!$A$1:$F$303</definedName>
    <definedName name="_xlnm.Print_Area" localSheetId="1">'2.Encargos Sociais'!$A$1:$C$39</definedName>
    <definedName name="_xlnm.Print_Titles" localSheetId="0">'1. Coleta Domiciliar'!$1:$8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73" i="1" l="1"/>
  <c r="C13" i="7" l="1"/>
  <c r="A48" i="1" l="1"/>
  <c r="C21" i="7"/>
  <c r="C15" i="4"/>
  <c r="C20" i="4" s="1"/>
  <c r="F13" i="4"/>
  <c r="E13" i="4"/>
  <c r="D13" i="4"/>
  <c r="C27" i="3"/>
  <c r="C33" i="3" s="1"/>
  <c r="C27" i="2" s="1"/>
  <c r="C26" i="3"/>
  <c r="C25" i="3"/>
  <c r="C23" i="3"/>
  <c r="C31" i="2"/>
  <c r="C20" i="2"/>
  <c r="C17" i="2"/>
  <c r="E299" i="1"/>
  <c r="E279" i="1"/>
  <c r="C275" i="1"/>
  <c r="C277" i="1" s="1"/>
  <c r="E277" i="1" s="1"/>
  <c r="D278" i="1" s="1"/>
  <c r="E278" i="1" s="1"/>
  <c r="E267" i="1"/>
  <c r="E266" i="1"/>
  <c r="E265" i="1"/>
  <c r="E264" i="1"/>
  <c r="E263" i="1"/>
  <c r="C254" i="1"/>
  <c r="C252" i="1"/>
  <c r="E252" i="1" s="1"/>
  <c r="E250" i="1"/>
  <c r="C245" i="1"/>
  <c r="E245" i="1" s="1"/>
  <c r="F246" i="1" s="1"/>
  <c r="E31" i="1" s="1"/>
  <c r="C231" i="1"/>
  <c r="E231" i="1" s="1"/>
  <c r="E221" i="1"/>
  <c r="C219" i="1"/>
  <c r="E219" i="1" s="1"/>
  <c r="C218" i="1"/>
  <c r="E218" i="1" s="1"/>
  <c r="C217" i="1"/>
  <c r="E213" i="1"/>
  <c r="C212" i="1"/>
  <c r="C207" i="1"/>
  <c r="D206" i="1"/>
  <c r="D201" i="1"/>
  <c r="E201" i="1" s="1"/>
  <c r="E197" i="1"/>
  <c r="C194" i="1"/>
  <c r="C193" i="1"/>
  <c r="C190" i="1"/>
  <c r="C206" i="1" s="1"/>
  <c r="C189" i="1"/>
  <c r="C188" i="1"/>
  <c r="E185" i="1"/>
  <c r="E175" i="1"/>
  <c r="E173" i="1"/>
  <c r="E172" i="1"/>
  <c r="E171" i="1"/>
  <c r="E170" i="1"/>
  <c r="E169" i="1"/>
  <c r="E168" i="1"/>
  <c r="E167" i="1"/>
  <c r="E162" i="1"/>
  <c r="E160" i="1"/>
  <c r="E159" i="1"/>
  <c r="E158" i="1"/>
  <c r="E157" i="1"/>
  <c r="E156" i="1"/>
  <c r="E155" i="1"/>
  <c r="E154" i="1"/>
  <c r="E153" i="1"/>
  <c r="E152" i="1"/>
  <c r="E151" i="1"/>
  <c r="E150" i="1"/>
  <c r="E141" i="1"/>
  <c r="E140" i="1"/>
  <c r="E139" i="1"/>
  <c r="E134" i="1"/>
  <c r="A134" i="1"/>
  <c r="A140" i="1" s="1"/>
  <c r="E133" i="1"/>
  <c r="A133" i="1"/>
  <c r="A139" i="1" s="1"/>
  <c r="C128" i="1"/>
  <c r="C127" i="1"/>
  <c r="E121" i="1"/>
  <c r="D116" i="1"/>
  <c r="C116" i="1"/>
  <c r="C113" i="1"/>
  <c r="C110" i="1"/>
  <c r="C107" i="1"/>
  <c r="D105" i="1"/>
  <c r="D104" i="1"/>
  <c r="D107" i="1" s="1"/>
  <c r="E100" i="1"/>
  <c r="D92" i="1"/>
  <c r="E92" i="1" s="1"/>
  <c r="D91" i="1"/>
  <c r="E91" i="1" s="1"/>
  <c r="E89" i="1"/>
  <c r="E85" i="1"/>
  <c r="C80" i="1"/>
  <c r="C78" i="1"/>
  <c r="C75" i="1"/>
  <c r="C72" i="1"/>
  <c r="D70" i="1"/>
  <c r="D76" i="1" s="1"/>
  <c r="E76" i="1" s="1"/>
  <c r="E66" i="1"/>
  <c r="D59" i="1"/>
  <c r="E59" i="1" s="1"/>
  <c r="D58" i="1"/>
  <c r="E58" i="1" s="1"/>
  <c r="E57" i="1"/>
  <c r="E44" i="1"/>
  <c r="C174" i="1" s="1"/>
  <c r="A44" i="1"/>
  <c r="A43" i="1"/>
  <c r="E42" i="1"/>
  <c r="C161" i="1" s="1"/>
  <c r="A42" i="1"/>
  <c r="A41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F268" i="1" l="1"/>
  <c r="F270" i="1" s="1"/>
  <c r="E33" i="1" s="1"/>
  <c r="E206" i="1"/>
  <c r="E275" i="1"/>
  <c r="D276" i="1" s="1"/>
  <c r="E276" i="1" s="1"/>
  <c r="D161" i="1"/>
  <c r="E161" i="1" s="1"/>
  <c r="F162" i="1" s="1"/>
  <c r="D174" i="1"/>
  <c r="E174" i="1" s="1"/>
  <c r="F175" i="1" s="1"/>
  <c r="E190" i="1"/>
  <c r="C208" i="1" s="1"/>
  <c r="F135" i="1"/>
  <c r="E22" i="1" s="1"/>
  <c r="C237" i="1"/>
  <c r="E237" i="1" s="1"/>
  <c r="E229" i="1"/>
  <c r="D253" i="1"/>
  <c r="E253" i="1" s="1"/>
  <c r="D254" i="1" s="1"/>
  <c r="E254" i="1" s="1"/>
  <c r="F255" i="1" s="1"/>
  <c r="E32" i="1" s="1"/>
  <c r="D113" i="1"/>
  <c r="E113" i="1" s="1"/>
  <c r="D93" i="1"/>
  <c r="E93" i="1" s="1"/>
  <c r="D95" i="1" s="1"/>
  <c r="E95" i="1" s="1"/>
  <c r="E96" i="1" s="1"/>
  <c r="E104" i="1"/>
  <c r="D110" i="1"/>
  <c r="E110" i="1" s="1"/>
  <c r="D108" i="1"/>
  <c r="E108" i="1" s="1"/>
  <c r="D111" i="1"/>
  <c r="E111" i="1" s="1"/>
  <c r="D72" i="1"/>
  <c r="E72" i="1" s="1"/>
  <c r="D78" i="1"/>
  <c r="E78" i="1" s="1"/>
  <c r="D73" i="1"/>
  <c r="E73" i="1" s="1"/>
  <c r="D60" i="1"/>
  <c r="E60" i="1" s="1"/>
  <c r="D61" i="1" s="1"/>
  <c r="E61" i="1" s="1"/>
  <c r="E62" i="1" s="1"/>
  <c r="E70" i="1"/>
  <c r="E116" i="1"/>
  <c r="C235" i="1"/>
  <c r="E235" i="1" s="1"/>
  <c r="F141" i="1"/>
  <c r="E23" i="1" s="1"/>
  <c r="C203" i="1"/>
  <c r="C35" i="2"/>
  <c r="E107" i="1"/>
  <c r="C22" i="7"/>
  <c r="C24" i="7" s="1"/>
  <c r="F279" i="1"/>
  <c r="F281" i="1" s="1"/>
  <c r="E34" i="1" s="1"/>
  <c r="C233" i="1"/>
  <c r="D75" i="1"/>
  <c r="E75" i="1" s="1"/>
  <c r="D128" i="1"/>
  <c r="E128" i="1" s="1"/>
  <c r="E45" i="1"/>
  <c r="D127" i="1"/>
  <c r="E127" i="1" s="1"/>
  <c r="D217" i="1"/>
  <c r="E217" i="1" s="1"/>
  <c r="D220" i="1" s="1"/>
  <c r="E220" i="1" s="1"/>
  <c r="F221" i="1" s="1"/>
  <c r="E29" i="1" s="1"/>
  <c r="C239" i="1"/>
  <c r="E239" i="1" s="1"/>
  <c r="C28" i="3"/>
  <c r="D188" i="1"/>
  <c r="E188" i="1" s="1"/>
  <c r="C30" i="2"/>
  <c r="F241" i="1" l="1"/>
  <c r="E30" i="1" s="1"/>
  <c r="E233" i="1"/>
  <c r="D240" i="1"/>
  <c r="F177" i="1"/>
  <c r="E24" i="1" s="1"/>
  <c r="D193" i="1"/>
  <c r="E193" i="1" s="1"/>
  <c r="D194" i="1" s="1"/>
  <c r="E194" i="1" s="1"/>
  <c r="F129" i="1"/>
  <c r="E21" i="1" s="1"/>
  <c r="D114" i="1"/>
  <c r="E114" i="1" s="1"/>
  <c r="E117" i="1" s="1"/>
  <c r="D118" i="1" s="1"/>
  <c r="D189" i="1"/>
  <c r="E189" i="1" s="1"/>
  <c r="C204" i="1"/>
  <c r="D205" i="1" s="1"/>
  <c r="E205" i="1" s="1"/>
  <c r="D97" i="1"/>
  <c r="E97" i="1" s="1"/>
  <c r="E98" i="1" s="1"/>
  <c r="D99" i="1" s="1"/>
  <c r="E99" i="1" s="1"/>
  <c r="F100" i="1" s="1"/>
  <c r="E19" i="1" s="1"/>
  <c r="D79" i="1"/>
  <c r="E79" i="1" s="1"/>
  <c r="D80" i="1" s="1"/>
  <c r="E80" i="1" s="1"/>
  <c r="D63" i="1"/>
  <c r="E63" i="1" s="1"/>
  <c r="E64" i="1" s="1"/>
  <c r="D65" i="1" s="1"/>
  <c r="E65" i="1" s="1"/>
  <c r="F66" i="1" s="1"/>
  <c r="E17" i="1" s="1"/>
  <c r="C28" i="2"/>
  <c r="C19" i="2"/>
  <c r="C25" i="2" s="1"/>
  <c r="C34" i="2" s="1"/>
  <c r="C36" i="2" s="1"/>
  <c r="C209" i="1" l="1"/>
  <c r="D210" i="1" s="1"/>
  <c r="E210" i="1" s="1"/>
  <c r="E211" i="1" s="1"/>
  <c r="D212" i="1" s="1"/>
  <c r="E212" i="1" s="1"/>
  <c r="F213" i="1" s="1"/>
  <c r="E28" i="1" s="1"/>
  <c r="E195" i="1"/>
  <c r="D196" i="1" s="1"/>
  <c r="E196" i="1" s="1"/>
  <c r="F197" i="1" s="1"/>
  <c r="E27" i="1" s="1"/>
  <c r="C29" i="2"/>
  <c r="C32" i="2" s="1"/>
  <c r="C37" i="2" s="1"/>
  <c r="E81" i="1"/>
  <c r="C82" i="1" l="1"/>
  <c r="C118" i="1"/>
  <c r="E118" i="1" s="1"/>
  <c r="E119" i="1" s="1"/>
  <c r="D120" i="1" s="1"/>
  <c r="E120" i="1" s="1"/>
  <c r="F121" i="1" s="1"/>
  <c r="E26" i="1"/>
  <c r="F258" i="1"/>
  <c r="E25" i="1" s="1"/>
  <c r="D82" i="1"/>
  <c r="E82" i="1" l="1"/>
  <c r="E83" i="1" s="1"/>
  <c r="D84" i="1" s="1"/>
  <c r="E84" i="1" s="1"/>
  <c r="F85" i="1" s="1"/>
  <c r="E18" i="1" s="1"/>
  <c r="E20" i="1"/>
  <c r="F143" i="1" l="1"/>
  <c r="F283" i="1" l="1"/>
  <c r="E16" i="1"/>
  <c r="D288" i="1" l="1"/>
  <c r="E288" i="1" s="1"/>
  <c r="F289" i="1" s="1"/>
  <c r="F291" i="1" s="1"/>
  <c r="E35" i="1" s="1"/>
  <c r="F294" i="1" l="1"/>
  <c r="E36" i="1"/>
  <c r="F22" i="1" l="1"/>
  <c r="F32" i="1"/>
  <c r="F31" i="1"/>
  <c r="F33" i="1"/>
  <c r="F24" i="1"/>
  <c r="F29" i="1"/>
  <c r="F30" i="1"/>
  <c r="F34" i="1"/>
  <c r="F23" i="1"/>
  <c r="F21" i="1"/>
  <c r="F19" i="1"/>
  <c r="F17" i="1"/>
  <c r="F28" i="1"/>
  <c r="F27" i="1"/>
  <c r="F25" i="1"/>
  <c r="F26" i="1"/>
  <c r="F20" i="1"/>
  <c r="F18" i="1"/>
  <c r="F16" i="1"/>
  <c r="F35" i="1"/>
  <c r="F36" i="1" l="1"/>
</calcChain>
</file>

<file path=xl/comments1.xml><?xml version="1.0" encoding="utf-8"?>
<comments xmlns="http://schemas.openxmlformats.org/spreadsheetml/2006/main">
  <authors>
    <author/>
  </authors>
  <commentList>
    <comment ref="A14" authorId="0" shapeId="0">
      <text>
        <r>
          <rPr>
            <sz val="10"/>
            <rFont val="Arial"/>
            <charset val="1"/>
          </rPr>
          <t xml:space="preserve">Qualquer custo previsto no edital e não contemplado nesta planilha modelo deverá ser devidamente incluído
</t>
        </r>
      </text>
    </comment>
    <comment ref="B51" authorId="0" shapeId="0">
      <text>
        <r>
          <rPr>
            <sz val="10"/>
            <rFont val="Arial"/>
            <charset val="1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C58" authorId="0" shapeId="0">
      <text>
        <r>
          <rPr>
            <sz val="10"/>
            <rFont val="Arial"/>
            <charset val="1"/>
          </rPr>
          <t xml:space="preserve">Informar o número de horas extras trabalhadas nos domingos e feriados em horário diurno
</t>
        </r>
      </text>
    </comment>
    <comment ref="C59" authorId="0" shapeId="0">
      <text>
        <r>
          <rPr>
            <sz val="10"/>
            <rFont val="Arial"/>
            <charset val="1"/>
          </rPr>
          <t xml:space="preserve">Informar o número de horas extras trabalhadas em horário diurno de segunda a sábado 
</t>
        </r>
      </text>
    </comment>
    <comment ref="A60" authorId="0" shapeId="0">
      <text>
        <r>
          <rPr>
            <sz val="10"/>
            <rFont val="Arial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65" authorId="0" shapeId="0">
      <text>
        <r>
          <rPr>
            <sz val="10"/>
            <rFont val="Arial"/>
            <charset val="1"/>
          </rPr>
          <t>Informar a quantidade de trabalhadores na função</t>
        </r>
      </text>
    </comment>
    <comment ref="C71" authorId="0" shapeId="0">
      <text>
        <r>
          <rPr>
            <sz val="10"/>
            <rFont val="Arial"/>
            <charset val="1"/>
          </rPr>
          <t>Informar o número de horas noturnas trabalhadas no intervalo das 22:00h as 5:00h</t>
        </r>
      </text>
    </comment>
    <comment ref="C73" authorId="0" shapeId="0">
      <text>
        <r>
          <rPr>
            <sz val="10"/>
            <rFont val="Arial"/>
            <charset val="1"/>
          </rPr>
          <t>Informar o número de horas extras trabalhadas em horário diurno nos domingos e feriados</t>
        </r>
      </text>
    </comment>
    <comment ref="C74" authorId="0" shapeId="0">
      <text>
        <r>
          <rPr>
            <sz val="10"/>
            <rFont val="Arial"/>
            <charset val="1"/>
          </rPr>
          <t xml:space="preserve">Informar o número de horas extras trabalhadas em horário noturno (das 22:00h as 5h) nos domingos e feriados
</t>
        </r>
      </text>
    </comment>
    <comment ref="C76" authorId="0" shapeId="0">
      <text>
        <r>
          <rPr>
            <sz val="10"/>
            <rFont val="Arial"/>
            <charset val="1"/>
          </rPr>
          <t>Informar o número de horas extras trabalhadas em horário noturno de segunda à sábado</t>
        </r>
      </text>
    </comment>
    <comment ref="C77" authorId="0" shapeId="0">
      <text>
        <r>
          <rPr>
            <sz val="10"/>
            <rFont val="Arial"/>
            <charset val="1"/>
          </rPr>
          <t>Informar o número de horas extras trabalhadas em horário noturno (das 22:00h as 5h) de segunda a sábado</t>
        </r>
      </text>
    </comment>
    <comment ref="A79" authorId="0" shapeId="0">
      <text>
        <r>
          <rPr>
            <sz val="10"/>
            <rFont val="Arial"/>
            <charset val="1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82" authorId="0" shapeId="0">
      <text>
        <r>
          <rPr>
            <sz val="10"/>
            <rFont val="Arial"/>
            <charset val="1"/>
          </rPr>
          <t xml:space="preserve">Preencher a planilha Encargos Sociais e CAGED </t>
        </r>
      </text>
    </comment>
    <comment ref="C84" authorId="0" shapeId="0">
      <text>
        <r>
          <rPr>
            <sz val="10"/>
            <rFont val="Arial"/>
            <charset val="1"/>
          </rPr>
          <t>Informar a quantidade de trabalhadores na função</t>
        </r>
      </text>
    </comment>
    <comment ref="C91" authorId="0" shapeId="0">
      <text>
        <r>
          <rPr>
            <sz val="10"/>
            <rFont val="Arial"/>
            <charset val="1"/>
          </rPr>
          <t>Informar o número de horas extras trabalhadas em horário diurno nos domingos e feriados</t>
        </r>
      </text>
    </comment>
    <comment ref="C92" authorId="0" shapeId="0">
      <text>
        <r>
          <rPr>
            <sz val="10"/>
            <rFont val="Arial"/>
            <charset val="1"/>
          </rPr>
          <t xml:space="preserve">Informar o número de horas extras trabalhadas em horário diurno de segunda a sábado 
</t>
        </r>
      </text>
    </comment>
    <comment ref="A93" authorId="0" shapeId="0">
      <text>
        <r>
          <rPr>
            <sz val="10"/>
            <rFont val="Arial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94" authorId="0" shapeId="0">
      <text>
        <r>
          <rPr>
            <sz val="10"/>
            <rFont val="Arial"/>
            <charset val="1"/>
          </rPr>
          <t xml:space="preserve">Informar 1 se a base de cálculo for o Salário Mínimo Nacional; Informar 2 se a base de cálculo for o Piso da Categoria; 
</t>
        </r>
      </text>
    </comment>
    <comment ref="C95" authorId="0" shapeId="0">
      <text>
        <r>
          <rPr>
            <sz val="10"/>
            <rFont val="Arial"/>
            <charset val="1"/>
          </rPr>
          <t>Percentual estabelecido nas Normas de Segurança de Trabalho ou pelo laudo de responsável técnico devidamente habilitado</t>
        </r>
      </text>
    </comment>
    <comment ref="C99" authorId="0" shapeId="0">
      <text>
        <r>
          <rPr>
            <sz val="10"/>
            <rFont val="Arial"/>
            <charset val="1"/>
          </rPr>
          <t>Informar a quantidade de trabalhadores na função</t>
        </r>
      </text>
    </comment>
    <comment ref="C106" authorId="0" shapeId="0">
      <text>
        <r>
          <rPr>
            <sz val="10"/>
            <rFont val="Arial"/>
            <charset val="1"/>
          </rPr>
          <t>Informar o número de horas noturnas trabalhadas no intervalo das 22:00h as 5:00h</t>
        </r>
      </text>
    </comment>
    <comment ref="C108" authorId="0" shapeId="0">
      <text>
        <r>
          <rPr>
            <sz val="10"/>
            <rFont val="Arial"/>
            <charset val="1"/>
          </rPr>
          <t>Informar o número de horas extras trabalhadas em horário noturno nos domingos e feriados</t>
        </r>
      </text>
    </comment>
    <comment ref="C109" authorId="0" shapeId="0">
      <text>
        <r>
          <rPr>
            <sz val="10"/>
            <rFont val="Arial"/>
            <charset val="1"/>
          </rPr>
          <t xml:space="preserve">Informar o número de horas extras trabalhadas em horário noturno (das 22:00h as 5h) nos domingos e feriados
</t>
        </r>
      </text>
    </comment>
    <comment ref="C111" authorId="0" shapeId="0">
      <text>
        <r>
          <rPr>
            <sz val="10"/>
            <rFont val="Arial"/>
            <charset val="1"/>
          </rPr>
          <t>Informar o número de horas extras trabalhadas em horário noturno de segunda à sábado</t>
        </r>
      </text>
    </comment>
    <comment ref="C112" authorId="0" shapeId="0">
      <text>
        <r>
          <rPr>
            <sz val="10"/>
            <rFont val="Arial"/>
            <charset val="1"/>
          </rPr>
          <t>Informar o número de horas extras trabalhadas em horário noturno (das 22:00h as 5h) de segunda a sábado</t>
        </r>
      </text>
    </comment>
    <comment ref="A114" authorId="0" shapeId="0">
      <text>
        <r>
          <rPr>
            <sz val="10"/>
            <rFont val="Arial"/>
            <charset val="1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115" authorId="0" shapeId="0">
      <text>
        <r>
          <rPr>
            <sz val="10"/>
            <rFont val="Arial"/>
            <charset val="1"/>
          </rPr>
          <t xml:space="preserve">Informar 1 se a base de cálculo for o Salário Mínimo Nacional; Informar 2 se a base de cálculo for o Piso da Categoria; 
</t>
        </r>
      </text>
    </comment>
    <comment ref="C118" authorId="0" shapeId="0">
      <text>
        <r>
          <rPr>
            <sz val="10"/>
            <rFont val="Arial"/>
            <charset val="1"/>
          </rPr>
          <t xml:space="preserve">Preencher a planilha Encargos Sociais e CAGED </t>
        </r>
      </text>
    </comment>
    <comment ref="C120" authorId="0" shapeId="0">
      <text>
        <r>
          <rPr>
            <sz val="10"/>
            <rFont val="Arial"/>
            <charset val="1"/>
          </rPr>
          <t>Informar a quantidade de trabalhadores na função</t>
        </r>
      </text>
    </comment>
    <comment ref="D125" authorId="0" shapeId="0">
      <text>
        <r>
          <rPr>
            <sz val="10"/>
            <rFont val="Arial"/>
            <charset val="1"/>
          </rPr>
          <t>Informar o valor unitário do VT no município</t>
        </r>
      </text>
    </comment>
    <comment ref="C126" authorId="0" shapeId="0">
      <text>
        <r>
          <rPr>
            <sz val="10"/>
            <rFont val="Arial"/>
            <charset val="1"/>
          </rPr>
          <t>Informar o número médio de dias trabalhados por mês</t>
        </r>
      </text>
    </comment>
    <comment ref="D127" authorId="0" shapeId="0">
      <text>
        <r>
          <rPr>
            <sz val="10"/>
            <rFont val="Arial"/>
            <charset val="1"/>
          </rPr>
          <t>Valor Unitário considerando o desconto legal de até 6% do salário</t>
        </r>
      </text>
    </comment>
    <comment ref="D128" authorId="0" shapeId="0">
      <text>
        <r>
          <rPr>
            <sz val="10"/>
            <rFont val="Arial"/>
            <charset val="1"/>
          </rPr>
          <t xml:space="preserve">Valor Unitário considerando o desconto legal de até 6% do salário
</t>
        </r>
      </text>
    </comment>
    <comment ref="C150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1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2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3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4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5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6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7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8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59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67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68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69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70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71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72" authorId="0" shapeId="0">
      <text>
        <r>
          <rPr>
            <sz val="10"/>
            <rFont val="Arial"/>
            <charset val="1"/>
          </rPr>
          <t xml:space="preserve">Informar a durabilidade estimada em meses, para cada EPI
</t>
        </r>
      </text>
    </comment>
    <comment ref="C186" authorId="0" shapeId="0">
      <text>
        <r>
          <rPr>
            <sz val="10"/>
            <rFont val="Arial"/>
            <charset val="1"/>
          </rPr>
          <t>Informar a vida útil estimada para o caminhão, em anos</t>
        </r>
      </text>
    </comment>
    <comment ref="C187" authorId="0" shapeId="0">
      <text>
        <r>
          <rPr>
            <sz val="10"/>
            <rFont val="Arial"/>
            <charset val="1"/>
          </rPr>
          <t>Na elaboração do orçamento-base da licitação, informar 0 (zero). Na proposta da licitante, informar a idade do veículo proposto.</t>
        </r>
      </text>
    </comment>
    <comment ref="C188" authorId="0" shapeId="0">
      <text>
        <r>
          <rPr>
            <sz val="10"/>
            <rFont val="Arial"/>
            <charset val="1"/>
          </rPr>
          <t xml:space="preserve">Informar o valor da depreciação do caminhão, adotando o valor sugerido pelo TCE ou outro valor estimado 
</t>
        </r>
      </text>
    </comment>
    <comment ref="C191" authorId="0" shapeId="0">
      <text>
        <r>
          <rPr>
            <sz val="10"/>
            <rFont val="Arial"/>
            <charset val="1"/>
          </rPr>
          <t>Informar a vida útil estimada para o compactador, em anos</t>
        </r>
      </text>
    </comment>
    <comment ref="C192" authorId="0" shapeId="0">
      <text>
        <r>
          <rPr>
            <sz val="10"/>
            <rFont val="Arial"/>
            <charset val="1"/>
          </rPr>
          <t>Na elaboração do orçamento-base da licitação, informar 0 (zero). Na proposta da licitante, informar a idade do compactador proposto.</t>
        </r>
      </text>
    </comment>
    <comment ref="C193" authorId="0" shapeId="0">
      <text>
        <r>
          <rPr>
            <sz val="10"/>
            <rFont val="Arial"/>
            <charset val="1"/>
          </rPr>
          <t xml:space="preserve">Informar o valor da depreciação do compactador, adotando o valor sugerido pelo TCE ou outro valor estimado 
</t>
        </r>
      </text>
    </comment>
    <comment ref="C196" authorId="0" shapeId="0">
      <text>
        <r>
          <rPr>
            <sz val="10"/>
            <rFont val="Arial"/>
            <charset val="1"/>
          </rPr>
          <t>Informar a quantidade de caminhões compactadores do respectivo modelo</t>
        </r>
      </text>
    </comment>
    <comment ref="C202" authorId="0" shapeId="0">
      <text>
        <r>
          <rPr>
            <sz val="10"/>
            <rFont val="Arial"/>
            <charset val="1"/>
          </rPr>
          <t xml:space="preserve">Informar a taxa de juros anual para remuneração do capital. Recomenda-se o uso da Taxa SELIC
</t>
        </r>
      </text>
    </comment>
    <comment ref="B225" authorId="0" shapeId="0">
      <text>
        <r>
          <rPr>
            <sz val="10"/>
            <rFont val="Arial"/>
            <charset val="1"/>
          </rPr>
          <t xml:space="preserve">Informar a quilometragem mensal percorrida, de acordo com o projeto básico
</t>
        </r>
      </text>
    </comment>
    <comment ref="C228" authorId="0" shapeId="0">
      <text>
        <r>
          <rPr>
            <sz val="10"/>
            <rFont val="Arial"/>
            <charset val="1"/>
          </rPr>
          <t>Informar o consumo estimado do veículo em km/l</t>
        </r>
      </text>
    </comment>
    <comment ref="C230" authorId="0" shapeId="0">
      <text>
        <r>
          <rPr>
            <sz val="10"/>
            <rFont val="Arial"/>
            <charset val="1"/>
          </rPr>
          <t>Informar o consumo de óleo do motor a cada 1000km</t>
        </r>
      </text>
    </comment>
    <comment ref="C232" authorId="0" shapeId="0">
      <text>
        <r>
          <rPr>
            <sz val="10"/>
            <rFont val="Arial"/>
            <charset val="1"/>
          </rPr>
          <t>Informar o consumo de óleo da transmissão a cada 1000km</t>
        </r>
      </text>
    </comment>
    <comment ref="C234" authorId="0" shapeId="0">
      <text>
        <r>
          <rPr>
            <sz val="10"/>
            <rFont val="Arial"/>
            <charset val="1"/>
          </rPr>
          <t>Informar o consumo de óleo hidráulico a cada 1000km</t>
        </r>
      </text>
    </comment>
    <comment ref="C236" authorId="0" shapeId="0">
      <text>
        <r>
          <rPr>
            <sz val="10"/>
            <rFont val="Arial"/>
            <charset val="1"/>
          </rPr>
          <t>Informar o consumo de graxa a cada 1000km</t>
        </r>
      </text>
    </comment>
    <comment ref="C238" authorId="0" shapeId="0">
      <text>
        <r>
          <rPr>
            <sz val="10"/>
            <rFont val="Arial"/>
            <charset val="1"/>
          </rPr>
          <t>Informar o consumo de graxa a cada 1000km</t>
        </r>
      </text>
    </comment>
    <comment ref="C250" authorId="0" shapeId="0">
      <text>
        <r>
          <rPr>
            <sz val="10"/>
            <rFont val="Arial"/>
            <charset val="1"/>
          </rPr>
          <t>Informar a quantidade de pneus novos de 1 caminhão</t>
        </r>
      </text>
    </comment>
    <comment ref="C251" authorId="0" shapeId="0">
      <text>
        <r>
          <rPr>
            <sz val="10"/>
            <rFont val="Arial"/>
            <charset val="1"/>
          </rPr>
          <t>Informar o número de recapagens por pneu</t>
        </r>
      </text>
    </comment>
    <comment ref="C253" authorId="0" shapeId="0">
      <text>
        <r>
          <rPr>
            <sz val="10"/>
            <rFont val="Arial"/>
            <charset val="1"/>
          </rPr>
          <t xml:space="preserve">Informar a durabilidade média dos pneus considerando todas as recapagens, em km
</t>
        </r>
      </text>
    </comment>
    <comment ref="C263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64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65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66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C267" authorId="0" shapeId="0">
      <text>
        <r>
          <rPr>
            <sz val="10"/>
            <rFont val="Arial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A272" authorId="0" shapeId="0">
      <text>
        <r>
          <rPr>
            <sz val="10"/>
            <rFont val="Arial"/>
            <charset val="1"/>
          </rPr>
          <t xml:space="preserve">Especificar somente quando for exigido no Projeto Básico
</t>
        </r>
      </text>
    </comment>
    <comment ref="D275" authorId="0" shapeId="0">
      <text>
        <r>
          <rPr>
            <sz val="10"/>
            <rFont val="Arial"/>
            <charset val="1"/>
          </rPr>
          <t>Informar o valor total para instalação do equipamento de monitoramento da frota, se houver previsão no Projeto Básico</t>
        </r>
      </text>
    </comment>
    <comment ref="D277" authorId="0" shapeId="0">
      <text>
        <r>
          <rPr>
            <sz val="10"/>
            <rFont val="Arial"/>
            <charset val="1"/>
          </rPr>
          <t>Informar o valor unitário mensal para manutenção dos equipamentos de monitoramento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12" authorId="0" shapeId="0">
      <text>
        <r>
          <rPr>
            <sz val="10"/>
            <rFont val="Arial"/>
            <charset val="1"/>
          </rPr>
          <t xml:space="preserve">Informar o % de Administração Central estimado
</t>
        </r>
      </text>
    </comment>
    <comment ref="C13" authorId="0" shapeId="0">
      <text>
        <r>
          <rPr>
            <sz val="10"/>
            <rFont val="Arial"/>
            <charset val="1"/>
          </rPr>
          <t xml:space="preserve">Informar o % de Seguros, Riscos e Garantia estimado
</t>
        </r>
      </text>
    </comment>
    <comment ref="C14" authorId="0" shapeId="0">
      <text>
        <r>
          <rPr>
            <sz val="10"/>
            <rFont val="Arial"/>
            <charset val="1"/>
          </rPr>
          <t xml:space="preserve">Informar o % de Lucro estimado
</t>
        </r>
      </text>
    </comment>
    <comment ref="E15" authorId="0" shapeId="0">
      <text>
        <r>
          <rPr>
            <sz val="10"/>
            <rFont val="Arial"/>
            <charset val="1"/>
          </rPr>
          <t>Informar o valor anual da taxa financeira, em percentual. Admite-se utilizar a SELIC</t>
        </r>
      </text>
    </comment>
    <comment ref="C16" authorId="0" shapeId="0">
      <text>
        <r>
          <rPr>
            <sz val="10"/>
            <rFont val="Arial"/>
            <charset val="1"/>
          </rPr>
          <t xml:space="preserve">Informar o percentual de ISS, de acordo com a legislação tributária do município onde serão prestados os serviços. De 2% até o limite de 5%.
</t>
        </r>
      </text>
    </comment>
    <comment ref="E16" authorId="0" shapeId="0">
      <text>
        <r>
          <rPr>
            <sz val="10"/>
            <rFont val="Arial"/>
            <charset val="1"/>
          </rPr>
          <t xml:space="preserve">Informar a média de dias úteis entre data de pagamento prevista no contrato e a data final do período de adimplemento da parcela
</t>
        </r>
      </text>
    </comment>
    <comment ref="C17" authorId="0" shapeId="0">
      <text>
        <r>
          <rPr>
            <sz val="10"/>
            <rFont val="Arial"/>
            <charset val="1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C12" authorId="0" shapeId="0">
      <text>
        <r>
          <rPr>
            <sz val="10"/>
            <rFont val="Arial"/>
            <charset val="1"/>
          </rPr>
          <t>Informar a população do município a ser atendida</t>
        </r>
      </text>
    </comment>
    <comment ref="C13" authorId="0" shapeId="0">
      <text>
        <r>
          <rPr>
            <sz val="10"/>
            <rFont val="Arial"/>
            <charset val="1"/>
          </rPr>
          <t>Caso o município possua informações de pesagem, ajustar com o valor da geração média per capita realizada nos últimos 12 meses</t>
        </r>
      </text>
    </comment>
    <comment ref="C14" authorId="0" shapeId="0">
      <text>
        <r>
          <rPr>
            <sz val="10"/>
            <rFont val="Arial"/>
            <charset val="1"/>
          </rPr>
          <t>retorna a geração diária a ser recolhida</t>
        </r>
      </text>
    </comment>
    <comment ref="C16" authorId="0" shapeId="0">
      <text>
        <r>
          <rPr>
            <sz val="10"/>
            <rFont val="Arial"/>
            <charset val="1"/>
          </rPr>
          <t>Informe o número de dias de coleta por semana</t>
        </r>
      </text>
    </comment>
    <comment ref="C19" authorId="0" shapeId="0">
      <text>
        <r>
          <rPr>
            <sz val="10"/>
            <rFont val="Arial"/>
            <charset val="1"/>
          </rPr>
          <t>Informar 1 para caminhão toco; Informar 2 para caminhão truck</t>
        </r>
        <r>
          <rPr>
            <b/>
            <sz val="8"/>
            <color rgb="FF000000"/>
            <rFont val="Tahoma"/>
            <family val="2"/>
            <charset val="1"/>
          </rPr>
          <t xml:space="preserve"> </t>
        </r>
      </text>
    </comment>
    <comment ref="C20" authorId="0" shapeId="0">
      <text>
        <r>
          <rPr>
            <sz val="10"/>
            <rFont val="Arial"/>
            <charset val="1"/>
          </rPr>
          <t>Informar a capacidade do compactador em m³</t>
        </r>
      </text>
    </comment>
    <comment ref="C23" authorId="0" shapeId="0">
      <text>
        <r>
          <rPr>
            <sz val="10"/>
            <rFont val="Arial"/>
            <charset val="1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<sst xmlns="http://schemas.openxmlformats.org/spreadsheetml/2006/main" count="621" uniqueCount="330">
  <si>
    <t>Orientações para preenchimento: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</si>
  <si>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</si>
  <si>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</si>
  <si>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2. Antes de preenchê-la, leia a Orientação Técnica - Serviço de coleta de resíduos sólidos domiciliares</t>
  </si>
  <si>
    <t>3. Preencher somente células em amarelo</t>
  </si>
  <si>
    <t>4. As células azuis deverão ter seus valores preenchidos em outra planilha do arquivo.</t>
  </si>
  <si>
    <t>O TCE/RS não se responsabiliza pelo uso incorreto desta planilha.</t>
  </si>
  <si>
    <t>O orçamento deve ser realizado por responsável técnico habilitado e é de responsabilidade do seu autor.</t>
  </si>
  <si>
    <t xml:space="preserve">1. Coleta de Resíduos Sólidos </t>
  </si>
  <si>
    <t>Planilha de Composição de Custos</t>
  </si>
  <si>
    <t>Orçamento Sintético</t>
  </si>
  <si>
    <t>Descrição do Item</t>
  </si>
  <si>
    <t>Custo (R$/mês)</t>
  </si>
  <si>
    <t>%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</si>
  <si>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</si>
  <si>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</si>
  <si>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</si>
  <si>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</si>
  <si>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</si>
  <si>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</si>
  <si>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</si>
  <si>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1.1. Coletor Turno Dia</t>
  </si>
  <si>
    <t>Discriminação</t>
  </si>
  <si>
    <t>Unidade</t>
  </si>
  <si>
    <t>Custo unitário</t>
  </si>
  <si>
    <t>Subtotal</t>
  </si>
  <si>
    <r>
      <rPr>
        <b/>
        <sz val="9"/>
        <rFont val="Arial"/>
        <family val="2"/>
        <charset val="1"/>
      </rPr>
      <t xml:space="preserve">Total </t>
    </r>
    <r>
      <rPr>
        <b/>
        <u/>
        <sz val="9"/>
        <rFont val="Arial"/>
        <family val="2"/>
        <charset val="1"/>
      </rPr>
      <t>(R$)</t>
    </r>
  </si>
  <si>
    <t>Piso da categoria</t>
  </si>
  <si>
    <t>mês</t>
  </si>
  <si>
    <t>Horas Extras (100%)</t>
  </si>
  <si>
    <t>hora</t>
  </si>
  <si>
    <t>Horas Extras (50%)</t>
  </si>
  <si>
    <t>Descanso Semanal Remunerado (DSR) - hora extra</t>
  </si>
  <si>
    <t>R$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</si>
  <si>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</si>
  <si>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</si>
  <si>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</si>
  <si>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</si>
  <si>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</si>
  <si>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</si>
  <si>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</si>
  <si>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>1.2. Coletor Turno Noite</t>
  </si>
  <si>
    <t>Adicional Noturno</t>
  </si>
  <si>
    <t>horas trabalhadas</t>
  </si>
  <si>
    <t>hora contabilizada</t>
  </si>
  <si>
    <t>Horas Extras Noturnas (100%)</t>
  </si>
  <si>
    <t>Horas Extras Noturnas (50%)</t>
  </si>
  <si>
    <t>1.3. Motorista Turno do Dia</t>
  </si>
  <si>
    <t>Piso da categoria (2)</t>
  </si>
  <si>
    <t>Salário mínimo nacional (1)</t>
  </si>
  <si>
    <t>Base de cálculo da Insalubridade</t>
  </si>
  <si>
    <t>Total por Motorista</t>
  </si>
  <si>
    <t>1.4. Motorista Turno Noite</t>
  </si>
  <si>
    <t>1.5. Vale Transporte</t>
  </si>
  <si>
    <t>Vale Transporte</t>
  </si>
  <si>
    <t>Dias Trabalhados por mês</t>
  </si>
  <si>
    <t>dia</t>
  </si>
  <si>
    <t>Coletor</t>
  </si>
  <si>
    <t>vale</t>
  </si>
  <si>
    <t>Motorista</t>
  </si>
  <si>
    <t>1.6. Vale-refeição (diário)</t>
  </si>
  <si>
    <t>unidade</t>
  </si>
  <si>
    <t>Vale-refeição (diário)</t>
  </si>
  <si>
    <t>Custo Mensal com Mão-de-obra (R$/mês)</t>
  </si>
  <si>
    <t>2. Uniformes e Equipamentos de Proteção Individual</t>
  </si>
  <si>
    <t>2.1. Uniformes e EPIs para Coletor</t>
  </si>
  <si>
    <t>Durabilidade (meses)</t>
  </si>
  <si>
    <t>Jaqueta com reflexivo (NBR 15.292)</t>
  </si>
  <si>
    <t>Calça</t>
  </si>
  <si>
    <t>Camiseta</t>
  </si>
  <si>
    <t>Boné</t>
  </si>
  <si>
    <t>Botina de segurança c/ palmilha aço</t>
  </si>
  <si>
    <t>par</t>
  </si>
  <si>
    <t>Meia de algodão com cano alto</t>
  </si>
  <si>
    <t>Capa de chuva amarela com reflexivo</t>
  </si>
  <si>
    <t>Colete reflexivo</t>
  </si>
  <si>
    <t>Luva de proteção</t>
  </si>
  <si>
    <t>Protetor solar FPS 30</t>
  </si>
  <si>
    <t>frasco 120g</t>
  </si>
  <si>
    <t>Higienização de uniformes e EPIs</t>
  </si>
  <si>
    <t>R$ mensal</t>
  </si>
  <si>
    <t>2.2. Uniformes e EPIs para demais categorias</t>
  </si>
  <si>
    <t>Custo Mensal com Uniformes e EPIs (R$/mês)</t>
  </si>
  <si>
    <t>3. Veículos e Equipamentos</t>
  </si>
  <si>
    <t>3.1.1. Depreciação</t>
  </si>
  <si>
    <t>Custo de aquisição do chassis</t>
  </si>
  <si>
    <t>Vida útil do chassis</t>
  </si>
  <si>
    <t>anos</t>
  </si>
  <si>
    <t>Idade do veículo</t>
  </si>
  <si>
    <t>Depreciação do chassis</t>
  </si>
  <si>
    <t>Depreciação mensal veículos coletores</t>
  </si>
  <si>
    <t>Custo de aquisição do compactador</t>
  </si>
  <si>
    <t>Vida útil do compactador</t>
  </si>
  <si>
    <t>Idade do compactador</t>
  </si>
  <si>
    <t>Depreciação do compactador</t>
  </si>
  <si>
    <t>Depreciação mensal do compactador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</si>
  <si>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</si>
  <si>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</si>
  <si>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</si>
  <si>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</si>
  <si>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</si>
  <si>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</si>
  <si>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</si>
  <si>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</si>
  <si>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>Custo do compactador</t>
  </si>
  <si>
    <t>Valor do compactador proposto (V0)</t>
  </si>
  <si>
    <t>Investimento médio total do compactador</t>
  </si>
  <si>
    <t>Remuneração mensal de capital do compactador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</si>
  <si>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</si>
  <si>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</si>
  <si>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</si>
  <si>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</si>
  <si>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</si>
  <si>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</si>
  <si>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</si>
  <si>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Consumo</t>
  </si>
  <si>
    <t>Custo de óleo diesel S10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</si>
  <si>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</si>
  <si>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</si>
  <si>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</si>
  <si>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</si>
  <si>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</si>
  <si>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</si>
  <si>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</si>
  <si>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</si>
  <si>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</si>
  <si>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</si>
  <si>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</si>
  <si>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</si>
  <si>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</si>
  <si>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Custo de arla/5% do consumo diesel</t>
  </si>
  <si>
    <t>Custo mensal com arla</t>
  </si>
  <si>
    <t>Custo com consumos/km rodado</t>
  </si>
  <si>
    <t>R$/km rodado</t>
  </si>
  <si>
    <t>3.1.5. Manutenção</t>
  </si>
  <si>
    <t>Custo de manutenção dos caminhões</t>
  </si>
  <si>
    <t>3.1.6. Pneus</t>
  </si>
  <si>
    <t>Custo do jogo de pneus 275/80 R22,5</t>
  </si>
  <si>
    <t>Número de recapagens por pneu</t>
  </si>
  <si>
    <t>Custo de recapagem</t>
  </si>
  <si>
    <r>
      <rPr>
        <sz val="10"/>
        <rFont val="Arial"/>
        <family val="2"/>
        <charset val="1"/>
      </rPr>
      <t xml:space="preserve">Custo jg. compl. + </t>
    </r>
    <r>
      <rPr>
        <sz val="10"/>
        <color rgb="FFFF0000"/>
        <rFont val="Arial"/>
        <family val="2"/>
        <charset val="1"/>
      </rPr>
      <t>X</t>
    </r>
    <r>
      <rPr>
        <sz val="10"/>
        <rFont val="Arial"/>
        <family val="2"/>
        <charset val="1"/>
      </rPr>
      <t xml:space="preserve"> recap./ km rodado</t>
    </r>
  </si>
  <si>
    <t>km/jogo</t>
  </si>
  <si>
    <t>Custo mensal com pneus</t>
  </si>
  <si>
    <t>Custo Mensal com Veículos e Equipamentos (R$/mês)</t>
  </si>
  <si>
    <t>4. Ferramentas e Materiais de Consumo</t>
  </si>
  <si>
    <t>Recipiente térmico para água (5L)</t>
  </si>
  <si>
    <t>Pá de Concha</t>
  </si>
  <si>
    <t>Vassoura</t>
  </si>
  <si>
    <t>Publicidade (adesivos equipamentos)</t>
  </si>
  <si>
    <t>cj</t>
  </si>
  <si>
    <t>Publicidade (adesivos veículos)</t>
  </si>
  <si>
    <t>Custo Mensal com Ferramentas e Materiais de Consumo (R$/mês)</t>
  </si>
  <si>
    <t>5. Monitoramento da Frota</t>
  </si>
  <si>
    <t>Implantação dos equipamentos de monitoramento</t>
  </si>
  <si>
    <t>Custo mensal com implantação</t>
  </si>
  <si>
    <t>Manutenção dos equipamentos de monitoramento</t>
  </si>
  <si>
    <t>Custo mensal com manutenção</t>
  </si>
  <si>
    <t>Custo Mensal com Monitoramento da Frota (R$/mês)</t>
  </si>
  <si>
    <t>CUSTO TOTAL MENSAL COM DESPESAS OPERACIONAIS (R$/mês)</t>
  </si>
  <si>
    <t>6. Benefícios e Despesas Indiretas - BDI</t>
  </si>
  <si>
    <t>Benefícios e despesas indiretas</t>
  </si>
  <si>
    <t>CUSTO MENSAL COM BDI (R$/mês)</t>
  </si>
  <si>
    <t>PREÇO MENSAL TOTAL COLETA E TRANSPORTE(R$/mês)</t>
  </si>
  <si>
    <t xml:space="preserve">Quantidade média de resíduos coletados por mês: </t>
  </si>
  <si>
    <t>toneladas</t>
  </si>
  <si>
    <t>PREÇO POR TONELADA ENCAMINHADA PARA DESTINAÇAÕ FINAL:  [A/B]</t>
  </si>
  <si>
    <t>/tonelada</t>
  </si>
  <si>
    <t>PREÇO TOTAL DE DESTINAÇÃO FINAL:  [A/B]</t>
  </si>
  <si>
    <t>1. Preencha previamente os dados de entrada na planilha 3.CAGED</t>
  </si>
  <si>
    <t xml:space="preserve">2.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</si>
  <si>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</si>
  <si>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</si>
  <si>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</si>
  <si>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</si>
  <si>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</si>
  <si>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</si>
  <si>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</si>
  <si>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</si>
  <si>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</si>
  <si>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</si>
  <si>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</si>
  <si>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</si>
  <si>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</si>
  <si>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</si>
  <si>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</si>
  <si>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</si>
  <si>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</si>
  <si>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</si>
  <si>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</si>
  <si>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</si>
  <si>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</si>
  <si>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</si>
  <si>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</si>
  <si>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</si>
  <si>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</si>
  <si>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</si>
  <si>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</si>
  <si>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</si>
  <si>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</si>
  <si>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</si>
  <si>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</si>
  <si>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</si>
  <si>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</si>
  <si>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</si>
  <si>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</si>
  <si>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</si>
  <si>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</si>
  <si>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</si>
  <si>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</si>
  <si>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</si>
  <si>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</si>
  <si>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</si>
  <si>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</si>
  <si>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</si>
  <si>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</si>
  <si>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</si>
  <si>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</si>
  <si>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</si>
  <si>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</si>
  <si>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</si>
  <si>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</si>
  <si>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</si>
  <si>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</si>
  <si>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</si>
  <si>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CÁLCULO DAS VERBAS INDENIZATÓRIAS DOS EMPREGADOS NO SETOR DE COLETA DE RSU</t>
  </si>
  <si>
    <t>Tendo em vista que o CAGED foi descontinuado em janeiro de 2020, esta planilha foi atualizada até 31/12/2019.</t>
  </si>
  <si>
    <t>Preencha as células em amarelo</t>
  </si>
  <si>
    <t>3. CAGED</t>
  </si>
  <si>
    <t>Rio Grande do Sul  - Coleta de Resíduos Não-Perigosos - CNAE 38114</t>
  </si>
  <si>
    <t>Admissões</t>
  </si>
  <si>
    <t>Desligamentos</t>
  </si>
  <si>
    <t>Dispensados com justa causa</t>
  </si>
  <si>
    <t>Dispensados sem justa causa</t>
  </si>
  <si>
    <t>Espontâneos</t>
  </si>
  <si>
    <t>Fim de contrato por prazo determinado</t>
  </si>
  <si>
    <t>Término de contrato</t>
  </si>
  <si>
    <t>Aposentados</t>
  </si>
  <si>
    <t>Mortos</t>
  </si>
  <si>
    <t>Transferência de saída</t>
  </si>
  <si>
    <t>Acordo</t>
  </si>
  <si>
    <t xml:space="preserve"> </t>
  </si>
  <si>
    <t>Indicadores</t>
  </si>
  <si>
    <t>Estoque recuperado início do Período 01-01-2019</t>
  </si>
  <si>
    <t>Estoque recuperado final do Período 31-12-2019</t>
  </si>
  <si>
    <t>Variação Emprego Absoluta de 01-01-2019 a 31-12-2019</t>
  </si>
  <si>
    <t>Estoque Médio</t>
  </si>
  <si>
    <t>% Demitidos s/ Justa Causa em relação ao Estoque Médio</t>
  </si>
  <si>
    <t>Taxa de Rotatividade</t>
  </si>
  <si>
    <t>Rotatividade temporal (meses)</t>
  </si>
  <si>
    <t>Dias ano</t>
  </si>
  <si>
    <t>1/3 de férias (dias)</t>
  </si>
  <si>
    <t>Férias (dias)</t>
  </si>
  <si>
    <t>13º Salário (dias)</t>
  </si>
  <si>
    <t>Dias de Aviso prévio</t>
  </si>
  <si>
    <t>Multa FGTS</t>
  </si>
  <si>
    <t>Ajustado, de acordo com a nova Lei Federal nº 13.932/2019</t>
  </si>
  <si>
    <t>1. Esta planilha é somente um modelo-base e deve ser ajustada conforme cada caso concreto.</t>
  </si>
  <si>
    <t>2. Preencher somente células em amarelo</t>
  </si>
  <si>
    <t>4.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</si>
  <si>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</si>
  <si>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</si>
  <si>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</si>
  <si>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</si>
  <si>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</si>
  <si>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</si>
  <si>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</si>
  <si>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</si>
  <si>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</si>
  <si>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</si>
  <si>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</si>
  <si>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</si>
  <si>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</si>
  <si>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</si>
  <si>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</si>
  <si>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</si>
  <si>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</si>
  <si>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</si>
  <si>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</si>
  <si>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</si>
  <si>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5. Depreciação Referencial TCE/RS (%)</t>
  </si>
  <si>
    <t>Idade do veículo (ano)</t>
  </si>
  <si>
    <t>Depreciação Média</t>
  </si>
  <si>
    <t>6. Remuneração de Capital</t>
  </si>
  <si>
    <t>Fórmula de cálculo da remuneração de capital:</t>
  </si>
  <si>
    <r>
      <rPr>
        <sz val="12"/>
        <color rgb="FF000000"/>
        <rFont val="Arial"/>
        <family val="2"/>
        <charset val="1"/>
      </rPr>
      <t>J</t>
    </r>
    <r>
      <rPr>
        <vertAlign val="subscript"/>
        <sz val="12"/>
        <color rgb="FF000000"/>
        <rFont val="Arial"/>
        <family val="2"/>
        <charset val="1"/>
      </rPr>
      <t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</si>
  <si>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>i = taxa de juros do mercado (sugere-se adotar a taxa SELIC)</t>
  </si>
  <si>
    <t>Im = investimento médio</t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</si>
  <si>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</si>
  <si>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rgb="FF000000"/>
        <rFont val="Arial"/>
        <family val="2"/>
        <charset val="1"/>
      </rPr>
      <t>V</t>
    </r>
    <r>
      <rPr>
        <vertAlign val="subscript"/>
        <sz val="12"/>
        <color rgb="FF000000"/>
        <rFont val="Arial"/>
        <family val="2"/>
        <charset val="1"/>
      </rPr>
      <t>r</t>
    </r>
    <r>
      <rPr>
        <sz val="12"/>
        <color rgb="FF000000"/>
        <rFont val="Arial"/>
        <family val="2"/>
        <charset val="1"/>
      </rPr>
      <t xml:space="preserve"> = valor residual do bem</t>
    </r>
  </si>
  <si>
    <t>n = vida útil do bem em anos</t>
  </si>
  <si>
    <t>1. Esta planilha é somente um modelo de cálculo expedito e deve ser ajustada conforme cada caso concreto.</t>
  </si>
  <si>
    <t>2. Dimensionar separadamente setores atendidos por veículos de capacidade de carga diferentes.</t>
  </si>
  <si>
    <t>7. Dimensionamento da frota</t>
  </si>
  <si>
    <t>Indicador</t>
  </si>
  <si>
    <t>Unid</t>
  </si>
  <si>
    <t>População (H)</t>
  </si>
  <si>
    <t>hab</t>
  </si>
  <si>
    <t>Geração per capita (G)</t>
  </si>
  <si>
    <t>Kg/hab.dia</t>
  </si>
  <si>
    <t>Geração total diária (Qd)</t>
  </si>
  <si>
    <t>ton/dia</t>
  </si>
  <si>
    <t>Geração Mensal</t>
  </si>
  <si>
    <t>ton</t>
  </si>
  <si>
    <t>Número de dias de coleta por semana (Dc)</t>
  </si>
  <si>
    <t>Quantitativo diário de coleta (Qc)</t>
  </si>
  <si>
    <t>Densidade RSU compactado</t>
  </si>
  <si>
    <t>Kg/m³</t>
  </si>
  <si>
    <t>Tipo de Veículo (1 = toco, 2 = truck)</t>
  </si>
  <si>
    <t>Capacidade do Compactador</t>
  </si>
  <si>
    <t>m³</t>
  </si>
  <si>
    <t>Capacidade nominal de carga (Cc)</t>
  </si>
  <si>
    <t>Número de Cargas por dia (Nc)</t>
  </si>
  <si>
    <t>Número total de percursos de coleta por veículo, por dia (Np)</t>
  </si>
  <si>
    <t>Número de veículos da Frota (F)</t>
  </si>
  <si>
    <r>
      <t>3.1. Veículo Coletor Compactador</t>
    </r>
    <r>
      <rPr>
        <sz val="10"/>
        <color rgb="FFFF0000"/>
        <rFont val="Arial"/>
        <family val="2"/>
        <charset val="1"/>
      </rPr>
      <t xml:space="preserve"> 12</t>
    </r>
    <r>
      <rPr>
        <sz val="10"/>
        <rFont val="Arial"/>
        <family val="2"/>
        <charset val="1"/>
      </rPr>
      <t xml:space="preserve"> m³</t>
    </r>
  </si>
  <si>
    <t>LICITACON - Prefeitura Municipal de Estância Velha- Pregão Eletrônico - 010/2025</t>
  </si>
  <si>
    <t>TABELA FIPE VW 17260 E CONTEL. 4X2 2P DIESEL</t>
  </si>
  <si>
    <t>LICITACON - PREFEITURA DE BOZANO - PE 02/2025</t>
  </si>
  <si>
    <t>LICITACON - PREFEITURA DE BOZANO - PE 11/2025</t>
  </si>
  <si>
    <t>LICITACON - PREFEITURA DE BOZANO - PE 26/2025</t>
  </si>
  <si>
    <t>LICITACON - PREFEITURA DE BOZANO - PE 23/2025</t>
  </si>
  <si>
    <t>LICITACON - PREFEITURA DE SANTA BÁRBARA DO SUL - PE 36/2025</t>
  </si>
  <si>
    <t>LICITACON - PREFEITURA DE NOVO MACHADO - PE 28/2025</t>
  </si>
  <si>
    <t>LICITACON - PREFEITURA DE AJURICABA - PE 58/2025</t>
  </si>
  <si>
    <t>LICITACON - PREFEITURA DE PALMEIRA DAS MISSÕES - PE 161/2025</t>
  </si>
  <si>
    <t>PESQUISA DE MERCADO</t>
  </si>
  <si>
    <t>LICITACON - PREFEITURA DE SANTA BÁRBARA DO SUL - PE 70/2025</t>
  </si>
  <si>
    <t>LICITACON - PREFEITURA DE SANTA BÁRBARA DO SUL - PE 27/2025</t>
  </si>
  <si>
    <t>LICITACON - COMAJA LICITAÇÃO 12/2025</t>
  </si>
  <si>
    <t>PREÇO TOTAL MENSAL COM A COLETA 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</si>
</sst>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(* #,##0.00_);_(* \(#,##0.00\);_(* \-??_);_(@_)"/>
    <numFmt numFmtId="165" formatCode="&quot;R$ &quot;#,##0.00"/>
    <numFmt numFmtId="166" formatCode="&quot;R$ &quot;#,##0.00_);&quot;(R$ &quot;#,##0.00\)"/>
    <numFmt numFmtId="167" formatCode="_(* #,##0_);_(* \(#,##0\);_(* \-??_);_(@_)"/>
    <numFmt numFmtId="168" formatCode="_-* #,##0.00_-;\-* #,##0.00_-;_-* \-??_-;_-@_-"/>
    <numFmt numFmtId="169" formatCode="_(* #,##0.000_);_(* \(#,##0.000\);_(* \-??_);_(@_)"/>
    <numFmt numFmtId="170" formatCode="0.0000"/>
    <numFmt numFmtId="171" formatCode="_-* #,##0.000_-;\-* #,##0.000_-;_-* \-??_-;_-@_-"/>
    <numFmt numFmtId="172" formatCode="_-* #,##0.00_-;\-* #,##0.00_-;_-* \-?_-;_-@_-"/>
    <numFmt numFmtId="173" formatCode="_-* #,##0_-;\-* #,##0_-;_-* \-?_-;_-@_-"/>
  </numFmts>
  <fonts count="27" x14ac:knownFonts="1">
    <font>
      <sz val="10"/>
      <name val="Arial"/>
      <charset val="1"/>
    </font>
    <font>
      <sz val="10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FF0000"/>
      <name val="Arial"/>
      <family val="2"/>
      <charset val="1"/>
    </font>
    <font>
      <sz val="12"/>
      <name val="Arial"/>
      <family val="2"/>
      <charset val="1"/>
    </font>
    <font>
      <b/>
      <sz val="14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b/>
      <u/>
      <sz val="9"/>
      <name val="Arial"/>
      <family val="2"/>
      <charset val="1"/>
    </font>
    <font>
      <sz val="8"/>
      <name val="Arial"/>
      <family val="2"/>
      <charset val="1"/>
    </font>
    <font>
      <sz val="10"/>
      <color rgb="FF0000FF"/>
      <name val="Arial"/>
      <family val="2"/>
      <charset val="1"/>
    </font>
    <font>
      <u/>
      <sz val="10"/>
      <color rgb="FF0000FF"/>
      <name val="Arial"/>
      <family val="2"/>
      <charset val="1"/>
    </font>
    <font>
      <sz val="10"/>
      <color rgb="FFFF0000"/>
      <name val="Arial"/>
      <family val="2"/>
      <charset val="1"/>
    </font>
    <font>
      <sz val="9"/>
      <name val="Arial"/>
      <family val="2"/>
      <charset val="1"/>
    </font>
    <font>
      <i/>
      <sz val="10"/>
      <name val="Arial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rgb="FF000000"/>
      <name val="Arial"/>
      <family val="2"/>
      <charset val="1"/>
    </font>
    <font>
      <b/>
      <sz val="10"/>
      <color rgb="FFFF0000"/>
      <name val="Arial"/>
      <family val="2"/>
      <charset val="1"/>
    </font>
    <font>
      <sz val="9"/>
      <color rgb="FF000000"/>
      <name val="Tahoma"/>
      <family val="2"/>
      <charset val="1"/>
    </font>
    <font>
      <sz val="12"/>
      <color rgb="FF000000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b/>
      <sz val="8"/>
      <color rgb="FF000000"/>
      <name val="Tahoma"/>
      <family val="2"/>
      <charset val="1"/>
    </font>
    <font>
      <sz val="10"/>
      <name val="Arial"/>
      <charset val="1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FF0000"/>
        <bgColor rgb="FF993300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EEECE1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  <fill>
      <patternFill patternType="solid">
        <fgColor theme="0" tint="-0.34998626667073579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164" fontId="26" fillId="0" borderId="0" applyBorder="0" applyProtection="0"/>
    <xf numFmtId="9" fontId="26" fillId="0" borderId="0" applyBorder="0" applyProtection="0"/>
    <xf numFmtId="0" fontId="13" fillId="0" borderId="0" applyBorder="0" applyProtection="0"/>
  </cellStyleXfs>
  <cellXfs count="309">
    <xf numFmtId="0" fontId="0" fillId="0" borderId="0" xfId="0"/>
    <xf numFmtId="0" fontId="8" fillId="0" borderId="15" xfId="0" applyFont="1" applyBorder="1" applyAlignment="1">
      <alignment vertical="center"/>
    </xf>
    <xf numFmtId="164" fontId="8" fillId="0" borderId="10" xfId="1" applyFont="1" applyBorder="1" applyAlignment="1" applyProtection="1">
      <alignment horizontal="left" vertical="center"/>
    </xf>
    <xf numFmtId="0" fontId="1" fillId="0" borderId="0" xfId="0" applyFont="1" applyAlignment="1">
      <alignment vertical="center"/>
    </xf>
    <xf numFmtId="164" fontId="1" fillId="0" borderId="0" xfId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4" fontId="26" fillId="0" borderId="0" xfId="1" applyBorder="1" applyAlignment="1" applyProtection="1">
      <alignment vertical="center"/>
    </xf>
    <xf numFmtId="4" fontId="4" fillId="0" borderId="0" xfId="0" applyNumberFormat="1" applyFont="1" applyAlignment="1">
      <alignment vertical="center"/>
    </xf>
    <xf numFmtId="164" fontId="6" fillId="0" borderId="0" xfId="1" applyFont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164" fontId="26" fillId="0" borderId="4" xfId="1" applyBorder="1" applyAlignment="1" applyProtection="1">
      <alignment vertical="center"/>
    </xf>
    <xf numFmtId="164" fontId="8" fillId="0" borderId="6" xfId="1" applyFont="1" applyBorder="1" applyAlignment="1" applyProtection="1">
      <alignment horizontal="center" vertical="center"/>
    </xf>
    <xf numFmtId="164" fontId="26" fillId="0" borderId="7" xfId="1" applyBorder="1" applyAlignment="1" applyProtection="1">
      <alignment vertical="center"/>
    </xf>
    <xf numFmtId="164" fontId="8" fillId="0" borderId="7" xfId="1" applyFont="1" applyBorder="1" applyAlignment="1" applyProtection="1">
      <alignment vertical="center"/>
    </xf>
    <xf numFmtId="164" fontId="8" fillId="0" borderId="8" xfId="1" applyFont="1" applyBorder="1" applyAlignment="1" applyProtection="1">
      <alignment vertical="center"/>
    </xf>
    <xf numFmtId="164" fontId="8" fillId="0" borderId="9" xfId="1" applyFont="1" applyBorder="1" applyAlignment="1" applyProtection="1">
      <alignment horizontal="center" vertical="center"/>
    </xf>
    <xf numFmtId="164" fontId="8" fillId="0" borderId="10" xfId="1" applyFont="1" applyBorder="1" applyAlignment="1" applyProtection="1">
      <alignment vertical="center"/>
    </xf>
    <xf numFmtId="164" fontId="8" fillId="0" borderId="11" xfId="0" applyNumberFormat="1" applyFont="1" applyBorder="1" applyAlignment="1">
      <alignment vertical="center"/>
    </xf>
    <xf numFmtId="164" fontId="8" fillId="0" borderId="11" xfId="1" applyFont="1" applyBorder="1" applyAlignment="1" applyProtection="1">
      <alignment vertical="center"/>
    </xf>
    <xf numFmtId="165" fontId="8" fillId="0" borderId="12" xfId="0" applyNumberFormat="1" applyFont="1" applyBorder="1" applyAlignment="1">
      <alignment vertical="center"/>
    </xf>
    <xf numFmtId="10" fontId="8" fillId="0" borderId="13" xfId="2" applyNumberFormat="1" applyFont="1" applyBorder="1" applyAlignment="1" applyProtection="1">
      <alignment vertical="center"/>
    </xf>
    <xf numFmtId="164" fontId="8" fillId="0" borderId="0" xfId="1" applyFont="1" applyBorder="1" applyAlignment="1" applyProtection="1">
      <alignment vertical="center"/>
    </xf>
    <xf numFmtId="0" fontId="8" fillId="0" borderId="0" xfId="0" applyFont="1" applyAlignment="1">
      <alignment vertical="center"/>
    </xf>
    <xf numFmtId="164" fontId="26" fillId="0" borderId="10" xfId="1" applyBorder="1" applyAlignment="1" applyProtection="1">
      <alignment vertical="center"/>
    </xf>
    <xf numFmtId="164" fontId="0" fillId="0" borderId="11" xfId="0" applyNumberFormat="1" applyBorder="1" applyAlignment="1">
      <alignment vertical="center"/>
    </xf>
    <xf numFmtId="164" fontId="26" fillId="0" borderId="11" xfId="1" applyBorder="1" applyAlignment="1" applyProtection="1">
      <alignment vertical="center"/>
    </xf>
    <xf numFmtId="165" fontId="0" fillId="0" borderId="12" xfId="0" applyNumberFormat="1" applyBorder="1" applyAlignment="1">
      <alignment vertical="center"/>
    </xf>
    <xf numFmtId="10" fontId="26" fillId="0" borderId="13" xfId="2" applyNumberFormat="1" applyBorder="1" applyAlignment="1" applyProtection="1">
      <alignment vertical="center"/>
    </xf>
    <xf numFmtId="4" fontId="8" fillId="0" borderId="11" xfId="0" applyNumberFormat="1" applyFont="1" applyBorder="1" applyAlignment="1">
      <alignment horizontal="center" vertical="center"/>
    </xf>
    <xf numFmtId="164" fontId="1" fillId="0" borderId="10" xfId="1" applyFont="1" applyBorder="1" applyAlignment="1" applyProtection="1">
      <alignment horizontal="left" vertical="center"/>
    </xf>
    <xf numFmtId="4" fontId="0" fillId="0" borderId="11" xfId="0" applyNumberFormat="1" applyBorder="1" applyAlignment="1">
      <alignment horizontal="center" vertical="center"/>
    </xf>
    <xf numFmtId="10" fontId="1" fillId="0" borderId="13" xfId="2" applyNumberFormat="1" applyFont="1" applyBorder="1" applyAlignment="1" applyProtection="1">
      <alignment vertical="center"/>
    </xf>
    <xf numFmtId="165" fontId="8" fillId="0" borderId="14" xfId="0" applyNumberFormat="1" applyFont="1" applyBorder="1" applyAlignment="1">
      <alignment vertical="center"/>
    </xf>
    <xf numFmtId="164" fontId="8" fillId="0" borderId="15" xfId="1" applyFont="1" applyBorder="1" applyAlignment="1" applyProtection="1">
      <alignment horizontal="left" vertical="center"/>
    </xf>
    <xf numFmtId="4" fontId="8" fillId="0" borderId="16" xfId="0" applyNumberFormat="1" applyFont="1" applyBorder="1" applyAlignment="1">
      <alignment horizontal="center" vertical="center"/>
    </xf>
    <xf numFmtId="164" fontId="8" fillId="0" borderId="16" xfId="1" applyFont="1" applyBorder="1" applyAlignment="1" applyProtection="1">
      <alignment vertical="center"/>
    </xf>
    <xf numFmtId="166" fontId="8" fillId="0" borderId="17" xfId="0" applyNumberFormat="1" applyFont="1" applyBorder="1" applyAlignment="1">
      <alignment vertical="center"/>
    </xf>
    <xf numFmtId="9" fontId="8" fillId="0" borderId="18" xfId="2" applyFont="1" applyBorder="1" applyAlignment="1" applyProtection="1">
      <alignment vertical="center"/>
    </xf>
    <xf numFmtId="164" fontId="8" fillId="0" borderId="20" xfId="1" applyFont="1" applyBorder="1" applyAlignment="1" applyProtection="1">
      <alignment horizontal="right" vertical="center"/>
    </xf>
    <xf numFmtId="164" fontId="1" fillId="0" borderId="6" xfId="1" applyFont="1" applyBorder="1" applyAlignment="1" applyProtection="1">
      <alignment vertical="center"/>
    </xf>
    <xf numFmtId="164" fontId="1" fillId="0" borderId="7" xfId="1" applyFont="1" applyBorder="1" applyAlignment="1" applyProtection="1">
      <alignment vertical="center"/>
    </xf>
    <xf numFmtId="0" fontId="0" fillId="0" borderId="7" xfId="0" applyBorder="1" applyAlignment="1">
      <alignment vertical="center"/>
    </xf>
    <xf numFmtId="1" fontId="1" fillId="0" borderId="9" xfId="1" applyNumberFormat="1" applyFont="1" applyBorder="1" applyAlignment="1" applyProtection="1">
      <alignment horizontal="center" vertical="center"/>
    </xf>
    <xf numFmtId="164" fontId="1" fillId="0" borderId="10" xfId="1" applyFont="1" applyBorder="1" applyAlignment="1" applyProtection="1">
      <alignment vertical="center"/>
    </xf>
    <xf numFmtId="164" fontId="1" fillId="0" borderId="11" xfId="1" applyFont="1" applyBorder="1" applyAlignment="1" applyProtection="1">
      <alignment vertical="center"/>
    </xf>
    <xf numFmtId="0" fontId="0" fillId="0" borderId="11" xfId="0" applyBorder="1" applyAlignment="1">
      <alignment vertical="center"/>
    </xf>
    <xf numFmtId="1" fontId="1" fillId="0" borderId="21" xfId="1" applyNumberFormat="1" applyFont="1" applyBorder="1" applyAlignment="1" applyProtection="1">
      <alignment horizontal="center" vertical="center"/>
    </xf>
    <xf numFmtId="164" fontId="8" fillId="0" borderId="22" xfId="1" applyFont="1" applyBorder="1" applyAlignment="1" applyProtection="1">
      <alignment vertical="center"/>
    </xf>
    <xf numFmtId="4" fontId="8" fillId="0" borderId="23" xfId="0" applyNumberFormat="1" applyFont="1" applyBorder="1" applyAlignment="1">
      <alignment vertical="center"/>
    </xf>
    <xf numFmtId="0" fontId="0" fillId="0" borderId="23" xfId="0" applyBorder="1" applyAlignment="1">
      <alignment vertical="center"/>
    </xf>
    <xf numFmtId="1" fontId="8" fillId="0" borderId="24" xfId="1" applyNumberFormat="1" applyFont="1" applyBorder="1" applyAlignment="1" applyProtection="1">
      <alignment horizontal="center" vertical="center"/>
    </xf>
    <xf numFmtId="164" fontId="8" fillId="0" borderId="3" xfId="1" applyFont="1" applyBorder="1" applyAlignment="1" applyProtection="1">
      <alignment vertical="center"/>
    </xf>
    <xf numFmtId="4" fontId="8" fillId="0" borderId="0" xfId="0" applyNumberFormat="1" applyFont="1" applyAlignment="1">
      <alignment vertical="center"/>
    </xf>
    <xf numFmtId="164" fontId="1" fillId="0" borderId="4" xfId="1" applyFont="1" applyBorder="1" applyAlignment="1" applyProtection="1">
      <alignment vertical="center"/>
    </xf>
    <xf numFmtId="164" fontId="1" fillId="0" borderId="26" xfId="1" applyFont="1" applyBorder="1" applyAlignment="1" applyProtection="1">
      <alignment vertical="center"/>
    </xf>
    <xf numFmtId="164" fontId="1" fillId="0" borderId="27" xfId="1" applyFont="1" applyBorder="1" applyAlignment="1" applyProtection="1">
      <alignment vertical="center"/>
    </xf>
    <xf numFmtId="0" fontId="1" fillId="0" borderId="27" xfId="0" applyFont="1" applyBorder="1" applyAlignment="1">
      <alignment vertical="center"/>
    </xf>
    <xf numFmtId="1" fontId="1" fillId="0" borderId="28" xfId="1" applyNumberFormat="1" applyFont="1" applyBorder="1" applyAlignment="1" applyProtection="1">
      <alignment horizontal="center" vertical="center"/>
    </xf>
    <xf numFmtId="1" fontId="1" fillId="0" borderId="0" xfId="1" applyNumberFormat="1" applyFont="1" applyBorder="1" applyAlignment="1" applyProtection="1">
      <alignment horizontal="center" vertical="center"/>
    </xf>
    <xf numFmtId="167" fontId="1" fillId="0" borderId="0" xfId="1" applyNumberFormat="1" applyFont="1" applyBorder="1" applyAlignment="1" applyProtection="1">
      <alignment horizontal="center" vertical="center"/>
    </xf>
    <xf numFmtId="164" fontId="8" fillId="0" borderId="15" xfId="1" applyFont="1" applyBorder="1" applyAlignment="1" applyProtection="1">
      <alignment vertical="center"/>
    </xf>
    <xf numFmtId="167" fontId="8" fillId="0" borderId="0" xfId="1" applyNumberFormat="1" applyFont="1" applyBorder="1" applyAlignment="1" applyProtection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164" fontId="9" fillId="4" borderId="30" xfId="1" applyFont="1" applyFill="1" applyBorder="1" applyAlignment="1" applyProtection="1">
      <alignment horizontal="center" vertical="center"/>
    </xf>
    <xf numFmtId="164" fontId="9" fillId="4" borderId="18" xfId="1" applyFont="1" applyFill="1" applyBorder="1" applyAlignment="1" applyProtection="1">
      <alignment horizontal="center" vertical="center"/>
    </xf>
    <xf numFmtId="0" fontId="1" fillId="0" borderId="31" xfId="0" applyFont="1" applyBorder="1" applyAlignment="1">
      <alignment vertical="center"/>
    </xf>
    <xf numFmtId="0" fontId="1" fillId="0" borderId="31" xfId="0" applyFont="1" applyBorder="1" applyAlignment="1">
      <alignment horizontal="center" vertical="center"/>
    </xf>
    <xf numFmtId="164" fontId="1" fillId="3" borderId="31" xfId="1" applyFont="1" applyFill="1" applyBorder="1" applyAlignment="1" applyProtection="1">
      <alignment horizontal="center" vertical="center"/>
    </xf>
    <xf numFmtId="164" fontId="1" fillId="0" borderId="31" xfId="1" applyFont="1" applyBorder="1" applyAlignment="1" applyProtection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2" fontId="1" fillId="3" borderId="12" xfId="0" applyNumberFormat="1" applyFont="1" applyFill="1" applyBorder="1" applyAlignment="1">
      <alignment horizontal="center" vertical="center"/>
    </xf>
    <xf numFmtId="164" fontId="1" fillId="0" borderId="12" xfId="1" applyFont="1" applyBorder="1" applyAlignment="1" applyProtection="1">
      <alignment horizontal="center" vertical="center"/>
    </xf>
    <xf numFmtId="0" fontId="8" fillId="0" borderId="32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164" fontId="8" fillId="0" borderId="0" xfId="1" applyFont="1" applyBorder="1" applyAlignment="1" applyProtection="1">
      <alignment horizontal="center" vertical="center"/>
    </xf>
    <xf numFmtId="164" fontId="8" fillId="0" borderId="32" xfId="1" applyFont="1" applyBorder="1" applyAlignment="1" applyProtection="1">
      <alignment horizontal="center" vertical="center"/>
    </xf>
    <xf numFmtId="164" fontId="1" fillId="5" borderId="12" xfId="1" applyFont="1" applyFill="1" applyBorder="1" applyAlignment="1" applyProtection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64" fontId="1" fillId="0" borderId="0" xfId="1" applyFont="1" applyBorder="1" applyAlignment="1" applyProtection="1">
      <alignment horizontal="right" vertical="center"/>
    </xf>
    <xf numFmtId="164" fontId="1" fillId="0" borderId="12" xfId="1" applyFont="1" applyBorder="1" applyAlignment="1" applyProtection="1">
      <alignment vertical="center"/>
    </xf>
    <xf numFmtId="164" fontId="8" fillId="4" borderId="29" xfId="1" applyFont="1" applyFill="1" applyBorder="1" applyAlignment="1" applyProtection="1">
      <alignment horizontal="center" vertical="center"/>
    </xf>
    <xf numFmtId="0" fontId="1" fillId="6" borderId="0" xfId="0" applyFont="1" applyFill="1" applyAlignment="1">
      <alignment vertical="center"/>
    </xf>
    <xf numFmtId="164" fontId="1" fillId="6" borderId="0" xfId="1" applyFont="1" applyFill="1" applyBorder="1" applyAlignment="1" applyProtection="1">
      <alignment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30" xfId="0" applyFont="1" applyFill="1" applyBorder="1" applyAlignment="1">
      <alignment horizontal="center" vertical="center"/>
    </xf>
    <xf numFmtId="164" fontId="9" fillId="6" borderId="30" xfId="1" applyFont="1" applyFill="1" applyBorder="1" applyAlignment="1" applyProtection="1">
      <alignment horizontal="center" vertical="center"/>
    </xf>
    <xf numFmtId="164" fontId="9" fillId="6" borderId="18" xfId="1" applyFont="1" applyFill="1" applyBorder="1" applyAlignment="1" applyProtection="1">
      <alignment horizontal="center" vertical="center"/>
    </xf>
    <xf numFmtId="0" fontId="1" fillId="6" borderId="31" xfId="0" applyFont="1" applyFill="1" applyBorder="1" applyAlignment="1">
      <alignment vertical="center"/>
    </xf>
    <xf numFmtId="0" fontId="1" fillId="6" borderId="31" xfId="0" applyFont="1" applyFill="1" applyBorder="1" applyAlignment="1">
      <alignment horizontal="center" vertical="center"/>
    </xf>
    <xf numFmtId="164" fontId="1" fillId="6" borderId="31" xfId="1" applyFont="1" applyFill="1" applyBorder="1" applyAlignment="1" applyProtection="1">
      <alignment horizontal="center" vertical="center"/>
    </xf>
    <xf numFmtId="0" fontId="1" fillId="6" borderId="12" xfId="0" applyFont="1" applyFill="1" applyBorder="1" applyAlignment="1">
      <alignment vertical="center"/>
    </xf>
    <xf numFmtId="0" fontId="1" fillId="6" borderId="12" xfId="0" applyFont="1" applyFill="1" applyBorder="1" applyAlignment="1">
      <alignment horizontal="center" vertical="center"/>
    </xf>
    <xf numFmtId="2" fontId="1" fillId="6" borderId="12" xfId="0" applyNumberFormat="1" applyFont="1" applyFill="1" applyBorder="1" applyAlignment="1">
      <alignment horizontal="center" vertical="center"/>
    </xf>
    <xf numFmtId="164" fontId="1" fillId="6" borderId="12" xfId="1" applyFont="1" applyFill="1" applyBorder="1" applyAlignment="1" applyProtection="1">
      <alignment horizontal="center" vertical="center"/>
    </xf>
    <xf numFmtId="2" fontId="1" fillId="6" borderId="12" xfId="1" applyNumberFormat="1" applyFont="1" applyFill="1" applyBorder="1" applyAlignment="1" applyProtection="1">
      <alignment horizontal="center" vertical="center"/>
    </xf>
    <xf numFmtId="0" fontId="8" fillId="6" borderId="32" xfId="0" applyFont="1" applyFill="1" applyBorder="1" applyAlignment="1">
      <alignment vertical="center"/>
    </xf>
    <xf numFmtId="0" fontId="8" fillId="6" borderId="0" xfId="0" applyFont="1" applyFill="1" applyAlignment="1">
      <alignment horizontal="center" vertical="center"/>
    </xf>
    <xf numFmtId="164" fontId="8" fillId="6" borderId="0" xfId="1" applyFont="1" applyFill="1" applyBorder="1" applyAlignment="1" applyProtection="1">
      <alignment horizontal="center" vertical="center"/>
    </xf>
    <xf numFmtId="164" fontId="8" fillId="6" borderId="32" xfId="1" applyFont="1" applyFill="1" applyBorder="1" applyAlignment="1" applyProtection="1">
      <alignment horizontal="center" vertical="center"/>
    </xf>
    <xf numFmtId="164" fontId="1" fillId="6" borderId="0" xfId="1" applyFont="1" applyFill="1" applyBorder="1" applyAlignment="1" applyProtection="1">
      <alignment horizontal="right" vertical="center"/>
    </xf>
    <xf numFmtId="164" fontId="1" fillId="6" borderId="12" xfId="1" applyFont="1" applyFill="1" applyBorder="1" applyAlignment="1" applyProtection="1">
      <alignment vertical="center"/>
    </xf>
    <xf numFmtId="164" fontId="8" fillId="6" borderId="29" xfId="1" applyFont="1" applyFill="1" applyBorder="1" applyAlignment="1" applyProtection="1">
      <alignment horizontal="center" vertical="center"/>
    </xf>
    <xf numFmtId="0" fontId="11" fillId="0" borderId="0" xfId="0" applyFont="1" applyAlignment="1">
      <alignment vertical="center"/>
    </xf>
    <xf numFmtId="1" fontId="1" fillId="3" borderId="12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164" fontId="8" fillId="0" borderId="12" xfId="1" applyFont="1" applyBorder="1" applyAlignment="1" applyProtection="1">
      <alignment horizontal="center" vertical="center"/>
    </xf>
    <xf numFmtId="0" fontId="8" fillId="0" borderId="11" xfId="0" applyFont="1" applyBorder="1" applyAlignment="1">
      <alignment horizontal="center" vertical="center"/>
    </xf>
    <xf numFmtId="164" fontId="8" fillId="0" borderId="11" xfId="1" applyFont="1" applyBorder="1" applyAlignment="1" applyProtection="1">
      <alignment horizontal="center" vertical="center"/>
    </xf>
    <xf numFmtId="1" fontId="1" fillId="6" borderId="12" xfId="0" applyNumberFormat="1" applyFont="1" applyFill="1" applyBorder="1" applyAlignment="1">
      <alignment horizontal="center" vertical="center"/>
    </xf>
    <xf numFmtId="164" fontId="8" fillId="6" borderId="0" xfId="1" applyFont="1" applyFill="1" applyBorder="1" applyAlignment="1" applyProtection="1">
      <alignment vertical="center"/>
    </xf>
    <xf numFmtId="0" fontId="8" fillId="6" borderId="0" xfId="0" applyFont="1" applyFill="1" applyAlignment="1">
      <alignment vertical="center"/>
    </xf>
    <xf numFmtId="0" fontId="1" fillId="6" borderId="0" xfId="0" applyFont="1" applyFill="1" applyAlignment="1">
      <alignment horizontal="right" vertical="center"/>
    </xf>
    <xf numFmtId="167" fontId="1" fillId="6" borderId="12" xfId="1" applyNumberFormat="1" applyFont="1" applyFill="1" applyBorder="1" applyAlignment="1" applyProtection="1">
      <alignment horizontal="center" vertical="center"/>
    </xf>
    <xf numFmtId="167" fontId="1" fillId="6" borderId="12" xfId="1" applyNumberFormat="1" applyFont="1" applyFill="1" applyBorder="1" applyAlignment="1" applyProtection="1">
      <alignment vertical="center"/>
    </xf>
    <xf numFmtId="164" fontId="8" fillId="6" borderId="5" xfId="1" applyFont="1" applyFill="1" applyBorder="1" applyAlignment="1" applyProtection="1">
      <alignment vertical="center"/>
    </xf>
    <xf numFmtId="167" fontId="1" fillId="0" borderId="12" xfId="1" applyNumberFormat="1" applyFont="1" applyBorder="1" applyAlignment="1" applyProtection="1">
      <alignment vertical="center"/>
    </xf>
    <xf numFmtId="164" fontId="1" fillId="3" borderId="12" xfId="1" applyFont="1" applyFill="1" applyBorder="1" applyAlignment="1" applyProtection="1">
      <alignment horizontal="center" vertical="center"/>
    </xf>
    <xf numFmtId="164" fontId="8" fillId="4" borderId="5" xfId="1" applyFont="1" applyFill="1" applyBorder="1" applyAlignment="1" applyProtection="1">
      <alignment vertical="center"/>
    </xf>
    <xf numFmtId="0" fontId="8" fillId="0" borderId="16" xfId="0" applyFont="1" applyBorder="1" applyAlignment="1">
      <alignment vertical="center"/>
    </xf>
    <xf numFmtId="164" fontId="8" fillId="0" borderId="29" xfId="1" applyFont="1" applyBorder="1" applyAlignment="1" applyProtection="1">
      <alignment vertical="center"/>
    </xf>
    <xf numFmtId="0" fontId="9" fillId="4" borderId="30" xfId="0" applyFont="1" applyFill="1" applyBorder="1" applyAlignment="1">
      <alignment horizontal="center" vertical="center" wrapText="1"/>
    </xf>
    <xf numFmtId="13" fontId="1" fillId="3" borderId="12" xfId="0" applyNumberFormat="1" applyFont="1" applyFill="1" applyBorder="1" applyAlignment="1">
      <alignment horizontal="center" vertical="center"/>
    </xf>
    <xf numFmtId="164" fontId="12" fillId="0" borderId="0" xfId="1" applyFont="1" applyBorder="1" applyAlignment="1" applyProtection="1">
      <alignment vertical="center"/>
    </xf>
    <xf numFmtId="0" fontId="1" fillId="0" borderId="12" xfId="0" applyFont="1" applyBorder="1"/>
    <xf numFmtId="0" fontId="1" fillId="0" borderId="12" xfId="0" applyFont="1" applyBorder="1" applyAlignment="1">
      <alignment horizontal="center"/>
    </xf>
    <xf numFmtId="164" fontId="1" fillId="0" borderId="0" xfId="1" applyFont="1" applyBorder="1" applyProtection="1"/>
    <xf numFmtId="0" fontId="1" fillId="0" borderId="0" xfId="0" applyFont="1"/>
    <xf numFmtId="1" fontId="1" fillId="0" borderId="12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164" fontId="1" fillId="0" borderId="16" xfId="1" applyFont="1" applyBorder="1" applyAlignment="1" applyProtection="1">
      <alignment vertical="center"/>
    </xf>
    <xf numFmtId="164" fontId="1" fillId="0" borderId="29" xfId="1" applyFont="1" applyBorder="1" applyAlignment="1" applyProtection="1">
      <alignment vertical="center"/>
    </xf>
    <xf numFmtId="164" fontId="8" fillId="4" borderId="5" xfId="1" applyFont="1" applyFill="1" applyBorder="1" applyAlignment="1" applyProtection="1">
      <alignment horizontal="center" vertical="center"/>
    </xf>
    <xf numFmtId="0" fontId="13" fillId="0" borderId="0" xfId="3" applyBorder="1" applyAlignment="1" applyProtection="1">
      <alignment vertical="center"/>
    </xf>
    <xf numFmtId="164" fontId="1" fillId="0" borderId="0" xfId="1" applyFont="1" applyBorder="1" applyAlignment="1" applyProtection="1">
      <alignment horizontal="center" vertical="center"/>
    </xf>
    <xf numFmtId="168" fontId="1" fillId="0" borderId="0" xfId="0" applyNumberFormat="1" applyFont="1" applyAlignment="1">
      <alignment vertical="center"/>
    </xf>
    <xf numFmtId="0" fontId="8" fillId="0" borderId="33" xfId="0" applyFont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164" fontId="8" fillId="0" borderId="33" xfId="1" applyFont="1" applyBorder="1" applyAlignment="1" applyProtection="1">
      <alignment horizontal="center" vertical="center"/>
    </xf>
    <xf numFmtId="164" fontId="1" fillId="5" borderId="12" xfId="1" applyFont="1" applyFill="1" applyBorder="1" applyAlignment="1" applyProtection="1">
      <alignment vertical="center"/>
    </xf>
    <xf numFmtId="0" fontId="8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9" fillId="4" borderId="25" xfId="0" applyFont="1" applyFill="1" applyBorder="1" applyAlignment="1">
      <alignment horizontal="center" vertical="center"/>
    </xf>
    <xf numFmtId="0" fontId="9" fillId="4" borderId="34" xfId="0" applyFont="1" applyFill="1" applyBorder="1" applyAlignment="1">
      <alignment horizontal="center" vertical="center"/>
    </xf>
    <xf numFmtId="164" fontId="9" fillId="4" borderId="34" xfId="1" applyFont="1" applyFill="1" applyBorder="1" applyAlignment="1" applyProtection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vertical="center"/>
    </xf>
    <xf numFmtId="3" fontId="1" fillId="3" borderId="12" xfId="0" applyNumberFormat="1" applyFont="1" applyFill="1" applyBorder="1" applyAlignment="1">
      <alignment vertical="center"/>
    </xf>
    <xf numFmtId="4" fontId="1" fillId="3" borderId="31" xfId="0" applyNumberFormat="1" applyFont="1" applyFill="1" applyBorder="1" applyAlignment="1">
      <alignment horizontal="center" vertical="center"/>
    </xf>
    <xf numFmtId="169" fontId="1" fillId="3" borderId="31" xfId="1" applyNumberFormat="1" applyFont="1" applyFill="1" applyBorder="1" applyAlignment="1" applyProtection="1">
      <alignment horizontal="center" vertical="center"/>
    </xf>
    <xf numFmtId="167" fontId="1" fillId="0" borderId="12" xfId="1" applyNumberFormat="1" applyFont="1" applyBorder="1" applyAlignment="1" applyProtection="1">
      <alignment horizontal="center" vertical="center"/>
    </xf>
    <xf numFmtId="169" fontId="1" fillId="0" borderId="31" xfId="1" applyNumberFormat="1" applyFont="1" applyBorder="1" applyAlignment="1" applyProtection="1">
      <alignment horizontal="center" vertical="center"/>
    </xf>
    <xf numFmtId="4" fontId="1" fillId="3" borderId="12" xfId="0" applyNumberFormat="1" applyFont="1" applyFill="1" applyBorder="1" applyAlignment="1">
      <alignment horizontal="center" vertical="center"/>
    </xf>
    <xf numFmtId="169" fontId="1" fillId="0" borderId="12" xfId="1" applyNumberFormat="1" applyFont="1" applyBorder="1" applyAlignment="1" applyProtection="1">
      <alignment horizontal="center" vertical="center"/>
    </xf>
    <xf numFmtId="167" fontId="8" fillId="0" borderId="12" xfId="1" applyNumberFormat="1" applyFont="1" applyBorder="1" applyAlignment="1" applyProtection="1">
      <alignment horizontal="center" vertical="center"/>
    </xf>
    <xf numFmtId="169" fontId="8" fillId="0" borderId="12" xfId="1" applyNumberFormat="1" applyFont="1" applyBorder="1" applyAlignment="1" applyProtection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3" fontId="1" fillId="3" borderId="12" xfId="0" applyNumberFormat="1" applyFont="1" applyFill="1" applyBorder="1" applyAlignment="1">
      <alignment horizontal="center" vertical="center"/>
    </xf>
    <xf numFmtId="0" fontId="15" fillId="6" borderId="12" xfId="0" applyFont="1" applyFill="1" applyBorder="1" applyAlignment="1">
      <alignment horizontal="center" vertical="center"/>
    </xf>
    <xf numFmtId="164" fontId="1" fillId="6" borderId="0" xfId="1" applyFont="1" applyFill="1" applyBorder="1" applyAlignment="1" applyProtection="1">
      <alignment horizontal="center" vertical="center"/>
    </xf>
    <xf numFmtId="164" fontId="16" fillId="6" borderId="12" xfId="1" applyFont="1" applyFill="1" applyBorder="1" applyAlignment="1" applyProtection="1">
      <alignment horizontal="center" vertical="center"/>
    </xf>
    <xf numFmtId="0" fontId="11" fillId="6" borderId="0" xfId="0" applyFont="1" applyFill="1" applyAlignment="1">
      <alignment vertical="center"/>
    </xf>
    <xf numFmtId="164" fontId="8" fillId="6" borderId="5" xfId="1" applyFont="1" applyFill="1" applyBorder="1" applyAlignment="1" applyProtection="1">
      <alignment horizontal="center" vertical="center"/>
    </xf>
    <xf numFmtId="164" fontId="14" fillId="0" borderId="0" xfId="1" applyFont="1" applyBorder="1" applyAlignment="1" applyProtection="1">
      <alignment vertical="center"/>
    </xf>
    <xf numFmtId="0" fontId="14" fillId="0" borderId="0" xfId="0" applyFont="1" applyAlignment="1">
      <alignment vertical="center"/>
    </xf>
    <xf numFmtId="164" fontId="2" fillId="0" borderId="0" xfId="1" applyFont="1" applyBorder="1" applyAlignment="1" applyProtection="1">
      <alignment vertical="center"/>
    </xf>
    <xf numFmtId="0" fontId="1" fillId="0" borderId="35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64" fontId="1" fillId="0" borderId="36" xfId="1" applyFont="1" applyBorder="1" applyAlignment="1" applyProtection="1">
      <alignment vertical="center"/>
    </xf>
    <xf numFmtId="164" fontId="8" fillId="0" borderId="5" xfId="1" applyFont="1" applyBorder="1" applyAlignment="1" applyProtection="1">
      <alignment horizontal="right" vertical="center"/>
    </xf>
    <xf numFmtId="4" fontId="1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7" fillId="0" borderId="38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21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10" fontId="17" fillId="0" borderId="21" xfId="0" applyNumberFormat="1" applyFont="1" applyBorder="1" applyAlignment="1">
      <alignment horizontal="right" vertical="center"/>
    </xf>
    <xf numFmtId="0" fontId="18" fillId="0" borderId="12" xfId="0" applyFont="1" applyBorder="1" applyAlignment="1">
      <alignment horizontal="left" vertical="center"/>
    </xf>
    <xf numFmtId="10" fontId="18" fillId="0" borderId="21" xfId="0" applyNumberFormat="1" applyFont="1" applyBorder="1" applyAlignment="1">
      <alignment horizontal="right" vertical="center"/>
    </xf>
    <xf numFmtId="0" fontId="17" fillId="7" borderId="38" xfId="0" applyFont="1" applyFill="1" applyBorder="1" applyAlignment="1">
      <alignment horizontal="left" vertical="center"/>
    </xf>
    <xf numFmtId="0" fontId="18" fillId="7" borderId="12" xfId="0" applyFont="1" applyFill="1" applyBorder="1" applyAlignment="1">
      <alignment horizontal="left" vertical="center"/>
    </xf>
    <xf numFmtId="10" fontId="18" fillId="7" borderId="21" xfId="0" applyNumberFormat="1" applyFont="1" applyFill="1" applyBorder="1" applyAlignment="1">
      <alignment horizontal="right" vertical="center"/>
    </xf>
    <xf numFmtId="0" fontId="19" fillId="0" borderId="0" xfId="0" applyFont="1" applyAlignment="1">
      <alignment horizontal="left" vertical="center"/>
    </xf>
    <xf numFmtId="10" fontId="1" fillId="0" borderId="0" xfId="0" applyNumberFormat="1" applyFont="1"/>
    <xf numFmtId="9" fontId="17" fillId="0" borderId="0" xfId="2" applyFont="1" applyBorder="1" applyAlignment="1" applyProtection="1">
      <alignment horizontal="right" vertical="center"/>
    </xf>
    <xf numFmtId="0" fontId="17" fillId="0" borderId="12" xfId="0" applyFont="1" applyBorder="1" applyAlignment="1">
      <alignment horizontal="left" vertical="center" wrapText="1"/>
    </xf>
    <xf numFmtId="0" fontId="17" fillId="8" borderId="39" xfId="0" applyFont="1" applyFill="1" applyBorder="1" applyAlignment="1">
      <alignment horizontal="left" vertical="center"/>
    </xf>
    <xf numFmtId="0" fontId="18" fillId="8" borderId="14" xfId="0" applyFont="1" applyFill="1" applyBorder="1" applyAlignment="1">
      <alignment horizontal="left" vertical="center"/>
    </xf>
    <xf numFmtId="10" fontId="18" fillId="8" borderId="28" xfId="0" applyNumberFormat="1" applyFont="1" applyFill="1" applyBorder="1" applyAlignment="1">
      <alignment horizontal="right" vertical="center"/>
    </xf>
    <xf numFmtId="0" fontId="18" fillId="0" borderId="0" xfId="0" applyFont="1" applyAlignment="1">
      <alignment horizontal="left" vertical="center"/>
    </xf>
    <xf numFmtId="10" fontId="18" fillId="0" borderId="0" xfId="0" applyNumberFormat="1" applyFont="1" applyAlignment="1">
      <alignment horizontal="right" vertical="center"/>
    </xf>
    <xf numFmtId="0" fontId="19" fillId="9" borderId="0" xfId="0" applyFont="1" applyFill="1" applyAlignment="1">
      <alignment horizontal="left" vertical="center"/>
    </xf>
    <xf numFmtId="10" fontId="17" fillId="0" borderId="0" xfId="0" applyNumberFormat="1" applyFont="1" applyAlignment="1">
      <alignment horizontal="right" vertical="center"/>
    </xf>
    <xf numFmtId="0" fontId="17" fillId="9" borderId="0" xfId="0" applyFont="1" applyFill="1" applyAlignment="1">
      <alignment horizontal="left" vertical="center"/>
    </xf>
    <xf numFmtId="0" fontId="20" fillId="0" borderId="0" xfId="0" applyFont="1" applyAlignment="1">
      <alignment horizontal="justify" vertical="center"/>
    </xf>
    <xf numFmtId="0" fontId="13" fillId="0" borderId="0" xfId="3" applyBorder="1" applyAlignment="1" applyProtection="1">
      <alignment horizontal="left" vertical="center"/>
    </xf>
    <xf numFmtId="0" fontId="19" fillId="0" borderId="0" xfId="0" applyFont="1"/>
    <xf numFmtId="0" fontId="17" fillId="0" borderId="0" xfId="0" applyFont="1" applyAlignment="1">
      <alignment horizontal="right" vertical="center"/>
    </xf>
    <xf numFmtId="0" fontId="8" fillId="0" borderId="0" xfId="0" applyFont="1"/>
    <xf numFmtId="0" fontId="21" fillId="0" borderId="0" xfId="0" applyFont="1"/>
    <xf numFmtId="0" fontId="18" fillId="0" borderId="10" xfId="0" applyFont="1" applyBorder="1"/>
    <xf numFmtId="0" fontId="6" fillId="0" borderId="13" xfId="0" applyFont="1" applyBorder="1"/>
    <xf numFmtId="0" fontId="18" fillId="0" borderId="40" xfId="0" applyFont="1" applyBorder="1"/>
    <xf numFmtId="0" fontId="18" fillId="3" borderId="21" xfId="0" applyFont="1" applyFill="1" applyBorder="1"/>
    <xf numFmtId="0" fontId="18" fillId="0" borderId="38" xfId="0" applyFont="1" applyBorder="1"/>
    <xf numFmtId="0" fontId="6" fillId="0" borderId="38" xfId="0" applyFont="1" applyBorder="1"/>
    <xf numFmtId="0" fontId="6" fillId="3" borderId="21" xfId="0" applyFont="1" applyFill="1" applyBorder="1"/>
    <xf numFmtId="0" fontId="6" fillId="0" borderId="40" xfId="0" applyFont="1" applyBorder="1"/>
    <xf numFmtId="0" fontId="6" fillId="3" borderId="41" xfId="0" applyFont="1" applyFill="1" applyBorder="1"/>
    <xf numFmtId="0" fontId="6" fillId="0" borderId="42" xfId="0" applyFont="1" applyBorder="1"/>
    <xf numFmtId="0" fontId="6" fillId="0" borderId="43" xfId="0" applyFont="1" applyBorder="1"/>
    <xf numFmtId="0" fontId="6" fillId="3" borderId="44" xfId="0" applyFont="1" applyFill="1" applyBorder="1"/>
    <xf numFmtId="0" fontId="6" fillId="0" borderId="21" xfId="0" applyFont="1" applyBorder="1"/>
    <xf numFmtId="0" fontId="6" fillId="0" borderId="3" xfId="0" applyFont="1" applyBorder="1"/>
    <xf numFmtId="0" fontId="6" fillId="0" borderId="4" xfId="0" applyFont="1" applyBorder="1"/>
    <xf numFmtId="0" fontId="7" fillId="0" borderId="41" xfId="0" applyFont="1" applyBorder="1"/>
    <xf numFmtId="10" fontId="18" fillId="0" borderId="21" xfId="2" applyNumberFormat="1" applyFont="1" applyBorder="1" applyProtection="1"/>
    <xf numFmtId="170" fontId="7" fillId="0" borderId="21" xfId="0" applyNumberFormat="1" applyFont="1" applyBorder="1"/>
    <xf numFmtId="0" fontId="18" fillId="0" borderId="21" xfId="0" applyFont="1" applyBorder="1"/>
    <xf numFmtId="0" fontId="18" fillId="0" borderId="41" xfId="0" applyFont="1" applyBorder="1"/>
    <xf numFmtId="9" fontId="18" fillId="0" borderId="21" xfId="2" applyFont="1" applyBorder="1" applyProtection="1"/>
    <xf numFmtId="0" fontId="18" fillId="0" borderId="22" xfId="0" applyFont="1" applyBorder="1"/>
    <xf numFmtId="9" fontId="7" fillId="0" borderId="24" xfId="2" applyFont="1" applyBorder="1" applyProtection="1"/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9" fontId="6" fillId="0" borderId="38" xfId="2" applyFont="1" applyBorder="1" applyProtection="1"/>
    <xf numFmtId="9" fontId="6" fillId="0" borderId="12" xfId="2" applyFont="1" applyBorder="1" applyAlignment="1" applyProtection="1">
      <alignment horizontal="center"/>
    </xf>
    <xf numFmtId="9" fontId="6" fillId="0" borderId="21" xfId="2" applyFont="1" applyBorder="1" applyProtection="1"/>
    <xf numFmtId="0" fontId="6" fillId="0" borderId="45" xfId="0" applyFont="1" applyBorder="1" applyAlignment="1">
      <alignment horizontal="left" vertical="center"/>
    </xf>
    <xf numFmtId="0" fontId="6" fillId="0" borderId="46" xfId="0" applyFont="1" applyBorder="1" applyAlignment="1">
      <alignment horizontal="center" vertical="center"/>
    </xf>
    <xf numFmtId="10" fontId="6" fillId="3" borderId="9" xfId="0" applyNumberFormat="1" applyFont="1" applyFill="1" applyBorder="1" applyAlignment="1">
      <alignment horizontal="center" vertical="center"/>
    </xf>
    <xf numFmtId="10" fontId="6" fillId="0" borderId="38" xfId="2" applyNumberFormat="1" applyFont="1" applyBorder="1" applyAlignment="1" applyProtection="1">
      <alignment horizontal="right"/>
    </xf>
    <xf numFmtId="10" fontId="6" fillId="0" borderId="12" xfId="2" applyNumberFormat="1" applyFont="1" applyBorder="1" applyAlignment="1" applyProtection="1">
      <alignment horizontal="right"/>
    </xf>
    <xf numFmtId="10" fontId="6" fillId="0" borderId="21" xfId="2" applyNumberFormat="1" applyFont="1" applyBorder="1" applyAlignment="1" applyProtection="1">
      <alignment horizontal="right"/>
    </xf>
    <xf numFmtId="0" fontId="6" fillId="0" borderId="38" xfId="0" applyFont="1" applyBorder="1" applyAlignment="1">
      <alignment horizontal="left" vertical="center"/>
    </xf>
    <xf numFmtId="0" fontId="6" fillId="0" borderId="12" xfId="0" applyFont="1" applyBorder="1" applyAlignment="1">
      <alignment horizontal="center" vertical="center"/>
    </xf>
    <xf numFmtId="10" fontId="6" fillId="3" borderId="21" xfId="0" applyNumberFormat="1" applyFont="1" applyFill="1" applyBorder="1" applyAlignment="1">
      <alignment horizontal="center" vertical="center"/>
    </xf>
    <xf numFmtId="10" fontId="6" fillId="0" borderId="21" xfId="0" applyNumberFormat="1" applyFont="1" applyBorder="1" applyAlignment="1">
      <alignment horizontal="center" vertical="center"/>
    </xf>
    <xf numFmtId="10" fontId="6" fillId="3" borderId="12" xfId="2" applyNumberFormat="1" applyFont="1" applyFill="1" applyBorder="1" applyAlignment="1" applyProtection="1">
      <alignment horizontal="center"/>
    </xf>
    <xf numFmtId="10" fontId="6" fillId="0" borderId="21" xfId="2" applyNumberFormat="1" applyFont="1" applyBorder="1" applyProtection="1"/>
    <xf numFmtId="0" fontId="6" fillId="0" borderId="38" xfId="0" applyFont="1" applyBorder="1" applyAlignment="1">
      <alignment horizontal="right"/>
    </xf>
    <xf numFmtId="0" fontId="6" fillId="3" borderId="12" xfId="0" applyFont="1" applyFill="1" applyBorder="1" applyAlignment="1">
      <alignment horizontal="center"/>
    </xf>
    <xf numFmtId="0" fontId="6" fillId="0" borderId="39" xfId="0" applyFont="1" applyBorder="1" applyAlignment="1">
      <alignment horizontal="left" vertical="center"/>
    </xf>
    <xf numFmtId="10" fontId="6" fillId="3" borderId="28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/>
    </xf>
    <xf numFmtId="0" fontId="6" fillId="0" borderId="47" xfId="0" applyFont="1" applyBorder="1" applyAlignment="1">
      <alignment vertical="center"/>
    </xf>
    <xf numFmtId="0" fontId="6" fillId="0" borderId="48" xfId="0" applyFont="1" applyBorder="1" applyAlignment="1">
      <alignment vertical="center"/>
    </xf>
    <xf numFmtId="10" fontId="6" fillId="0" borderId="49" xfId="0" applyNumberFormat="1" applyFont="1" applyBorder="1" applyAlignment="1">
      <alignment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6" fillId="0" borderId="50" xfId="0" applyFont="1" applyBorder="1" applyAlignment="1">
      <alignment vertical="center"/>
    </xf>
    <xf numFmtId="0" fontId="7" fillId="7" borderId="15" xfId="0" applyFont="1" applyFill="1" applyBorder="1" applyAlignment="1">
      <alignment vertical="center" wrapText="1"/>
    </xf>
    <xf numFmtId="0" fontId="6" fillId="7" borderId="16" xfId="0" applyFont="1" applyFill="1" applyBorder="1" applyAlignment="1">
      <alignment vertical="center"/>
    </xf>
    <xf numFmtId="10" fontId="7" fillId="7" borderId="29" xfId="0" applyNumberFormat="1" applyFont="1" applyFill="1" applyBorder="1" applyAlignment="1">
      <alignment horizontal="center" vertical="center" wrapText="1"/>
    </xf>
    <xf numFmtId="10" fontId="6" fillId="0" borderId="39" xfId="2" applyNumberFormat="1" applyFont="1" applyBorder="1" applyAlignment="1" applyProtection="1">
      <alignment horizontal="right"/>
    </xf>
    <xf numFmtId="10" fontId="6" fillId="0" borderId="14" xfId="2" applyNumberFormat="1" applyFont="1" applyBorder="1" applyAlignment="1" applyProtection="1">
      <alignment horizontal="right"/>
    </xf>
    <xf numFmtId="10" fontId="6" fillId="0" borderId="28" xfId="2" applyNumberFormat="1" applyFont="1" applyBorder="1" applyAlignment="1" applyProtection="1">
      <alignment horizontal="right"/>
    </xf>
    <xf numFmtId="0" fontId="18" fillId="0" borderId="38" xfId="0" applyFont="1" applyBorder="1" applyAlignment="1">
      <alignment horizontal="center" vertical="center"/>
    </xf>
    <xf numFmtId="0" fontId="18" fillId="11" borderId="12" xfId="0" applyFont="1" applyFill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2" fontId="17" fillId="11" borderId="12" xfId="0" applyNumberFormat="1" applyFont="1" applyFill="1" applyBorder="1" applyAlignment="1">
      <alignment horizontal="right" vertical="center"/>
    </xf>
    <xf numFmtId="0" fontId="17" fillId="0" borderId="39" xfId="0" applyFont="1" applyBorder="1" applyAlignment="1">
      <alignment horizontal="center" vertical="center"/>
    </xf>
    <xf numFmtId="2" fontId="17" fillId="11" borderId="14" xfId="0" applyNumberFormat="1" applyFont="1" applyFill="1" applyBorder="1" applyAlignment="1">
      <alignment horizontal="right" vertical="center"/>
    </xf>
    <xf numFmtId="0" fontId="5" fillId="10" borderId="1" xfId="0" applyFont="1" applyFill="1" applyBorder="1" applyAlignment="1">
      <alignment horizontal="center"/>
    </xf>
    <xf numFmtId="0" fontId="1" fillId="0" borderId="51" xfId="0" applyFont="1" applyBorder="1"/>
    <xf numFmtId="0" fontId="23" fillId="0" borderId="51" xfId="0" applyFont="1" applyBorder="1" applyAlignment="1">
      <alignment horizontal="justify"/>
    </xf>
    <xf numFmtId="0" fontId="23" fillId="0" borderId="52" xfId="0" applyFont="1" applyBorder="1" applyAlignment="1">
      <alignment horizontal="justify"/>
    </xf>
    <xf numFmtId="0" fontId="5" fillId="0" borderId="3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7" fillId="0" borderId="38" xfId="0" applyFont="1" applyBorder="1"/>
    <xf numFmtId="0" fontId="7" fillId="0" borderId="12" xfId="0" applyFont="1" applyBorder="1"/>
    <xf numFmtId="0" fontId="7" fillId="0" borderId="21" xfId="0" applyFont="1" applyBorder="1"/>
    <xf numFmtId="0" fontId="6" fillId="0" borderId="12" xfId="0" applyFont="1" applyBorder="1"/>
    <xf numFmtId="171" fontId="17" fillId="0" borderId="21" xfId="1" applyNumberFormat="1" applyFont="1" applyBorder="1" applyAlignment="1" applyProtection="1">
      <alignment horizontal="center" vertical="center" wrapText="1"/>
    </xf>
    <xf numFmtId="172" fontId="6" fillId="0" borderId="21" xfId="0" applyNumberFormat="1" applyFont="1" applyBorder="1"/>
    <xf numFmtId="2" fontId="6" fillId="0" borderId="21" xfId="0" applyNumberFormat="1" applyFont="1" applyBorder="1"/>
    <xf numFmtId="172" fontId="6" fillId="3" borderId="21" xfId="0" applyNumberFormat="1" applyFont="1" applyFill="1" applyBorder="1"/>
    <xf numFmtId="173" fontId="6" fillId="3" borderId="21" xfId="0" applyNumberFormat="1" applyFont="1" applyFill="1" applyBorder="1"/>
    <xf numFmtId="0" fontId="6" fillId="0" borderId="39" xfId="0" applyFont="1" applyBorder="1"/>
    <xf numFmtId="0" fontId="6" fillId="0" borderId="14" xfId="0" applyFont="1" applyBorder="1"/>
    <xf numFmtId="172" fontId="6" fillId="0" borderId="28" xfId="0" applyNumberFormat="1" applyFont="1" applyBorder="1"/>
    <xf numFmtId="10" fontId="8" fillId="3" borderId="29" xfId="2" applyNumberFormat="1" applyFont="1" applyFill="1" applyBorder="1" applyAlignment="1" applyProtection="1">
      <alignment vertical="center"/>
    </xf>
    <xf numFmtId="164" fontId="8" fillId="12" borderId="29" xfId="1" applyFont="1" applyFill="1" applyBorder="1" applyAlignment="1" applyProtection="1">
      <alignment horizontal="right" vertical="center"/>
    </xf>
    <xf numFmtId="164" fontId="8" fillId="0" borderId="19" xfId="1" applyFont="1" applyBorder="1" applyAlignment="1" applyProtection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15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164" fontId="2" fillId="2" borderId="5" xfId="1" applyFont="1" applyFill="1" applyBorder="1" applyAlignment="1" applyProtection="1">
      <alignment horizontal="center" vertical="center"/>
    </xf>
    <xf numFmtId="164" fontId="8" fillId="0" borderId="10" xfId="1" applyFont="1" applyBorder="1" applyAlignment="1" applyProtection="1">
      <alignment horizontal="left" vertical="center"/>
    </xf>
    <xf numFmtId="0" fontId="5" fillId="2" borderId="37" xfId="0" applyFont="1" applyFill="1" applyBorder="1" applyAlignment="1">
      <alignment horizontal="center" vertical="center"/>
    </xf>
    <xf numFmtId="0" fontId="5" fillId="10" borderId="37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 vertical="center"/>
    </xf>
    <xf numFmtId="9" fontId="7" fillId="0" borderId="37" xfId="2" applyFont="1" applyBorder="1" applyAlignment="1" applyProtection="1">
      <alignment horizontal="center"/>
    </xf>
    <xf numFmtId="0" fontId="6" fillId="0" borderId="14" xfId="0" applyFont="1" applyBorder="1" applyAlignment="1">
      <alignment horizontal="center" vertical="center"/>
    </xf>
    <xf numFmtId="0" fontId="2" fillId="10" borderId="15" xfId="0" applyFont="1" applyFill="1" applyBorder="1" applyAlignment="1">
      <alignment horizontal="center" vertical="center"/>
    </xf>
  </cellXfs>
  <cellStyles count="4">
    <cellStyle name="Hiperlink" xfId="3" builtinId="8"/>
    <cellStyle name="Normal" xfId="0" builtinId="0"/>
    <cellStyle name="Porcentagem" xfId="2" builtinId="5"/>
    <cellStyle name="Vírgula" xfId="1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133200</xdr:colOff>
      <xdr:row>4</xdr:row>
      <xdr:rowOff>28440</xdr:rowOff>
    </xdr:from>
    <xdr:to>
      <xdr:col>0</xdr:col>
      <xdr:colOff>1418040</xdr:colOff>
      <xdr:row>6</xdr:row>
      <xdr:rowOff>65520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33200" y="742680"/>
          <a:ext cx="1284840" cy="3610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0</xdr:col>
      <xdr:colOff>85680</xdr:colOff>
      <xdr:row>7</xdr:row>
      <xdr:rowOff>9360</xdr:rowOff>
    </xdr:from>
    <xdr:to>
      <xdr:col>0</xdr:col>
      <xdr:colOff>2122920</xdr:colOff>
      <xdr:row>9</xdr:row>
      <xdr:rowOff>55800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85680" y="1209600"/>
          <a:ext cx="2037240" cy="370080"/>
        </a:xfrm>
        <a:prstGeom prst="rect">
          <a:avLst/>
        </a:prstGeom>
        <a:ln w="0"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J333"/>
  <sheetViews>
    <sheetView tabSelected="1" view="pageBreakPreview" topLeftCell="A240" zoomScaleNormal="100" workbookViewId="0">
      <selection activeCell="G293" sqref="G293"/>
    </sheetView>
  </sheetViews>
  <sheetFormatPr defaultColWidth="9.140625" defaultRowHeight="12.75" x14ac:dyDescent="0.2"/>
  <cols>
    <col min="1" max="1" width="44.5703125" style="3" customWidth="1"/>
    <col min="2" max="2" width="16" style="3" customWidth="1"/>
    <col min="3" max="3" width="11.85546875" style="3" customWidth="1"/>
    <col min="4" max="4" width="14.7109375" style="4" customWidth="1"/>
    <col min="5" max="5" width="15.42578125" style="4" customWidth="1"/>
    <col min="6" max="6" width="13.28515625" style="4" customWidth="1"/>
    <col min="7" max="7" width="52.28515625" style="4" customWidth="1"/>
    <col min="8" max="8" width="9.140625" style="3"/>
    <col min="9" max="9" width="14.5703125" style="3" customWidth="1"/>
    <col min="10" max="10" width="13.42578125" style="3" customWidth="1"/>
    <col min="11" max="1024" width="9.140625" style="3"/>
  </cols>
  <sheetData>
    <row r="1" spans="1:7" ht="15.75" x14ac:dyDescent="0.2">
      <c r="A1" s="5" t="s">
        <v>0</v>
      </c>
    </row>
    <row r="2" spans="1:7" ht="15.75" x14ac:dyDescent="0.2">
      <c r="A2" s="6" t="s">
        <v>1</v>
      </c>
    </row>
    <row r="3" spans="1:7" ht="15.75" x14ac:dyDescent="0.2">
      <c r="A3" s="6" t="s">
        <v>2</v>
      </c>
    </row>
    <row r="4" spans="1:7" ht="15.75" x14ac:dyDescent="0.2">
      <c r="A4" s="6" t="s">
        <v>3</v>
      </c>
    </row>
    <row r="5" spans="1:7" s="8" customFormat="1" ht="15" customHeight="1" x14ac:dyDescent="0.2">
      <c r="A5" s="7" t="s">
        <v>4</v>
      </c>
      <c r="C5" s="9"/>
      <c r="D5" s="9"/>
      <c r="E5" s="9"/>
      <c r="F5" s="9"/>
      <c r="G5" s="10"/>
    </row>
    <row r="6" spans="1:7" s="8" customFormat="1" ht="15" customHeight="1" x14ac:dyDescent="0.2">
      <c r="A6" s="11" t="s">
        <v>5</v>
      </c>
      <c r="B6" s="9"/>
      <c r="C6" s="9"/>
      <c r="D6" s="9"/>
      <c r="E6" s="9"/>
      <c r="F6" s="9"/>
      <c r="G6" s="10"/>
    </row>
    <row r="7" spans="1:7" s="8" customFormat="1" ht="15" customHeight="1" x14ac:dyDescent="0.2">
      <c r="A7" s="3"/>
      <c r="B7" s="9"/>
      <c r="C7" s="9"/>
      <c r="D7" s="9"/>
      <c r="E7" s="9"/>
      <c r="F7" s="9"/>
      <c r="G7" s="10"/>
    </row>
    <row r="8" spans="1:7" s="8" customFormat="1" ht="15" customHeight="1" x14ac:dyDescent="0.2">
      <c r="A8" s="6" t="s">
        <v>6</v>
      </c>
      <c r="B8" s="9"/>
      <c r="C8" s="9"/>
      <c r="D8" s="9"/>
      <c r="E8" s="9"/>
      <c r="F8" s="9"/>
      <c r="G8" s="10"/>
    </row>
    <row r="9" spans="1:7" s="8" customFormat="1" ht="15" customHeight="1" x14ac:dyDescent="0.2">
      <c r="A9" s="6" t="s">
        <v>7</v>
      </c>
      <c r="B9" s="9"/>
      <c r="C9" s="9"/>
      <c r="D9" s="9"/>
      <c r="E9" s="9"/>
      <c r="F9" s="9"/>
      <c r="G9" s="10"/>
    </row>
    <row r="10" spans="1:7" s="8" customFormat="1" ht="16.5" customHeight="1" x14ac:dyDescent="0.2">
      <c r="A10" s="3"/>
      <c r="B10" s="9"/>
      <c r="C10" s="9"/>
      <c r="D10" s="10"/>
      <c r="E10" s="10"/>
      <c r="F10" s="10"/>
      <c r="G10" s="10"/>
    </row>
    <row r="11" spans="1:7" s="13" customFormat="1" ht="18" x14ac:dyDescent="0.2">
      <c r="A11" s="299" t="s">
        <v>8</v>
      </c>
      <c r="B11" s="299"/>
      <c r="C11" s="299"/>
      <c r="D11" s="299"/>
      <c r="E11" s="299"/>
      <c r="F11" s="299"/>
      <c r="G11" s="12"/>
    </row>
    <row r="12" spans="1:7" s="13" customFormat="1" ht="21.75" customHeight="1" x14ac:dyDescent="0.2">
      <c r="A12" s="300" t="s">
        <v>9</v>
      </c>
      <c r="B12" s="300"/>
      <c r="C12" s="300"/>
      <c r="D12" s="300"/>
      <c r="E12" s="300"/>
      <c r="F12" s="300"/>
      <c r="G12" s="12"/>
    </row>
    <row r="13" spans="1:7" s="8" customFormat="1" ht="10.5" customHeight="1" x14ac:dyDescent="0.2">
      <c r="A13" s="14"/>
      <c r="B13" s="9"/>
      <c r="C13" s="9"/>
      <c r="D13" s="10"/>
      <c r="E13" s="10"/>
      <c r="F13" s="15"/>
      <c r="G13" s="10"/>
    </row>
    <row r="14" spans="1:7" s="8" customFormat="1" ht="15.75" customHeight="1" x14ac:dyDescent="0.2">
      <c r="A14" s="301" t="s">
        <v>10</v>
      </c>
      <c r="B14" s="301"/>
      <c r="C14" s="301"/>
      <c r="D14" s="301"/>
      <c r="E14" s="301"/>
      <c r="F14" s="301"/>
      <c r="G14" s="10"/>
    </row>
    <row r="15" spans="1:7" s="8" customFormat="1" ht="15.75" customHeight="1" x14ac:dyDescent="0.2">
      <c r="A15" s="16" t="s">
        <v>11</v>
      </c>
      <c r="B15" s="17"/>
      <c r="C15" s="17"/>
      <c r="D15" s="18"/>
      <c r="E15" s="19" t="s">
        <v>12</v>
      </c>
      <c r="F15" s="20" t="s">
        <v>13</v>
      </c>
      <c r="G15" s="10"/>
    </row>
    <row r="16" spans="1:7" s="27" customFormat="1" ht="15.75" customHeight="1" x14ac:dyDescent="0.2">
      <c r="A16" s="21" t="str">
        <f>A53</f>
        <v>1. Mão-de-obra</v>
      </c>
      <c r="B16" s="22"/>
      <c r="C16" s="23"/>
      <c r="D16" s="23"/>
      <c r="E16" s="24">
        <f>+F143</f>
        <v>2222.4892811999998</v>
      </c>
      <c r="F16" s="25">
        <f t="shared" ref="F16:F35" si="0">IFERROR(E16/$E$36,0)</f>
        <v>0.15503949499216363</v>
      </c>
      <c r="G16" s="26"/>
    </row>
    <row r="17" spans="1:7" s="8" customFormat="1" ht="15.75" customHeight="1" x14ac:dyDescent="0.2">
      <c r="A17" s="28" t="str">
        <f>A55</f>
        <v>1.1. Coletor Turno Dia</v>
      </c>
      <c r="B17" s="29"/>
      <c r="C17" s="30"/>
      <c r="D17" s="30"/>
      <c r="E17" s="31">
        <f>F66</f>
        <v>1258.7980411999999</v>
      </c>
      <c r="F17" s="32">
        <f t="shared" si="0"/>
        <v>8.7812982611730386E-2</v>
      </c>
      <c r="G17" s="10"/>
    </row>
    <row r="18" spans="1:7" s="8" customFormat="1" ht="15.75" customHeight="1" x14ac:dyDescent="0.2">
      <c r="A18" s="28" t="str">
        <f>A68</f>
        <v>1.2. Coletor Turno Noite</v>
      </c>
      <c r="B18" s="29"/>
      <c r="C18" s="30"/>
      <c r="D18" s="30"/>
      <c r="E18" s="31">
        <f>F85</f>
        <v>0</v>
      </c>
      <c r="F18" s="32">
        <f t="shared" si="0"/>
        <v>0</v>
      </c>
      <c r="G18" s="10"/>
    </row>
    <row r="19" spans="1:7" s="8" customFormat="1" ht="15.75" customHeight="1" x14ac:dyDescent="0.2">
      <c r="A19" s="28" t="str">
        <f>A87</f>
        <v>1.3. Motorista Turno do Dia</v>
      </c>
      <c r="B19" s="29"/>
      <c r="C19" s="30"/>
      <c r="D19" s="30"/>
      <c r="E19" s="31">
        <f>F100</f>
        <v>704.68896400000006</v>
      </c>
      <c r="F19" s="32">
        <f t="shared" si="0"/>
        <v>4.915867177821464E-2</v>
      </c>
      <c r="G19" s="10"/>
    </row>
    <row r="20" spans="1:7" s="8" customFormat="1" ht="15.75" customHeight="1" x14ac:dyDescent="0.2">
      <c r="A20" s="28" t="str">
        <f>A102</f>
        <v>1.4. Motorista Turno Noite</v>
      </c>
      <c r="B20" s="29"/>
      <c r="C20" s="30"/>
      <c r="D20" s="30"/>
      <c r="E20" s="31">
        <f>F121</f>
        <v>0</v>
      </c>
      <c r="F20" s="32">
        <f t="shared" si="0"/>
        <v>0</v>
      </c>
      <c r="G20" s="10"/>
    </row>
    <row r="21" spans="1:7" s="8" customFormat="1" ht="15.75" customHeight="1" x14ac:dyDescent="0.2">
      <c r="A21" s="28" t="str">
        <f>A123</f>
        <v>1.5. Vale Transporte</v>
      </c>
      <c r="B21" s="29"/>
      <c r="C21" s="30"/>
      <c r="D21" s="30"/>
      <c r="E21" s="31">
        <f>F129</f>
        <v>0</v>
      </c>
      <c r="F21" s="32">
        <f t="shared" si="0"/>
        <v>0</v>
      </c>
      <c r="G21" s="10"/>
    </row>
    <row r="22" spans="1:7" s="8" customFormat="1" ht="15.75" customHeight="1" x14ac:dyDescent="0.2">
      <c r="A22" s="28" t="str">
        <f>A131</f>
        <v>1.6. Vale-refeição (diário)</v>
      </c>
      <c r="B22" s="29"/>
      <c r="C22" s="30"/>
      <c r="D22" s="30"/>
      <c r="E22" s="31">
        <f>F135</f>
        <v>0</v>
      </c>
      <c r="F22" s="32">
        <f t="shared" si="0"/>
        <v>0</v>
      </c>
      <c r="G22" s="10"/>
    </row>
    <row r="23" spans="1:7" s="8" customFormat="1" ht="15.75" customHeight="1" x14ac:dyDescent="0.2">
      <c r="A23" s="28" t="str">
        <f>A137</f>
        <v>Vale-refeição (diário)</v>
      </c>
      <c r="B23" s="29"/>
      <c r="C23" s="30"/>
      <c r="D23" s="30"/>
      <c r="E23" s="31">
        <f>F141</f>
        <v>259.00227599999999</v>
      </c>
      <c r="F23" s="32">
        <f t="shared" si="0"/>
        <v>1.8067840602218596E-2</v>
      </c>
      <c r="G23" s="10"/>
    </row>
    <row r="24" spans="1:7" s="27" customFormat="1" ht="15.75" customHeight="1" x14ac:dyDescent="0.2">
      <c r="A24" s="302" t="str">
        <f>A145</f>
        <v>2. Uniformes e Equipamentos de Proteção Individual</v>
      </c>
      <c r="B24" s="302"/>
      <c r="C24" s="302"/>
      <c r="D24" s="23"/>
      <c r="E24" s="24">
        <f>+F177</f>
        <v>108.29975800000001</v>
      </c>
      <c r="F24" s="25">
        <f t="shared" si="0"/>
        <v>7.5549249798980466E-3</v>
      </c>
      <c r="G24" s="26"/>
    </row>
    <row r="25" spans="1:7" s="27" customFormat="1" ht="15.75" customHeight="1" x14ac:dyDescent="0.2">
      <c r="A25" s="2" t="str">
        <f>A179</f>
        <v>3. Veículos e Equipamentos</v>
      </c>
      <c r="B25" s="33"/>
      <c r="C25" s="23"/>
      <c r="D25" s="23"/>
      <c r="E25" s="24">
        <f>+F258</f>
        <v>9170.1620030639879</v>
      </c>
      <c r="F25" s="25">
        <f t="shared" si="0"/>
        <v>0.63970490115647372</v>
      </c>
      <c r="G25" s="26"/>
    </row>
    <row r="26" spans="1:7" s="8" customFormat="1" ht="15.75" customHeight="1" x14ac:dyDescent="0.2">
      <c r="A26" s="34" t="str">
        <f>A181</f>
        <v>3.1. Veículo Coletor Compactador 12 m³</v>
      </c>
      <c r="B26" s="35"/>
      <c r="C26" s="30"/>
      <c r="D26" s="30"/>
      <c r="E26" s="31">
        <f>SUM(E27:E32)</f>
        <v>9170.1620030639879</v>
      </c>
      <c r="F26" s="36">
        <f t="shared" si="0"/>
        <v>0.63970490115647372</v>
      </c>
      <c r="G26" s="10"/>
    </row>
    <row r="27" spans="1:7" s="8" customFormat="1" ht="15.75" customHeight="1" x14ac:dyDescent="0.2">
      <c r="A27" s="34" t="str">
        <f>A183</f>
        <v>3.1.1. Depreciação</v>
      </c>
      <c r="B27" s="35"/>
      <c r="C27" s="30"/>
      <c r="D27" s="30"/>
      <c r="E27" s="31">
        <f>F197</f>
        <v>513.45624991072225</v>
      </c>
      <c r="F27" s="36">
        <f t="shared" si="0"/>
        <v>3.5818394428317094E-2</v>
      </c>
      <c r="G27" s="10"/>
    </row>
    <row r="28" spans="1:7" s="8" customFormat="1" ht="15.75" customHeight="1" x14ac:dyDescent="0.2">
      <c r="A28" s="34" t="str">
        <f>A199</f>
        <v>3.1.2. Remuneração do Capital</v>
      </c>
      <c r="B28" s="35"/>
      <c r="C28" s="30"/>
      <c r="D28" s="30"/>
      <c r="E28" s="31">
        <f>F213</f>
        <v>1035.0356200937417</v>
      </c>
      <c r="F28" s="36">
        <f t="shared" si="0"/>
        <v>7.2203452766076107E-2</v>
      </c>
      <c r="G28" s="10"/>
    </row>
    <row r="29" spans="1:7" s="8" customFormat="1" ht="15.75" customHeight="1" x14ac:dyDescent="0.2">
      <c r="A29" s="34" t="str">
        <f>A215</f>
        <v>3.1.3. Impostos e Seguros</v>
      </c>
      <c r="B29" s="35"/>
      <c r="C29" s="30"/>
      <c r="D29" s="30"/>
      <c r="E29" s="31">
        <f>F221</f>
        <v>84.020903416666656</v>
      </c>
      <c r="F29" s="36">
        <f t="shared" si="0"/>
        <v>5.8612469111535411E-3</v>
      </c>
      <c r="G29" s="10"/>
    </row>
    <row r="30" spans="1:7" s="8" customFormat="1" ht="15.75" customHeight="1" x14ac:dyDescent="0.2">
      <c r="A30" s="34" t="str">
        <f>A223</f>
        <v>3.1.4. Consumos</v>
      </c>
      <c r="B30" s="35"/>
      <c r="C30" s="30"/>
      <c r="D30" s="30"/>
      <c r="E30" s="31">
        <f>F241</f>
        <v>4742.5333724999991</v>
      </c>
      <c r="F30" s="36">
        <f t="shared" si="0"/>
        <v>0.33083623182150018</v>
      </c>
      <c r="G30" s="10"/>
    </row>
    <row r="31" spans="1:7" s="8" customFormat="1" ht="15.75" customHeight="1" x14ac:dyDescent="0.2">
      <c r="A31" s="34" t="str">
        <f>A243</f>
        <v>3.1.5. Manutenção</v>
      </c>
      <c r="B31" s="35"/>
      <c r="C31" s="30"/>
      <c r="D31" s="30"/>
      <c r="E31" s="31">
        <f>F246</f>
        <v>2349.4499999999998</v>
      </c>
      <c r="F31" s="36">
        <f t="shared" si="0"/>
        <v>0.16389619720130366</v>
      </c>
      <c r="G31" s="10"/>
    </row>
    <row r="32" spans="1:7" s="8" customFormat="1" ht="15.75" customHeight="1" x14ac:dyDescent="0.2">
      <c r="A32" s="34" t="str">
        <f>A248</f>
        <v>3.1.6. Pneus</v>
      </c>
      <c r="B32" s="35"/>
      <c r="C32" s="30"/>
      <c r="D32" s="30"/>
      <c r="E32" s="31">
        <f>F255</f>
        <v>445.66585714285713</v>
      </c>
      <c r="F32" s="36">
        <f t="shared" si="0"/>
        <v>3.1089378028123067E-2</v>
      </c>
      <c r="G32" s="10"/>
    </row>
    <row r="33" spans="1:7" s="27" customFormat="1" ht="15.75" customHeight="1" x14ac:dyDescent="0.2">
      <c r="A33" s="2" t="str">
        <f>A260</f>
        <v>4. Ferramentas e Materiais de Consumo</v>
      </c>
      <c r="B33" s="33"/>
      <c r="C33" s="23"/>
      <c r="D33" s="23"/>
      <c r="E33" s="24">
        <f>+F270</f>
        <v>31.621666666666702</v>
      </c>
      <c r="F33" s="25">
        <f t="shared" si="0"/>
        <v>2.2059081554550624E-3</v>
      </c>
      <c r="G33" s="26"/>
    </row>
    <row r="34" spans="1:7" s="27" customFormat="1" ht="15.75" customHeight="1" x14ac:dyDescent="0.2">
      <c r="A34" s="2" t="str">
        <f>A272</f>
        <v>5. Monitoramento da Frota</v>
      </c>
      <c r="B34" s="33"/>
      <c r="C34" s="23"/>
      <c r="D34" s="23"/>
      <c r="E34" s="24">
        <f>+F281</f>
        <v>0</v>
      </c>
      <c r="F34" s="25">
        <f t="shared" si="0"/>
        <v>0</v>
      </c>
      <c r="G34" s="26"/>
    </row>
    <row r="35" spans="1:7" s="27" customFormat="1" ht="15.75" customHeight="1" x14ac:dyDescent="0.2">
      <c r="A35" s="2" t="str">
        <f>A285</f>
        <v>6. Benefícios e Despesas Indiretas - BDI</v>
      </c>
      <c r="B35" s="33"/>
      <c r="C35" s="23"/>
      <c r="D35" s="23"/>
      <c r="E35" s="37">
        <f>+F291</f>
        <v>2802.4151682701486</v>
      </c>
      <c r="F35" s="25">
        <f t="shared" si="0"/>
        <v>0.19549477071600965</v>
      </c>
      <c r="G35" s="26"/>
    </row>
    <row r="36" spans="1:7" s="8" customFormat="1" ht="15.75" customHeight="1" x14ac:dyDescent="0.2">
      <c r="A36" s="38" t="s">
        <v>329</v>
      </c>
      <c r="B36" s="39"/>
      <c r="C36" s="40"/>
      <c r="D36" s="40"/>
      <c r="E36" s="41">
        <f>E16+E24+E25+E33+E34+E35</f>
        <v>14334.987877200801</v>
      </c>
      <c r="F36" s="42">
        <f>F16+F24+F25+F33+F34+F35</f>
        <v>1.0000000000000002</v>
      </c>
      <c r="G36" s="10"/>
    </row>
    <row r="39" spans="1:7" s="8" customFormat="1" ht="15" customHeight="1" x14ac:dyDescent="0.2">
      <c r="A39" s="301" t="s">
        <v>14</v>
      </c>
      <c r="B39" s="301"/>
      <c r="C39" s="301"/>
      <c r="D39" s="301"/>
      <c r="E39" s="301"/>
      <c r="F39" s="4"/>
      <c r="G39" s="10"/>
    </row>
    <row r="40" spans="1:7" s="8" customFormat="1" ht="15" customHeight="1" x14ac:dyDescent="0.2">
      <c r="A40" s="296" t="s">
        <v>15</v>
      </c>
      <c r="B40" s="296"/>
      <c r="C40" s="296"/>
      <c r="D40" s="296"/>
      <c r="E40" s="43" t="s">
        <v>16</v>
      </c>
      <c r="F40" s="4"/>
      <c r="G40" s="10"/>
    </row>
    <row r="41" spans="1:7" s="8" customFormat="1" ht="15" customHeight="1" x14ac:dyDescent="0.2">
      <c r="A41" s="44" t="str">
        <f>+A55</f>
        <v>1.1. Coletor Turno Dia</v>
      </c>
      <c r="B41" s="45"/>
      <c r="C41" s="45"/>
      <c r="D41" s="46"/>
      <c r="E41" s="47">
        <v>2</v>
      </c>
      <c r="F41" s="4"/>
      <c r="G41" s="10"/>
    </row>
    <row r="42" spans="1:7" s="8" customFormat="1" ht="15" customHeight="1" x14ac:dyDescent="0.2">
      <c r="A42" s="48" t="str">
        <f>+A68</f>
        <v>1.2. Coletor Turno Noite</v>
      </c>
      <c r="B42" s="49"/>
      <c r="C42" s="49"/>
      <c r="D42" s="50"/>
      <c r="E42" s="51">
        <f>C84</f>
        <v>0</v>
      </c>
      <c r="F42" s="4"/>
      <c r="G42" s="10"/>
    </row>
    <row r="43" spans="1:7" s="8" customFormat="1" ht="15" customHeight="1" x14ac:dyDescent="0.2">
      <c r="A43" s="48" t="str">
        <f>+A87</f>
        <v>1.3. Motorista Turno do Dia</v>
      </c>
      <c r="B43" s="49"/>
      <c r="C43" s="49"/>
      <c r="D43" s="50"/>
      <c r="E43" s="51">
        <v>1</v>
      </c>
      <c r="F43" s="4"/>
      <c r="G43" s="10"/>
    </row>
    <row r="44" spans="1:7" s="8" customFormat="1" ht="15" customHeight="1" x14ac:dyDescent="0.2">
      <c r="A44" s="48" t="str">
        <f>+A102</f>
        <v>1.4. Motorista Turno Noite</v>
      </c>
      <c r="B44" s="49"/>
      <c r="C44" s="49"/>
      <c r="D44" s="50"/>
      <c r="E44" s="51">
        <f>C120</f>
        <v>0</v>
      </c>
      <c r="F44" s="4"/>
      <c r="G44" s="10"/>
    </row>
    <row r="45" spans="1:7" s="8" customFormat="1" ht="15" customHeight="1" x14ac:dyDescent="0.2">
      <c r="A45" s="52" t="s">
        <v>17</v>
      </c>
      <c r="B45" s="53"/>
      <c r="C45" s="53"/>
      <c r="D45" s="54"/>
      <c r="E45" s="55">
        <f>SUM(E41:E44)</f>
        <v>3</v>
      </c>
      <c r="F45" s="4"/>
      <c r="G45" s="10"/>
    </row>
    <row r="46" spans="1:7" s="8" customFormat="1" ht="15" customHeight="1" x14ac:dyDescent="0.2">
      <c r="A46" s="56"/>
      <c r="B46" s="57"/>
      <c r="C46" s="4"/>
      <c r="D46" s="4"/>
      <c r="E46" s="58"/>
      <c r="F46" s="4"/>
      <c r="G46" s="10"/>
    </row>
    <row r="47" spans="1:7" s="8" customFormat="1" ht="15" customHeight="1" x14ac:dyDescent="0.2">
      <c r="A47" s="297" t="s">
        <v>18</v>
      </c>
      <c r="B47" s="297"/>
      <c r="C47" s="297"/>
      <c r="D47" s="297"/>
      <c r="E47" s="43" t="s">
        <v>16</v>
      </c>
      <c r="F47" s="3"/>
      <c r="G47" s="10"/>
    </row>
    <row r="48" spans="1:7" s="8" customFormat="1" ht="15" customHeight="1" x14ac:dyDescent="0.2">
      <c r="A48" s="59" t="str">
        <f>+A181</f>
        <v>3.1. Veículo Coletor Compactador 12 m³</v>
      </c>
      <c r="B48" s="60"/>
      <c r="C48" s="60"/>
      <c r="D48" s="61"/>
      <c r="E48" s="62">
        <v>1</v>
      </c>
      <c r="F48" s="3"/>
      <c r="G48" s="10"/>
    </row>
    <row r="49" spans="1:7" s="8" customFormat="1" ht="15" customHeight="1" x14ac:dyDescent="0.2">
      <c r="A49" s="4"/>
      <c r="B49" s="4"/>
      <c r="C49" s="4"/>
      <c r="D49" s="3"/>
      <c r="E49" s="63"/>
      <c r="F49" s="3"/>
      <c r="G49" s="10"/>
    </row>
    <row r="50" spans="1:7" s="8" customFormat="1" x14ac:dyDescent="0.2">
      <c r="A50" s="4"/>
      <c r="B50" s="4"/>
      <c r="C50" s="4"/>
      <c r="D50" s="3"/>
      <c r="E50" s="64"/>
      <c r="F50" s="3"/>
      <c r="G50" s="10"/>
    </row>
    <row r="51" spans="1:7" s="27" customFormat="1" ht="15.75" customHeight="1" x14ac:dyDescent="0.2">
      <c r="A51" s="65" t="s">
        <v>19</v>
      </c>
      <c r="B51" s="294">
        <v>0.21590000000000001</v>
      </c>
      <c r="C51" s="26"/>
      <c r="E51" s="66"/>
      <c r="G51" s="26"/>
    </row>
    <row r="52" spans="1:7" s="8" customFormat="1" ht="15.75" customHeight="1" x14ac:dyDescent="0.2">
      <c r="A52" s="4"/>
      <c r="B52" s="4"/>
      <c r="C52" s="4"/>
      <c r="D52" s="3"/>
      <c r="E52" s="64"/>
      <c r="F52" s="3"/>
      <c r="G52" s="10"/>
    </row>
    <row r="53" spans="1:7" ht="12.75" customHeight="1" x14ac:dyDescent="0.2">
      <c r="A53" s="27" t="s">
        <v>20</v>
      </c>
    </row>
    <row r="54" spans="1:7" ht="11.25" customHeight="1" x14ac:dyDescent="0.2"/>
    <row r="55" spans="1:7" ht="13.5" customHeight="1" x14ac:dyDescent="0.2">
      <c r="A55" s="3" t="s">
        <v>21</v>
      </c>
    </row>
    <row r="56" spans="1:7" ht="13.5" customHeight="1" x14ac:dyDescent="0.2">
      <c r="A56" s="67" t="s">
        <v>22</v>
      </c>
      <c r="B56" s="68" t="s">
        <v>23</v>
      </c>
      <c r="C56" s="68" t="s">
        <v>16</v>
      </c>
      <c r="D56" s="69" t="s">
        <v>24</v>
      </c>
      <c r="E56" s="69" t="s">
        <v>25</v>
      </c>
      <c r="F56" s="70" t="s">
        <v>26</v>
      </c>
    </row>
    <row r="57" spans="1:7" ht="12.75" customHeight="1" x14ac:dyDescent="0.2">
      <c r="A57" s="71" t="s">
        <v>27</v>
      </c>
      <c r="B57" s="72" t="s">
        <v>28</v>
      </c>
      <c r="C57" s="72">
        <v>1</v>
      </c>
      <c r="D57" s="73">
        <v>2082.31</v>
      </c>
      <c r="E57" s="74">
        <f>C57*D57</f>
        <v>2082.31</v>
      </c>
    </row>
    <row r="58" spans="1:7" x14ac:dyDescent="0.2">
      <c r="A58" s="75" t="s">
        <v>29</v>
      </c>
      <c r="B58" s="76" t="s">
        <v>30</v>
      </c>
      <c r="C58" s="77">
        <v>0</v>
      </c>
      <c r="D58" s="78">
        <f>D57/220*2</f>
        <v>18.930090909090907</v>
      </c>
      <c r="E58" s="78">
        <f>C58*D58</f>
        <v>0</v>
      </c>
    </row>
    <row r="59" spans="1:7" ht="12.75" customHeight="1" x14ac:dyDescent="0.2">
      <c r="A59" s="75" t="s">
        <v>31</v>
      </c>
      <c r="B59" s="76" t="s">
        <v>30</v>
      </c>
      <c r="C59" s="77">
        <v>0</v>
      </c>
      <c r="D59" s="78">
        <f>D57/220*1.5</f>
        <v>14.19756818181818</v>
      </c>
      <c r="E59" s="78">
        <f>C59*D59</f>
        <v>0</v>
      </c>
    </row>
    <row r="60" spans="1:7" ht="12.75" customHeight="1" x14ac:dyDescent="0.2">
      <c r="A60" s="75" t="s">
        <v>32</v>
      </c>
      <c r="B60" s="76" t="s">
        <v>33</v>
      </c>
      <c r="D60" s="78">
        <f>63/302*(SUM(E58:E59))</f>
        <v>0</v>
      </c>
      <c r="E60" s="78">
        <f>D60</f>
        <v>0</v>
      </c>
    </row>
    <row r="61" spans="1:7" x14ac:dyDescent="0.2">
      <c r="A61" s="75" t="s">
        <v>34</v>
      </c>
      <c r="B61" s="76" t="s">
        <v>13</v>
      </c>
      <c r="C61" s="76">
        <v>40</v>
      </c>
      <c r="D61" s="78">
        <f>SUM(E57:E60)</f>
        <v>2082.31</v>
      </c>
      <c r="E61" s="78">
        <f>C61*D61/100</f>
        <v>832.92399999999998</v>
      </c>
    </row>
    <row r="62" spans="1:7" x14ac:dyDescent="0.2">
      <c r="A62" s="79" t="s">
        <v>35</v>
      </c>
      <c r="B62" s="80"/>
      <c r="C62" s="80"/>
      <c r="D62" s="81"/>
      <c r="E62" s="82">
        <f>SUM(E57:E61)</f>
        <v>2915.2339999999999</v>
      </c>
    </row>
    <row r="63" spans="1:7" x14ac:dyDescent="0.2">
      <c r="A63" s="75" t="s">
        <v>36</v>
      </c>
      <c r="B63" s="76" t="s">
        <v>13</v>
      </c>
      <c r="C63" s="83"/>
      <c r="D63" s="78">
        <f>E62</f>
        <v>2915.2339999999999</v>
      </c>
      <c r="E63" s="78">
        <f>D63*C63/100</f>
        <v>0</v>
      </c>
    </row>
    <row r="64" spans="1:7" x14ac:dyDescent="0.2">
      <c r="A64" s="79" t="s">
        <v>37</v>
      </c>
      <c r="B64" s="80"/>
      <c r="C64" s="80"/>
      <c r="D64" s="81"/>
      <c r="E64" s="82">
        <f>E62+E63</f>
        <v>2915.2339999999999</v>
      </c>
    </row>
    <row r="65" spans="1:8" x14ac:dyDescent="0.2">
      <c r="A65" s="75" t="s">
        <v>38</v>
      </c>
      <c r="B65" s="76" t="s">
        <v>39</v>
      </c>
      <c r="C65" s="84">
        <v>2</v>
      </c>
      <c r="D65" s="78">
        <f>E64</f>
        <v>2915.2339999999999</v>
      </c>
      <c r="E65" s="78">
        <f>C65*D65</f>
        <v>5830.4679999999998</v>
      </c>
      <c r="G65" s="10"/>
    </row>
    <row r="66" spans="1:8" ht="13.5" customHeight="1" x14ac:dyDescent="0.2">
      <c r="D66" s="85" t="s">
        <v>40</v>
      </c>
      <c r="E66" s="86">
        <f>$B$51</f>
        <v>0.21590000000000001</v>
      </c>
      <c r="F66" s="87">
        <f>E65*E66</f>
        <v>1258.7980411999999</v>
      </c>
      <c r="G66" s="10"/>
    </row>
    <row r="67" spans="1:8" ht="11.25" customHeight="1" x14ac:dyDescent="0.2"/>
    <row r="68" spans="1:8" hidden="1" x14ac:dyDescent="0.2">
      <c r="A68" s="88" t="s">
        <v>41</v>
      </c>
      <c r="B68" s="88"/>
      <c r="C68" s="88"/>
      <c r="D68" s="89"/>
      <c r="E68" s="89"/>
      <c r="F68" s="89"/>
      <c r="G68" s="89"/>
      <c r="H68" s="88"/>
    </row>
    <row r="69" spans="1:8" hidden="1" x14ac:dyDescent="0.2">
      <c r="A69" s="90" t="s">
        <v>22</v>
      </c>
      <c r="B69" s="91" t="s">
        <v>23</v>
      </c>
      <c r="C69" s="91" t="s">
        <v>16</v>
      </c>
      <c r="D69" s="92" t="s">
        <v>24</v>
      </c>
      <c r="E69" s="92" t="s">
        <v>25</v>
      </c>
      <c r="F69" s="93" t="s">
        <v>26</v>
      </c>
      <c r="G69" s="89"/>
      <c r="H69" s="88"/>
    </row>
    <row r="70" spans="1:8" hidden="1" x14ac:dyDescent="0.2">
      <c r="A70" s="94" t="s">
        <v>27</v>
      </c>
      <c r="B70" s="95" t="s">
        <v>28</v>
      </c>
      <c r="C70" s="95">
        <v>1</v>
      </c>
      <c r="D70" s="96">
        <f>D57</f>
        <v>2082.31</v>
      </c>
      <c r="E70" s="96">
        <f>C70*D70</f>
        <v>2082.31</v>
      </c>
      <c r="F70" s="89"/>
      <c r="G70" s="89"/>
      <c r="H70" s="88"/>
    </row>
    <row r="71" spans="1:8" hidden="1" x14ac:dyDescent="0.2">
      <c r="A71" s="97" t="s">
        <v>42</v>
      </c>
      <c r="B71" s="98" t="s">
        <v>43</v>
      </c>
      <c r="C71" s="99">
        <v>0</v>
      </c>
      <c r="D71" s="100"/>
      <c r="E71" s="100"/>
      <c r="F71" s="89"/>
      <c r="G71" s="89"/>
      <c r="H71" s="88"/>
    </row>
    <row r="72" spans="1:8" hidden="1" x14ac:dyDescent="0.2">
      <c r="A72" s="97"/>
      <c r="B72" s="98" t="s">
        <v>44</v>
      </c>
      <c r="C72" s="101">
        <f>C71*8/7</f>
        <v>0</v>
      </c>
      <c r="D72" s="100">
        <f>D70/220*0.2</f>
        <v>1.8930090909090909</v>
      </c>
      <c r="E72" s="100">
        <f>C72*D72</f>
        <v>0</v>
      </c>
      <c r="F72" s="89"/>
      <c r="G72" s="89"/>
      <c r="H72" s="88"/>
    </row>
    <row r="73" spans="1:8" hidden="1" x14ac:dyDescent="0.2">
      <c r="A73" s="97" t="s">
        <v>29</v>
      </c>
      <c r="B73" s="98" t="s">
        <v>30</v>
      </c>
      <c r="C73" s="99">
        <v>0</v>
      </c>
      <c r="D73" s="100">
        <f>D70/220*2</f>
        <v>18.930090909090907</v>
      </c>
      <c r="E73" s="100">
        <f>C73*D73</f>
        <v>0</v>
      </c>
      <c r="F73" s="89"/>
      <c r="G73" s="89"/>
      <c r="H73" s="88"/>
    </row>
    <row r="74" spans="1:8" hidden="1" x14ac:dyDescent="0.2">
      <c r="A74" s="97" t="s">
        <v>45</v>
      </c>
      <c r="B74" s="98" t="s">
        <v>43</v>
      </c>
      <c r="C74" s="99">
        <v>0</v>
      </c>
      <c r="D74" s="100"/>
      <c r="E74" s="100"/>
      <c r="F74" s="89"/>
      <c r="G74" s="89"/>
      <c r="H74" s="88"/>
    </row>
    <row r="75" spans="1:8" hidden="1" x14ac:dyDescent="0.2">
      <c r="A75" s="97"/>
      <c r="B75" s="98" t="s">
        <v>44</v>
      </c>
      <c r="C75" s="101">
        <f>C74*8/7</f>
        <v>0</v>
      </c>
      <c r="D75" s="100">
        <f>D70/220*2*1.2</f>
        <v>22.716109090909089</v>
      </c>
      <c r="E75" s="100">
        <f>C75*D75</f>
        <v>0</v>
      </c>
      <c r="F75" s="89"/>
      <c r="G75" s="89"/>
      <c r="H75" s="88"/>
    </row>
    <row r="76" spans="1:8" hidden="1" x14ac:dyDescent="0.2">
      <c r="A76" s="97" t="s">
        <v>31</v>
      </c>
      <c r="B76" s="98" t="s">
        <v>30</v>
      </c>
      <c r="C76" s="99">
        <v>0</v>
      </c>
      <c r="D76" s="100">
        <f>D70/220*1.5</f>
        <v>14.19756818181818</v>
      </c>
      <c r="E76" s="100">
        <f>C76*D76</f>
        <v>0</v>
      </c>
      <c r="F76" s="89"/>
      <c r="G76" s="89"/>
      <c r="H76" s="88"/>
    </row>
    <row r="77" spans="1:8" hidden="1" x14ac:dyDescent="0.2">
      <c r="A77" s="97" t="s">
        <v>46</v>
      </c>
      <c r="B77" s="98" t="s">
        <v>43</v>
      </c>
      <c r="C77" s="99">
        <v>0</v>
      </c>
      <c r="D77" s="100"/>
      <c r="E77" s="100"/>
      <c r="F77" s="89"/>
      <c r="G77" s="89"/>
      <c r="H77" s="88"/>
    </row>
    <row r="78" spans="1:8" hidden="1" x14ac:dyDescent="0.2">
      <c r="A78" s="97"/>
      <c r="B78" s="98" t="s">
        <v>44</v>
      </c>
      <c r="C78" s="100">
        <f>C77*8/7</f>
        <v>0</v>
      </c>
      <c r="D78" s="100">
        <f>D70/220*1.5*1.2</f>
        <v>17.037081818181814</v>
      </c>
      <c r="E78" s="100">
        <f>C78*D78</f>
        <v>0</v>
      </c>
      <c r="F78" s="89"/>
      <c r="G78" s="89"/>
      <c r="H78" s="88"/>
    </row>
    <row r="79" spans="1:8" ht="12.75" hidden="1" customHeight="1" x14ac:dyDescent="0.2">
      <c r="A79" s="97" t="s">
        <v>32</v>
      </c>
      <c r="B79" s="98" t="s">
        <v>33</v>
      </c>
      <c r="C79" s="88"/>
      <c r="D79" s="100">
        <f>63/302*(SUM(E73:E78))</f>
        <v>0</v>
      </c>
      <c r="E79" s="100">
        <f>D79</f>
        <v>0</v>
      </c>
      <c r="F79" s="89"/>
      <c r="G79" s="89"/>
      <c r="H79" s="88"/>
    </row>
    <row r="80" spans="1:8" hidden="1" x14ac:dyDescent="0.2">
      <c r="A80" s="97" t="s">
        <v>34</v>
      </c>
      <c r="B80" s="98" t="s">
        <v>13</v>
      </c>
      <c r="C80" s="98">
        <f>+C61</f>
        <v>40</v>
      </c>
      <c r="D80" s="100">
        <f>SUM(E70:E79)</f>
        <v>2082.31</v>
      </c>
      <c r="E80" s="100">
        <f>C80*D80/100</f>
        <v>832.92399999999998</v>
      </c>
      <c r="F80" s="89"/>
      <c r="G80" s="89"/>
      <c r="H80" s="88"/>
    </row>
    <row r="81" spans="1:8" hidden="1" x14ac:dyDescent="0.2">
      <c r="A81" s="102" t="s">
        <v>35</v>
      </c>
      <c r="B81" s="103"/>
      <c r="C81" s="103"/>
      <c r="D81" s="104"/>
      <c r="E81" s="105">
        <f>SUM(E70:E80)</f>
        <v>2915.2339999999999</v>
      </c>
      <c r="F81" s="89"/>
      <c r="G81" s="89"/>
      <c r="H81" s="88"/>
    </row>
    <row r="82" spans="1:8" hidden="1" x14ac:dyDescent="0.2">
      <c r="A82" s="97" t="s">
        <v>36</v>
      </c>
      <c r="B82" s="98" t="s">
        <v>13</v>
      </c>
      <c r="C82" s="100">
        <f>'2.Encargos Sociais'!$C$37*100</f>
        <v>70.595951999999997</v>
      </c>
      <c r="D82" s="100">
        <f>E81</f>
        <v>2915.2339999999999</v>
      </c>
      <c r="E82" s="100">
        <f>D82*C82/100</f>
        <v>2058.0371953276799</v>
      </c>
      <c r="F82" s="89"/>
      <c r="G82" s="89"/>
      <c r="H82" s="88"/>
    </row>
    <row r="83" spans="1:8" hidden="1" x14ac:dyDescent="0.2">
      <c r="A83" s="102" t="s">
        <v>37</v>
      </c>
      <c r="B83" s="103"/>
      <c r="C83" s="103"/>
      <c r="D83" s="104"/>
      <c r="E83" s="105">
        <f>E81+E82</f>
        <v>4973.2711953276794</v>
      </c>
      <c r="F83" s="89"/>
      <c r="G83" s="89"/>
      <c r="H83" s="88"/>
    </row>
    <row r="84" spans="1:8" hidden="1" x14ac:dyDescent="0.2">
      <c r="A84" s="97" t="s">
        <v>38</v>
      </c>
      <c r="B84" s="98" t="s">
        <v>39</v>
      </c>
      <c r="C84" s="98">
        <v>0</v>
      </c>
      <c r="D84" s="100">
        <f>E83</f>
        <v>4973.2711953276794</v>
      </c>
      <c r="E84" s="100">
        <f>C84*D84</f>
        <v>0</v>
      </c>
      <c r="F84" s="89"/>
      <c r="G84" s="89"/>
      <c r="H84" s="88"/>
    </row>
    <row r="85" spans="1:8" hidden="1" x14ac:dyDescent="0.2">
      <c r="A85" s="88"/>
      <c r="B85" s="88"/>
      <c r="C85" s="88"/>
      <c r="D85" s="106" t="s">
        <v>40</v>
      </c>
      <c r="E85" s="107">
        <f>$B$51</f>
        <v>0.21590000000000001</v>
      </c>
      <c r="F85" s="108">
        <f>E84*E85</f>
        <v>0</v>
      </c>
      <c r="G85" s="89"/>
      <c r="H85" s="88"/>
    </row>
    <row r="86" spans="1:8" ht="11.25" customHeight="1" x14ac:dyDescent="0.2"/>
    <row r="87" spans="1:8" ht="13.5" thickBot="1" x14ac:dyDescent="0.25">
      <c r="A87" s="3" t="s">
        <v>47</v>
      </c>
    </row>
    <row r="88" spans="1:8" s="109" customFormat="1" ht="12.75" customHeight="1" x14ac:dyDescent="0.2">
      <c r="A88" s="67" t="s">
        <v>22</v>
      </c>
      <c r="B88" s="68" t="s">
        <v>23</v>
      </c>
      <c r="C88" s="68" t="s">
        <v>16</v>
      </c>
      <c r="D88" s="69" t="s">
        <v>24</v>
      </c>
      <c r="E88" s="69" t="s">
        <v>25</v>
      </c>
      <c r="F88" s="70" t="s">
        <v>26</v>
      </c>
      <c r="G88" s="4"/>
    </row>
    <row r="89" spans="1:8" x14ac:dyDescent="0.2">
      <c r="A89" s="71" t="s">
        <v>48</v>
      </c>
      <c r="B89" s="72" t="s">
        <v>28</v>
      </c>
      <c r="C89" s="72">
        <v>1</v>
      </c>
      <c r="D89" s="73">
        <v>2331.4</v>
      </c>
      <c r="E89" s="74">
        <f>C89*D89</f>
        <v>2331.4</v>
      </c>
    </row>
    <row r="90" spans="1:8" x14ac:dyDescent="0.2">
      <c r="A90" s="71" t="s">
        <v>49</v>
      </c>
      <c r="B90" s="72" t="s">
        <v>28</v>
      </c>
      <c r="C90" s="72">
        <v>1</v>
      </c>
      <c r="D90" s="73">
        <v>1621</v>
      </c>
      <c r="E90" s="74"/>
    </row>
    <row r="91" spans="1:8" x14ac:dyDescent="0.2">
      <c r="A91" s="75" t="s">
        <v>29</v>
      </c>
      <c r="B91" s="76" t="s">
        <v>30</v>
      </c>
      <c r="C91" s="77">
        <v>0</v>
      </c>
      <c r="D91" s="78">
        <f>D89/220*2</f>
        <v>21.194545454545455</v>
      </c>
      <c r="E91" s="78">
        <f>C91*D91</f>
        <v>0</v>
      </c>
    </row>
    <row r="92" spans="1:8" x14ac:dyDescent="0.2">
      <c r="A92" s="75" t="s">
        <v>31</v>
      </c>
      <c r="B92" s="76" t="s">
        <v>30</v>
      </c>
      <c r="C92" s="77">
        <v>0</v>
      </c>
      <c r="D92" s="78">
        <f>D89/220*1.5</f>
        <v>15.895909090909091</v>
      </c>
      <c r="E92" s="78">
        <f>C92*D92</f>
        <v>0</v>
      </c>
    </row>
    <row r="93" spans="1:8" ht="12.75" customHeight="1" x14ac:dyDescent="0.2">
      <c r="A93" s="75" t="s">
        <v>32</v>
      </c>
      <c r="B93" s="76" t="s">
        <v>33</v>
      </c>
      <c r="D93" s="78">
        <f>63/302*(SUM(E91:E92))</f>
        <v>0</v>
      </c>
      <c r="E93" s="78">
        <f>D93</f>
        <v>0</v>
      </c>
    </row>
    <row r="94" spans="1:8" x14ac:dyDescent="0.2">
      <c r="A94" s="75" t="s">
        <v>50</v>
      </c>
      <c r="B94" s="76"/>
      <c r="C94" s="110">
        <v>2</v>
      </c>
      <c r="D94" s="78"/>
      <c r="E94" s="78"/>
    </row>
    <row r="95" spans="1:8" x14ac:dyDescent="0.2">
      <c r="A95" s="75" t="s">
        <v>34</v>
      </c>
      <c r="B95" s="76" t="s">
        <v>13</v>
      </c>
      <c r="C95" s="84">
        <v>40</v>
      </c>
      <c r="D95" s="78">
        <f>IF(C94=2,SUM(E89:E93),IF(C94=1,(SUM(E89:E93))*D90/D89,0))</f>
        <v>2331.4</v>
      </c>
      <c r="E95" s="78">
        <f>C95*D95/100</f>
        <v>932.56</v>
      </c>
    </row>
    <row r="96" spans="1:8" s="27" customFormat="1" x14ac:dyDescent="0.2">
      <c r="A96" s="111" t="s">
        <v>35</v>
      </c>
      <c r="B96" s="80"/>
      <c r="C96" s="80"/>
      <c r="D96" s="81"/>
      <c r="E96" s="112">
        <f>SUM(E89:E95)</f>
        <v>3263.96</v>
      </c>
      <c r="F96" s="26"/>
      <c r="G96" s="26"/>
    </row>
    <row r="97" spans="1:9" x14ac:dyDescent="0.2">
      <c r="A97" s="75" t="s">
        <v>36</v>
      </c>
      <c r="B97" s="76" t="s">
        <v>13</v>
      </c>
      <c r="C97" s="83"/>
      <c r="D97" s="78">
        <f>E96</f>
        <v>3263.96</v>
      </c>
      <c r="E97" s="78">
        <f>D97*C97/100</f>
        <v>0</v>
      </c>
    </row>
    <row r="98" spans="1:9" s="27" customFormat="1" x14ac:dyDescent="0.2">
      <c r="A98" s="111" t="s">
        <v>51</v>
      </c>
      <c r="B98" s="113"/>
      <c r="C98" s="113"/>
      <c r="D98" s="114"/>
      <c r="E98" s="112">
        <f>E96+E97</f>
        <v>3263.96</v>
      </c>
      <c r="F98" s="26"/>
      <c r="G98" s="26"/>
    </row>
    <row r="99" spans="1:9" x14ac:dyDescent="0.2">
      <c r="A99" s="75" t="s">
        <v>38</v>
      </c>
      <c r="B99" s="76" t="s">
        <v>39</v>
      </c>
      <c r="C99" s="84">
        <v>1</v>
      </c>
      <c r="D99" s="78">
        <f>E98</f>
        <v>3263.96</v>
      </c>
      <c r="E99" s="78">
        <f>C99*D99</f>
        <v>3263.96</v>
      </c>
    </row>
    <row r="100" spans="1:9" x14ac:dyDescent="0.2">
      <c r="D100" s="85" t="s">
        <v>40</v>
      </c>
      <c r="E100" s="86">
        <f>$B$51</f>
        <v>0.21590000000000001</v>
      </c>
      <c r="F100" s="87">
        <f>E99*E100</f>
        <v>704.68896400000006</v>
      </c>
    </row>
    <row r="101" spans="1:9" ht="11.25" customHeight="1" x14ac:dyDescent="0.2"/>
    <row r="102" spans="1:9" hidden="1" x14ac:dyDescent="0.2">
      <c r="A102" s="88" t="s">
        <v>52</v>
      </c>
      <c r="B102" s="88"/>
      <c r="C102" s="88"/>
      <c r="D102" s="89"/>
      <c r="E102" s="89"/>
      <c r="F102" s="89"/>
      <c r="G102" s="89"/>
      <c r="H102" s="88"/>
      <c r="I102" s="88"/>
    </row>
    <row r="103" spans="1:9" hidden="1" x14ac:dyDescent="0.2">
      <c r="A103" s="90" t="s">
        <v>22</v>
      </c>
      <c r="B103" s="91" t="s">
        <v>23</v>
      </c>
      <c r="C103" s="91" t="s">
        <v>16</v>
      </c>
      <c r="D103" s="92" t="s">
        <v>24</v>
      </c>
      <c r="E103" s="92" t="s">
        <v>25</v>
      </c>
      <c r="F103" s="93" t="s">
        <v>26</v>
      </c>
      <c r="G103" s="89"/>
      <c r="H103" s="88"/>
      <c r="I103" s="88"/>
    </row>
    <row r="104" spans="1:9" hidden="1" x14ac:dyDescent="0.2">
      <c r="A104" s="94" t="s">
        <v>48</v>
      </c>
      <c r="B104" s="95" t="s">
        <v>28</v>
      </c>
      <c r="C104" s="95">
        <v>1</v>
      </c>
      <c r="D104" s="96">
        <f>D89</f>
        <v>2331.4</v>
      </c>
      <c r="E104" s="96">
        <f>C104*D104</f>
        <v>2331.4</v>
      </c>
      <c r="F104" s="89"/>
      <c r="G104" s="89"/>
      <c r="H104" s="88"/>
      <c r="I104" s="88"/>
    </row>
    <row r="105" spans="1:9" hidden="1" x14ac:dyDescent="0.2">
      <c r="A105" s="94" t="s">
        <v>49</v>
      </c>
      <c r="B105" s="95" t="s">
        <v>28</v>
      </c>
      <c r="C105" s="95">
        <v>1</v>
      </c>
      <c r="D105" s="100">
        <f>D90</f>
        <v>1621</v>
      </c>
      <c r="E105" s="100"/>
      <c r="F105" s="89"/>
      <c r="G105" s="89"/>
      <c r="H105" s="88"/>
      <c r="I105" s="88"/>
    </row>
    <row r="106" spans="1:9" hidden="1" x14ac:dyDescent="0.2">
      <c r="A106" s="97" t="s">
        <v>42</v>
      </c>
      <c r="B106" s="98" t="s">
        <v>43</v>
      </c>
      <c r="C106" s="99">
        <v>0</v>
      </c>
      <c r="D106" s="97"/>
      <c r="E106" s="97"/>
      <c r="F106" s="89"/>
      <c r="G106" s="89"/>
      <c r="H106" s="88"/>
      <c r="I106" s="88"/>
    </row>
    <row r="107" spans="1:9" hidden="1" x14ac:dyDescent="0.2">
      <c r="A107" s="97"/>
      <c r="B107" s="98" t="s">
        <v>44</v>
      </c>
      <c r="C107" s="100">
        <f>C106*8/7</f>
        <v>0</v>
      </c>
      <c r="D107" s="100">
        <f>D104/220*0.2</f>
        <v>2.1194545454545457</v>
      </c>
      <c r="E107" s="100">
        <f>C107*D107</f>
        <v>0</v>
      </c>
      <c r="F107" s="89"/>
      <c r="G107" s="89"/>
      <c r="H107" s="88"/>
      <c r="I107" s="88"/>
    </row>
    <row r="108" spans="1:9" hidden="1" x14ac:dyDescent="0.2">
      <c r="A108" s="97" t="s">
        <v>29</v>
      </c>
      <c r="B108" s="98" t="s">
        <v>30</v>
      </c>
      <c r="C108" s="99">
        <v>0</v>
      </c>
      <c r="D108" s="100">
        <f>D104/220*2</f>
        <v>21.194545454545455</v>
      </c>
      <c r="E108" s="100">
        <f>C108*D108</f>
        <v>0</v>
      </c>
      <c r="F108" s="89"/>
      <c r="G108" s="89"/>
      <c r="H108" s="88"/>
      <c r="I108" s="88"/>
    </row>
    <row r="109" spans="1:9" hidden="1" x14ac:dyDescent="0.2">
      <c r="A109" s="97" t="s">
        <v>45</v>
      </c>
      <c r="B109" s="98" t="s">
        <v>43</v>
      </c>
      <c r="C109" s="99">
        <v>0</v>
      </c>
      <c r="D109" s="100"/>
      <c r="E109" s="100"/>
      <c r="F109" s="89"/>
      <c r="G109" s="89"/>
      <c r="H109" s="88"/>
      <c r="I109" s="88"/>
    </row>
    <row r="110" spans="1:9" hidden="1" x14ac:dyDescent="0.2">
      <c r="A110" s="97"/>
      <c r="B110" s="98" t="s">
        <v>44</v>
      </c>
      <c r="C110" s="100">
        <f>C109*8/7</f>
        <v>0</v>
      </c>
      <c r="D110" s="100">
        <f>D104/220*2*1.2</f>
        <v>25.433454545454545</v>
      </c>
      <c r="E110" s="100">
        <f>C110*D110</f>
        <v>0</v>
      </c>
      <c r="F110" s="89"/>
      <c r="G110" s="89"/>
      <c r="H110" s="88"/>
      <c r="I110" s="88"/>
    </row>
    <row r="111" spans="1:9" hidden="1" x14ac:dyDescent="0.2">
      <c r="A111" s="97" t="s">
        <v>31</v>
      </c>
      <c r="B111" s="98" t="s">
        <v>30</v>
      </c>
      <c r="C111" s="99">
        <v>0</v>
      </c>
      <c r="D111" s="100">
        <f>D104/220*1.5</f>
        <v>15.895909090909091</v>
      </c>
      <c r="E111" s="100">
        <f>C111*D111</f>
        <v>0</v>
      </c>
      <c r="F111" s="89"/>
      <c r="G111" s="89"/>
      <c r="H111" s="88"/>
      <c r="I111" s="88"/>
    </row>
    <row r="112" spans="1:9" hidden="1" x14ac:dyDescent="0.2">
      <c r="A112" s="97" t="s">
        <v>46</v>
      </c>
      <c r="B112" s="98" t="s">
        <v>43</v>
      </c>
      <c r="C112" s="99">
        <v>0</v>
      </c>
      <c r="D112" s="100"/>
      <c r="E112" s="100"/>
      <c r="F112" s="89"/>
      <c r="G112" s="89"/>
      <c r="H112" s="88"/>
      <c r="I112" s="88"/>
    </row>
    <row r="113" spans="1:9" hidden="1" x14ac:dyDescent="0.2">
      <c r="A113" s="97"/>
      <c r="B113" s="98" t="s">
        <v>44</v>
      </c>
      <c r="C113" s="100">
        <f>C112*8/7</f>
        <v>0</v>
      </c>
      <c r="D113" s="100">
        <f>D104/220*1.5*1.2</f>
        <v>19.07509090909091</v>
      </c>
      <c r="E113" s="100">
        <f>C113*D113</f>
        <v>0</v>
      </c>
      <c r="F113" s="89"/>
      <c r="G113" s="89"/>
      <c r="H113" s="88"/>
      <c r="I113" s="88"/>
    </row>
    <row r="114" spans="1:9" ht="12.75" hidden="1" customHeight="1" x14ac:dyDescent="0.2">
      <c r="A114" s="97" t="s">
        <v>32</v>
      </c>
      <c r="B114" s="98" t="s">
        <v>33</v>
      </c>
      <c r="C114" s="88"/>
      <c r="D114" s="100">
        <f>63/302*(SUM(E108:E113))</f>
        <v>0</v>
      </c>
      <c r="E114" s="100">
        <f>D114</f>
        <v>0</v>
      </c>
      <c r="F114" s="89"/>
      <c r="G114" s="89"/>
      <c r="H114" s="88"/>
      <c r="I114" s="88"/>
    </row>
    <row r="115" spans="1:9" hidden="1" x14ac:dyDescent="0.2">
      <c r="A115" s="97" t="s">
        <v>50</v>
      </c>
      <c r="B115" s="98"/>
      <c r="C115" s="115">
        <v>0</v>
      </c>
      <c r="D115" s="100"/>
      <c r="E115" s="100"/>
      <c r="F115" s="89"/>
      <c r="G115" s="89"/>
      <c r="H115" s="88"/>
      <c r="I115" s="88"/>
    </row>
    <row r="116" spans="1:9" hidden="1" x14ac:dyDescent="0.2">
      <c r="A116" s="97" t="s">
        <v>34</v>
      </c>
      <c r="B116" s="98" t="s">
        <v>13</v>
      </c>
      <c r="C116" s="100">
        <f>+C95</f>
        <v>40</v>
      </c>
      <c r="D116" s="100">
        <f>IF(C115=2,SUM(E104:E114),IF(C115=1,SUM(E104:E114)*D105/D104,0))</f>
        <v>0</v>
      </c>
      <c r="E116" s="100">
        <f>C116*D116/100</f>
        <v>0</v>
      </c>
      <c r="F116" s="89"/>
      <c r="G116" s="89"/>
      <c r="H116" s="88"/>
      <c r="I116" s="88"/>
    </row>
    <row r="117" spans="1:9" s="27" customFormat="1" hidden="1" x14ac:dyDescent="0.2">
      <c r="A117" s="102" t="s">
        <v>35</v>
      </c>
      <c r="B117" s="103"/>
      <c r="C117" s="103"/>
      <c r="D117" s="104"/>
      <c r="E117" s="105">
        <f>SUM(E104:E116)</f>
        <v>2331.4</v>
      </c>
      <c r="F117" s="116"/>
      <c r="G117" s="116"/>
      <c r="H117" s="117"/>
      <c r="I117" s="117"/>
    </row>
    <row r="118" spans="1:9" hidden="1" x14ac:dyDescent="0.2">
      <c r="A118" s="97" t="s">
        <v>36</v>
      </c>
      <c r="B118" s="98" t="s">
        <v>13</v>
      </c>
      <c r="C118" s="100">
        <f>'2.Encargos Sociais'!$C$37*100</f>
        <v>70.595951999999997</v>
      </c>
      <c r="D118" s="100">
        <f>E117</f>
        <v>2331.4</v>
      </c>
      <c r="E118" s="100">
        <f>D118*C118/100</f>
        <v>1645.8740249279999</v>
      </c>
      <c r="F118" s="89"/>
      <c r="G118" s="89"/>
      <c r="H118" s="88"/>
      <c r="I118" s="88"/>
    </row>
    <row r="119" spans="1:9" s="27" customFormat="1" hidden="1" x14ac:dyDescent="0.2">
      <c r="A119" s="102" t="s">
        <v>51</v>
      </c>
      <c r="B119" s="103"/>
      <c r="C119" s="103"/>
      <c r="D119" s="104"/>
      <c r="E119" s="105">
        <f>E117+E118</f>
        <v>3977.274024928</v>
      </c>
      <c r="F119" s="116"/>
      <c r="G119" s="116"/>
      <c r="H119" s="117"/>
      <c r="I119" s="117"/>
    </row>
    <row r="120" spans="1:9" hidden="1" x14ac:dyDescent="0.2">
      <c r="A120" s="97" t="s">
        <v>38</v>
      </c>
      <c r="B120" s="98" t="s">
        <v>39</v>
      </c>
      <c r="C120" s="98">
        <v>0</v>
      </c>
      <c r="D120" s="100">
        <f>E119</f>
        <v>3977.274024928</v>
      </c>
      <c r="E120" s="100">
        <f>C120*D120</f>
        <v>0</v>
      </c>
      <c r="F120" s="89"/>
      <c r="G120" s="89"/>
      <c r="H120" s="88"/>
      <c r="I120" s="88"/>
    </row>
    <row r="121" spans="1:9" hidden="1" x14ac:dyDescent="0.2">
      <c r="A121" s="88"/>
      <c r="B121" s="88"/>
      <c r="C121" s="88"/>
      <c r="D121" s="106" t="s">
        <v>40</v>
      </c>
      <c r="E121" s="107">
        <f>$B$51</f>
        <v>0.21590000000000001</v>
      </c>
      <c r="F121" s="108">
        <f>E120*E121</f>
        <v>0</v>
      </c>
      <c r="G121" s="89"/>
      <c r="H121" s="88"/>
      <c r="I121" s="88"/>
    </row>
    <row r="122" spans="1:9" ht="11.25" hidden="1" customHeight="1" x14ac:dyDescent="0.2">
      <c r="G122" s="3"/>
    </row>
    <row r="123" spans="1:9" hidden="1" x14ac:dyDescent="0.2">
      <c r="A123" s="88" t="s">
        <v>53</v>
      </c>
      <c r="B123" s="118"/>
      <c r="C123" s="88"/>
      <c r="D123" s="88"/>
      <c r="E123" s="88"/>
      <c r="F123" s="89"/>
      <c r="G123" s="88"/>
    </row>
    <row r="124" spans="1:9" hidden="1" x14ac:dyDescent="0.2">
      <c r="A124" s="90" t="s">
        <v>22</v>
      </c>
      <c r="B124" s="91" t="s">
        <v>23</v>
      </c>
      <c r="C124" s="91" t="s">
        <v>16</v>
      </c>
      <c r="D124" s="92" t="s">
        <v>24</v>
      </c>
      <c r="E124" s="92" t="s">
        <v>25</v>
      </c>
      <c r="F124" s="93" t="s">
        <v>26</v>
      </c>
      <c r="G124" s="88"/>
    </row>
    <row r="125" spans="1:9" hidden="1" x14ac:dyDescent="0.2">
      <c r="A125" s="97" t="s">
        <v>54</v>
      </c>
      <c r="B125" s="98" t="s">
        <v>33</v>
      </c>
      <c r="C125" s="119">
        <v>1</v>
      </c>
      <c r="D125" s="89">
        <v>0</v>
      </c>
      <c r="E125" s="100"/>
      <c r="F125" s="89"/>
      <c r="G125" s="88"/>
    </row>
    <row r="126" spans="1:9" hidden="1" x14ac:dyDescent="0.2">
      <c r="A126" s="97" t="s">
        <v>55</v>
      </c>
      <c r="B126" s="98" t="s">
        <v>56</v>
      </c>
      <c r="C126" s="88">
        <v>0</v>
      </c>
      <c r="D126" s="100"/>
      <c r="E126" s="100"/>
      <c r="F126" s="89"/>
      <c r="G126" s="88"/>
    </row>
    <row r="127" spans="1:9" hidden="1" x14ac:dyDescent="0.2">
      <c r="A127" s="97" t="s">
        <v>57</v>
      </c>
      <c r="B127" s="98" t="s">
        <v>58</v>
      </c>
      <c r="C127" s="120">
        <f>$C$126*2*(C65+C84)</f>
        <v>0</v>
      </c>
      <c r="D127" s="96" t="str">
        <f>IFERROR((($C$126*2*$D$125)-(E57*0.06*C126/26))/($C$126*2),"-")</f>
        <v>-</v>
      </c>
      <c r="E127" s="100" t="str">
        <f>IFERROR(C127*D127,"-")</f>
        <v>-</v>
      </c>
      <c r="F127" s="89"/>
      <c r="G127" s="88"/>
    </row>
    <row r="128" spans="1:9" hidden="1" x14ac:dyDescent="0.2">
      <c r="A128" s="94" t="s">
        <v>59</v>
      </c>
      <c r="B128" s="95" t="s">
        <v>58</v>
      </c>
      <c r="C128" s="120">
        <f>$C$126*2*(C99+C120)</f>
        <v>0</v>
      </c>
      <c r="D128" s="96" t="str">
        <f>IFERROR((($C$126*2*$D$125)-(E89*0.06*C126/26))/($C$126*2),"-")</f>
        <v>-</v>
      </c>
      <c r="E128" s="96" t="str">
        <f>IFERROR(C128*D128,"-")</f>
        <v>-</v>
      </c>
      <c r="F128" s="89"/>
      <c r="G128" s="88"/>
    </row>
    <row r="129" spans="1:7" hidden="1" x14ac:dyDescent="0.2">
      <c r="A129" s="88"/>
      <c r="B129" s="88"/>
      <c r="C129" s="88"/>
      <c r="D129" s="89"/>
      <c r="E129" s="89"/>
      <c r="F129" s="121">
        <f>SUM(E127:E128)</f>
        <v>0</v>
      </c>
      <c r="G129" s="88"/>
    </row>
    <row r="130" spans="1:7" ht="11.25" hidden="1" customHeight="1" x14ac:dyDescent="0.2">
      <c r="A130" s="88"/>
      <c r="B130" s="88"/>
      <c r="C130" s="88"/>
      <c r="D130" s="89"/>
      <c r="E130" s="89"/>
      <c r="F130" s="89"/>
      <c r="G130" s="88"/>
    </row>
    <row r="131" spans="1:7" s="3" customFormat="1" hidden="1" x14ac:dyDescent="0.2">
      <c r="A131" s="88" t="s">
        <v>60</v>
      </c>
      <c r="B131" s="88"/>
      <c r="C131" s="88"/>
      <c r="D131" s="89"/>
      <c r="E131" s="89"/>
      <c r="F131" s="116"/>
    </row>
    <row r="132" spans="1:7" s="3" customFormat="1" hidden="1" x14ac:dyDescent="0.2">
      <c r="A132" s="90" t="s">
        <v>22</v>
      </c>
      <c r="B132" s="91" t="s">
        <v>23</v>
      </c>
      <c r="C132" s="91" t="s">
        <v>16</v>
      </c>
      <c r="D132" s="92" t="s">
        <v>24</v>
      </c>
      <c r="E132" s="92" t="s">
        <v>25</v>
      </c>
      <c r="F132" s="93" t="s">
        <v>26</v>
      </c>
    </row>
    <row r="133" spans="1:7" s="3" customFormat="1" hidden="1" x14ac:dyDescent="0.2">
      <c r="A133" s="97" t="str">
        <f>+A127</f>
        <v>Coletor</v>
      </c>
      <c r="B133" s="98" t="s">
        <v>61</v>
      </c>
      <c r="C133" s="120">
        <v>2</v>
      </c>
      <c r="D133" s="100"/>
      <c r="E133" s="107">
        <f>C133*D133</f>
        <v>0</v>
      </c>
      <c r="F133" s="116"/>
    </row>
    <row r="134" spans="1:7" s="3" customFormat="1" hidden="1" x14ac:dyDescent="0.2">
      <c r="A134" s="97" t="str">
        <f>+A128</f>
        <v>Motorista</v>
      </c>
      <c r="B134" s="98" t="s">
        <v>61</v>
      </c>
      <c r="C134" s="120">
        <v>1</v>
      </c>
      <c r="D134" s="100"/>
      <c r="E134" s="107">
        <f>C134*D134</f>
        <v>0</v>
      </c>
      <c r="F134" s="116"/>
    </row>
    <row r="135" spans="1:7" s="3" customFormat="1" hidden="1" x14ac:dyDescent="0.2">
      <c r="A135" s="88"/>
      <c r="B135" s="88"/>
      <c r="C135" s="88"/>
      <c r="D135" s="89"/>
      <c r="E135" s="89"/>
      <c r="F135" s="121">
        <f>SUM(E133:E134)</f>
        <v>0</v>
      </c>
    </row>
    <row r="136" spans="1:7" s="3" customFormat="1" hidden="1" x14ac:dyDescent="0.2">
      <c r="A136" s="88"/>
      <c r="B136" s="88"/>
      <c r="C136" s="88"/>
      <c r="D136" s="89"/>
      <c r="E136" s="89"/>
      <c r="F136" s="89"/>
    </row>
    <row r="137" spans="1:7" ht="13.5" thickBot="1" x14ac:dyDescent="0.25">
      <c r="A137" s="3" t="s">
        <v>62</v>
      </c>
      <c r="F137" s="26"/>
      <c r="G137" s="3"/>
    </row>
    <row r="138" spans="1:7" s="3" customFormat="1" ht="13.5" thickBot="1" x14ac:dyDescent="0.25">
      <c r="A138" s="67" t="s">
        <v>22</v>
      </c>
      <c r="B138" s="68" t="s">
        <v>23</v>
      </c>
      <c r="C138" s="68" t="s">
        <v>16</v>
      </c>
      <c r="D138" s="69" t="s">
        <v>24</v>
      </c>
      <c r="E138" s="69" t="s">
        <v>25</v>
      </c>
      <c r="F138" s="70" t="s">
        <v>26</v>
      </c>
    </row>
    <row r="139" spans="1:7" s="3" customFormat="1" x14ac:dyDescent="0.2">
      <c r="A139" s="75" t="str">
        <f>+A133</f>
        <v>Coletor</v>
      </c>
      <c r="B139" s="76" t="s">
        <v>61</v>
      </c>
      <c r="C139" s="122">
        <v>52</v>
      </c>
      <c r="D139" s="123">
        <v>13.57</v>
      </c>
      <c r="E139" s="86">
        <f>C139*D139</f>
        <v>705.64</v>
      </c>
      <c r="F139" s="26"/>
    </row>
    <row r="140" spans="1:7" s="3" customFormat="1" x14ac:dyDescent="0.2">
      <c r="A140" s="75" t="str">
        <f>+A134</f>
        <v>Motorista</v>
      </c>
      <c r="B140" s="76" t="s">
        <v>61</v>
      </c>
      <c r="C140" s="122">
        <v>26</v>
      </c>
      <c r="D140" s="123">
        <v>19</v>
      </c>
      <c r="E140" s="86">
        <f>C140*D140</f>
        <v>494</v>
      </c>
      <c r="F140" s="26"/>
    </row>
    <row r="141" spans="1:7" s="3" customFormat="1" x14ac:dyDescent="0.2">
      <c r="D141" s="85" t="s">
        <v>40</v>
      </c>
      <c r="E141" s="86">
        <f>$B$51</f>
        <v>0.21590000000000001</v>
      </c>
      <c r="F141" s="124">
        <f>SUM(E139:E140)*E141</f>
        <v>259.00227599999999</v>
      </c>
    </row>
    <row r="142" spans="1:7" x14ac:dyDescent="0.2">
      <c r="G142" s="3"/>
    </row>
    <row r="143" spans="1:7" s="3" customFormat="1" x14ac:dyDescent="0.2">
      <c r="A143" s="1" t="s">
        <v>63</v>
      </c>
      <c r="B143" s="125"/>
      <c r="C143" s="125"/>
      <c r="D143" s="40"/>
      <c r="E143" s="126"/>
      <c r="F143" s="124">
        <f>F141+F135+F129+F121+F100+F85+F66</f>
        <v>2222.4892811999998</v>
      </c>
    </row>
    <row r="145" spans="1:7" x14ac:dyDescent="0.2">
      <c r="A145" s="27" t="s">
        <v>64</v>
      </c>
      <c r="G145" s="3"/>
    </row>
    <row r="146" spans="1:7" ht="11.25" customHeight="1" x14ac:dyDescent="0.2">
      <c r="G146" s="3"/>
    </row>
    <row r="147" spans="1:7" ht="13.5" customHeight="1" x14ac:dyDescent="0.2">
      <c r="A147" s="3" t="s">
        <v>65</v>
      </c>
      <c r="G147" s="3"/>
    </row>
    <row r="148" spans="1:7" ht="11.25" customHeight="1" x14ac:dyDescent="0.2">
      <c r="G148" s="3"/>
    </row>
    <row r="149" spans="1:7" s="3" customFormat="1" ht="27.75" customHeight="1" x14ac:dyDescent="0.2">
      <c r="A149" s="67" t="s">
        <v>22</v>
      </c>
      <c r="B149" s="68" t="s">
        <v>23</v>
      </c>
      <c r="C149" s="127" t="s">
        <v>66</v>
      </c>
      <c r="D149" s="69" t="s">
        <v>24</v>
      </c>
      <c r="E149" s="69" t="s">
        <v>25</v>
      </c>
      <c r="F149" s="70" t="s">
        <v>26</v>
      </c>
    </row>
    <row r="150" spans="1:7" x14ac:dyDescent="0.2">
      <c r="A150" s="71" t="s">
        <v>67</v>
      </c>
      <c r="B150" s="72" t="s">
        <v>61</v>
      </c>
      <c r="C150" s="128">
        <v>6</v>
      </c>
      <c r="D150" s="73">
        <v>109</v>
      </c>
      <c r="E150" s="74">
        <f t="shared" ref="E150:E159" si="1">IFERROR(D150/C150,0)</f>
        <v>18.166666666666668</v>
      </c>
      <c r="G150" s="4" t="s">
        <v>321</v>
      </c>
    </row>
    <row r="151" spans="1:7" ht="12.75" customHeight="1" x14ac:dyDescent="0.2">
      <c r="A151" s="75" t="s">
        <v>68</v>
      </c>
      <c r="B151" s="76" t="s">
        <v>61</v>
      </c>
      <c r="C151" s="128">
        <v>4</v>
      </c>
      <c r="D151" s="73">
        <v>97</v>
      </c>
      <c r="E151" s="74">
        <f t="shared" si="1"/>
        <v>24.25</v>
      </c>
      <c r="G151" s="4" t="s">
        <v>321</v>
      </c>
    </row>
    <row r="152" spans="1:7" x14ac:dyDescent="0.2">
      <c r="A152" s="75" t="s">
        <v>69</v>
      </c>
      <c r="B152" s="76" t="s">
        <v>61</v>
      </c>
      <c r="C152" s="128">
        <v>4</v>
      </c>
      <c r="D152" s="73">
        <v>23</v>
      </c>
      <c r="E152" s="74">
        <f t="shared" si="1"/>
        <v>5.75</v>
      </c>
      <c r="G152" s="4" t="s">
        <v>321</v>
      </c>
    </row>
    <row r="153" spans="1:7" ht="12.75" customHeight="1" x14ac:dyDescent="0.2">
      <c r="A153" s="75" t="s">
        <v>70</v>
      </c>
      <c r="B153" s="76" t="s">
        <v>61</v>
      </c>
      <c r="C153" s="128">
        <v>6</v>
      </c>
      <c r="D153" s="73">
        <v>31.4</v>
      </c>
      <c r="E153" s="74">
        <f t="shared" si="1"/>
        <v>5.2333333333333334</v>
      </c>
      <c r="G153" s="4" t="s">
        <v>324</v>
      </c>
    </row>
    <row r="154" spans="1:7" ht="13.5" customHeight="1" x14ac:dyDescent="0.2">
      <c r="A154" s="75" t="s">
        <v>71</v>
      </c>
      <c r="B154" s="76" t="s">
        <v>72</v>
      </c>
      <c r="C154" s="128">
        <v>3</v>
      </c>
      <c r="D154" s="73">
        <v>48.1</v>
      </c>
      <c r="E154" s="74">
        <f t="shared" si="1"/>
        <v>16.033333333333335</v>
      </c>
      <c r="G154" s="4" t="s">
        <v>322</v>
      </c>
    </row>
    <row r="155" spans="1:7" ht="12.75" customHeight="1" x14ac:dyDescent="0.2">
      <c r="A155" s="75" t="s">
        <v>73</v>
      </c>
      <c r="B155" s="76" t="s">
        <v>72</v>
      </c>
      <c r="C155" s="128">
        <v>2</v>
      </c>
      <c r="D155" s="73">
        <v>13.9</v>
      </c>
      <c r="E155" s="74">
        <f t="shared" si="1"/>
        <v>6.95</v>
      </c>
      <c r="G155" s="129" t="s">
        <v>325</v>
      </c>
    </row>
    <row r="156" spans="1:7" x14ac:dyDescent="0.2">
      <c r="A156" s="75" t="s">
        <v>74</v>
      </c>
      <c r="B156" s="76" t="s">
        <v>61</v>
      </c>
      <c r="C156" s="128">
        <v>6</v>
      </c>
      <c r="D156" s="73">
        <v>15.8</v>
      </c>
      <c r="E156" s="74">
        <f t="shared" si="1"/>
        <v>2.6333333333333333</v>
      </c>
      <c r="G156" s="4" t="s">
        <v>322</v>
      </c>
    </row>
    <row r="157" spans="1:7" s="133" customFormat="1" x14ac:dyDescent="0.2">
      <c r="A157" s="130" t="s">
        <v>75</v>
      </c>
      <c r="B157" s="131" t="s">
        <v>61</v>
      </c>
      <c r="C157" s="128">
        <v>4</v>
      </c>
      <c r="D157" s="73">
        <v>69</v>
      </c>
      <c r="E157" s="74">
        <f t="shared" si="1"/>
        <v>17.25</v>
      </c>
      <c r="F157" s="132"/>
      <c r="G157" s="4" t="s">
        <v>323</v>
      </c>
    </row>
    <row r="158" spans="1:7" x14ac:dyDescent="0.2">
      <c r="A158" s="75" t="s">
        <v>76</v>
      </c>
      <c r="B158" s="76" t="s">
        <v>72</v>
      </c>
      <c r="C158" s="128">
        <v>1</v>
      </c>
      <c r="D158" s="73">
        <v>9</v>
      </c>
      <c r="E158" s="74">
        <f t="shared" si="1"/>
        <v>9</v>
      </c>
      <c r="G158" s="4" t="s">
        <v>322</v>
      </c>
    </row>
    <row r="159" spans="1:7" ht="12.75" customHeight="1" x14ac:dyDescent="0.2">
      <c r="A159" s="75" t="s">
        <v>77</v>
      </c>
      <c r="B159" s="76" t="s">
        <v>78</v>
      </c>
      <c r="C159" s="128">
        <v>2</v>
      </c>
      <c r="D159" s="73">
        <v>11.14</v>
      </c>
      <c r="E159" s="74">
        <f t="shared" si="1"/>
        <v>5.57</v>
      </c>
      <c r="G159" s="4" t="s">
        <v>322</v>
      </c>
    </row>
    <row r="160" spans="1:7" x14ac:dyDescent="0.2">
      <c r="A160" s="75" t="s">
        <v>79</v>
      </c>
      <c r="B160" s="76" t="s">
        <v>80</v>
      </c>
      <c r="C160" s="134">
        <v>1</v>
      </c>
      <c r="D160" s="73">
        <v>69.8</v>
      </c>
      <c r="E160" s="78">
        <f>C160*D160</f>
        <v>69.8</v>
      </c>
    </row>
    <row r="161" spans="1:7" x14ac:dyDescent="0.2">
      <c r="A161" s="75" t="s">
        <v>38</v>
      </c>
      <c r="B161" s="76" t="s">
        <v>39</v>
      </c>
      <c r="C161" s="134">
        <f>E41+E42</f>
        <v>2</v>
      </c>
      <c r="D161" s="78">
        <f>+SUM(E150:E160)</f>
        <v>180.63666666666666</v>
      </c>
      <c r="E161" s="78">
        <f>C161*D161</f>
        <v>361.27333333333331</v>
      </c>
    </row>
    <row r="162" spans="1:7" x14ac:dyDescent="0.2">
      <c r="D162" s="85" t="s">
        <v>40</v>
      </c>
      <c r="E162" s="86">
        <f>$B$51</f>
        <v>0.21590000000000001</v>
      </c>
      <c r="F162" s="87">
        <f>E161*E162</f>
        <v>77.998912666666669</v>
      </c>
    </row>
    <row r="163" spans="1:7" ht="11.25" customHeight="1" x14ac:dyDescent="0.2"/>
    <row r="164" spans="1:7" ht="13.5" customHeight="1" x14ac:dyDescent="0.2">
      <c r="A164" s="3" t="s">
        <v>81</v>
      </c>
    </row>
    <row r="165" spans="1:7" ht="11.25" customHeight="1" x14ac:dyDescent="0.2"/>
    <row r="166" spans="1:7" ht="24" x14ac:dyDescent="0.2">
      <c r="A166" s="67" t="s">
        <v>22</v>
      </c>
      <c r="B166" s="68" t="s">
        <v>23</v>
      </c>
      <c r="C166" s="127" t="s">
        <v>66</v>
      </c>
      <c r="D166" s="69" t="s">
        <v>24</v>
      </c>
      <c r="E166" s="69" t="s">
        <v>25</v>
      </c>
      <c r="F166" s="70" t="s">
        <v>26</v>
      </c>
    </row>
    <row r="167" spans="1:7" x14ac:dyDescent="0.2">
      <c r="A167" s="71" t="s">
        <v>67</v>
      </c>
      <c r="B167" s="72" t="s">
        <v>61</v>
      </c>
      <c r="C167" s="128">
        <v>6</v>
      </c>
      <c r="D167" s="74">
        <v>109</v>
      </c>
      <c r="E167" s="74">
        <f>IFERROR(D167/C167,0)</f>
        <v>18.166666666666668</v>
      </c>
      <c r="G167" s="4" t="s">
        <v>321</v>
      </c>
    </row>
    <row r="168" spans="1:7" x14ac:dyDescent="0.2">
      <c r="A168" s="75" t="s">
        <v>68</v>
      </c>
      <c r="B168" s="76" t="s">
        <v>61</v>
      </c>
      <c r="C168" s="128">
        <v>4</v>
      </c>
      <c r="D168" s="78">
        <v>97</v>
      </c>
      <c r="E168" s="74">
        <f>D168/4</f>
        <v>24.25</v>
      </c>
      <c r="G168" s="4" t="s">
        <v>321</v>
      </c>
    </row>
    <row r="169" spans="1:7" x14ac:dyDescent="0.2">
      <c r="A169" s="75" t="s">
        <v>69</v>
      </c>
      <c r="B169" s="76" t="s">
        <v>61</v>
      </c>
      <c r="C169" s="128">
        <v>4</v>
      </c>
      <c r="D169" s="78">
        <v>23</v>
      </c>
      <c r="E169" s="74">
        <f>IFERROR(D169/C169,0)</f>
        <v>5.75</v>
      </c>
      <c r="G169" s="4" t="s">
        <v>321</v>
      </c>
    </row>
    <row r="170" spans="1:7" x14ac:dyDescent="0.2">
      <c r="A170" s="75" t="s">
        <v>71</v>
      </c>
      <c r="B170" s="76" t="s">
        <v>72</v>
      </c>
      <c r="C170" s="128">
        <v>3</v>
      </c>
      <c r="D170" s="78">
        <v>48.1</v>
      </c>
      <c r="E170" s="74">
        <f>IFERROR(D170/C170,0)</f>
        <v>16.033333333333335</v>
      </c>
      <c r="G170" s="4" t="s">
        <v>322</v>
      </c>
    </row>
    <row r="171" spans="1:7" x14ac:dyDescent="0.2">
      <c r="A171" s="75" t="s">
        <v>74</v>
      </c>
      <c r="B171" s="76" t="s">
        <v>61</v>
      </c>
      <c r="C171" s="128">
        <v>6</v>
      </c>
      <c r="D171" s="78">
        <v>15.8</v>
      </c>
      <c r="E171" s="74">
        <f>IFERROR(D171/C171,0)</f>
        <v>2.6333333333333333</v>
      </c>
      <c r="G171" s="4" t="s">
        <v>322</v>
      </c>
    </row>
    <row r="172" spans="1:7" x14ac:dyDescent="0.2">
      <c r="A172" s="75" t="s">
        <v>77</v>
      </c>
      <c r="B172" s="76" t="s">
        <v>78</v>
      </c>
      <c r="C172" s="128">
        <v>3</v>
      </c>
      <c r="D172" s="78">
        <v>11.14</v>
      </c>
      <c r="E172" s="74">
        <f>IFERROR(D172/C172,0)</f>
        <v>3.7133333333333334</v>
      </c>
      <c r="G172" s="4" t="s">
        <v>322</v>
      </c>
    </row>
    <row r="173" spans="1:7" x14ac:dyDescent="0.2">
      <c r="A173" s="75" t="s">
        <v>79</v>
      </c>
      <c r="B173" s="76" t="s">
        <v>80</v>
      </c>
      <c r="C173" s="134">
        <v>1</v>
      </c>
      <c r="D173" s="73">
        <f>39.9+29.9</f>
        <v>69.8</v>
      </c>
      <c r="E173" s="78">
        <f>C173*D173</f>
        <v>69.8</v>
      </c>
    </row>
    <row r="174" spans="1:7" x14ac:dyDescent="0.2">
      <c r="A174" s="75" t="s">
        <v>38</v>
      </c>
      <c r="B174" s="76" t="s">
        <v>39</v>
      </c>
      <c r="C174" s="134">
        <f>E43+E44</f>
        <v>1</v>
      </c>
      <c r="D174" s="78">
        <f>+SUM(E167:E173)</f>
        <v>140.34666666666669</v>
      </c>
      <c r="E174" s="78">
        <f>C174*D174</f>
        <v>140.34666666666669</v>
      </c>
      <c r="G174" s="3"/>
    </row>
    <row r="175" spans="1:7" s="3" customFormat="1" x14ac:dyDescent="0.2">
      <c r="D175" s="85" t="s">
        <v>40</v>
      </c>
      <c r="E175" s="86">
        <f>$B$51</f>
        <v>0.21590000000000001</v>
      </c>
      <c r="F175" s="87">
        <f>E174*E175</f>
        <v>30.300845333333339</v>
      </c>
    </row>
    <row r="176" spans="1:7" ht="11.25" customHeight="1" x14ac:dyDescent="0.2">
      <c r="G176" s="3"/>
    </row>
    <row r="177" spans="1:10" s="3" customFormat="1" x14ac:dyDescent="0.2">
      <c r="A177" s="1" t="s">
        <v>82</v>
      </c>
      <c r="B177" s="135"/>
      <c r="C177" s="135"/>
      <c r="D177" s="136"/>
      <c r="E177" s="137"/>
      <c r="F177" s="138">
        <f>+F162+F175</f>
        <v>108.29975800000001</v>
      </c>
    </row>
    <row r="178" spans="1:10" ht="11.25" customHeight="1" x14ac:dyDescent="0.2">
      <c r="G178" s="3"/>
    </row>
    <row r="179" spans="1:10" x14ac:dyDescent="0.2">
      <c r="A179" s="27" t="s">
        <v>83</v>
      </c>
      <c r="G179" s="3"/>
    </row>
    <row r="180" spans="1:10" ht="11.25" customHeight="1" x14ac:dyDescent="0.2">
      <c r="B180" s="139"/>
      <c r="G180" s="3"/>
    </row>
    <row r="181" spans="1:10" x14ac:dyDescent="0.2">
      <c r="A181" s="3" t="s">
        <v>314</v>
      </c>
      <c r="G181" s="3"/>
    </row>
    <row r="182" spans="1:10" ht="11.25" customHeight="1" x14ac:dyDescent="0.2">
      <c r="G182" s="3"/>
    </row>
    <row r="183" spans="1:10" x14ac:dyDescent="0.2">
      <c r="A183" s="139" t="s">
        <v>84</v>
      </c>
      <c r="G183" s="3"/>
    </row>
    <row r="184" spans="1:10" s="3" customFormat="1" x14ac:dyDescent="0.2">
      <c r="A184" s="67" t="s">
        <v>22</v>
      </c>
      <c r="B184" s="68" t="s">
        <v>23</v>
      </c>
      <c r="C184" s="68" t="s">
        <v>16</v>
      </c>
      <c r="D184" s="69" t="s">
        <v>24</v>
      </c>
      <c r="E184" s="69" t="s">
        <v>25</v>
      </c>
      <c r="F184" s="70" t="s">
        <v>26</v>
      </c>
    </row>
    <row r="185" spans="1:10" x14ac:dyDescent="0.2">
      <c r="A185" s="71" t="s">
        <v>85</v>
      </c>
      <c r="B185" s="72" t="s">
        <v>61</v>
      </c>
      <c r="C185" s="72">
        <v>1</v>
      </c>
      <c r="D185" s="73">
        <v>466999</v>
      </c>
      <c r="E185" s="74">
        <f>C185*D185</f>
        <v>466999</v>
      </c>
      <c r="G185" s="4" t="s">
        <v>316</v>
      </c>
    </row>
    <row r="186" spans="1:10" x14ac:dyDescent="0.2">
      <c r="A186" s="75" t="s">
        <v>86</v>
      </c>
      <c r="B186" s="76" t="s">
        <v>87</v>
      </c>
      <c r="C186" s="84">
        <v>15</v>
      </c>
      <c r="D186" s="78"/>
      <c r="E186" s="78"/>
      <c r="G186" s="3"/>
    </row>
    <row r="187" spans="1:10" x14ac:dyDescent="0.2">
      <c r="A187" s="75" t="s">
        <v>88</v>
      </c>
      <c r="B187" s="76" t="s">
        <v>87</v>
      </c>
      <c r="C187" s="84">
        <v>0</v>
      </c>
      <c r="D187" s="78"/>
      <c r="E187" s="78"/>
      <c r="F187" s="140"/>
      <c r="I187" s="141"/>
      <c r="J187" s="141"/>
    </row>
    <row r="188" spans="1:10" x14ac:dyDescent="0.2">
      <c r="A188" s="75" t="s">
        <v>89</v>
      </c>
      <c r="B188" s="76" t="s">
        <v>13</v>
      </c>
      <c r="C188" s="83">
        <f>IFERROR(VLOOKUP(C186,'5. Depreciação'!A3:B17,2,FALSE()),0)</f>
        <v>70.73</v>
      </c>
      <c r="D188" s="78">
        <f>E185</f>
        <v>466999</v>
      </c>
      <c r="E188" s="78">
        <f>C188*D188/100</f>
        <v>330308.39270000003</v>
      </c>
    </row>
    <row r="189" spans="1:10" x14ac:dyDescent="0.2">
      <c r="A189" s="142" t="s">
        <v>90</v>
      </c>
      <c r="B189" s="143" t="s">
        <v>28</v>
      </c>
      <c r="C189" s="143">
        <f>C186*12</f>
        <v>180</v>
      </c>
      <c r="D189" s="144">
        <f>IF(C187&lt;=C186,E188,0)</f>
        <v>330308.39270000003</v>
      </c>
      <c r="E189" s="144">
        <f>IFERROR(D189/C189,0)</f>
        <v>1835.0466261111112</v>
      </c>
    </row>
    <row r="190" spans="1:10" x14ac:dyDescent="0.2">
      <c r="A190" s="71" t="s">
        <v>91</v>
      </c>
      <c r="B190" s="72" t="s">
        <v>61</v>
      </c>
      <c r="C190" s="72">
        <f>C185</f>
        <v>1</v>
      </c>
      <c r="D190" s="73">
        <v>100000</v>
      </c>
      <c r="E190" s="74">
        <f>C190*D190</f>
        <v>100000</v>
      </c>
      <c r="G190" s="3"/>
    </row>
    <row r="191" spans="1:10" x14ac:dyDescent="0.2">
      <c r="A191" s="75" t="s">
        <v>92</v>
      </c>
      <c r="B191" s="76" t="s">
        <v>87</v>
      </c>
      <c r="C191" s="84">
        <v>10</v>
      </c>
      <c r="D191" s="78"/>
      <c r="E191" s="78"/>
    </row>
    <row r="192" spans="1:10" x14ac:dyDescent="0.2">
      <c r="A192" s="75" t="s">
        <v>93</v>
      </c>
      <c r="B192" s="76" t="s">
        <v>87</v>
      </c>
      <c r="C192" s="84">
        <v>0</v>
      </c>
      <c r="D192" s="78"/>
      <c r="E192" s="78"/>
      <c r="F192" s="140"/>
      <c r="I192" s="141"/>
      <c r="J192" s="141"/>
    </row>
    <row r="193" spans="1:10" x14ac:dyDescent="0.2">
      <c r="A193" s="75" t="s">
        <v>94</v>
      </c>
      <c r="B193" s="76" t="s">
        <v>13</v>
      </c>
      <c r="C193" s="145">
        <f>IFERROR(VLOOKUP(C191,'5. Depreciação'!A3:B17,2,FALSE()),0)</f>
        <v>65.180000000000007</v>
      </c>
      <c r="D193" s="78">
        <f>E190</f>
        <v>100000</v>
      </c>
      <c r="E193" s="78">
        <f>C193*D193/100</f>
        <v>65180.000000000007</v>
      </c>
    </row>
    <row r="194" spans="1:10" x14ac:dyDescent="0.2">
      <c r="A194" s="111" t="s">
        <v>95</v>
      </c>
      <c r="B194" s="146" t="s">
        <v>28</v>
      </c>
      <c r="C194" s="146">
        <f>C191*12</f>
        <v>120</v>
      </c>
      <c r="D194" s="112">
        <f>IF(C192&lt;=C191,E193,0)</f>
        <v>65180.000000000007</v>
      </c>
      <c r="E194" s="112">
        <f>IFERROR(D194/C194,0)</f>
        <v>543.16666666666674</v>
      </c>
    </row>
    <row r="195" spans="1:10" x14ac:dyDescent="0.2">
      <c r="A195" s="79" t="s">
        <v>96</v>
      </c>
      <c r="B195" s="80"/>
      <c r="C195" s="80"/>
      <c r="D195" s="81"/>
      <c r="E195" s="82">
        <f>E189+E194</f>
        <v>2378.213292777778</v>
      </c>
    </row>
    <row r="196" spans="1:10" x14ac:dyDescent="0.2">
      <c r="A196" s="111" t="s">
        <v>97</v>
      </c>
      <c r="B196" s="146" t="s">
        <v>61</v>
      </c>
      <c r="C196" s="84">
        <v>1</v>
      </c>
      <c r="D196" s="112">
        <f>E195</f>
        <v>2378.213292777778</v>
      </c>
      <c r="E196" s="82">
        <f>C196*D196</f>
        <v>2378.213292777778</v>
      </c>
    </row>
    <row r="197" spans="1:10" x14ac:dyDescent="0.2">
      <c r="A197" s="147"/>
      <c r="B197" s="147"/>
      <c r="C197" s="147"/>
      <c r="D197" s="85" t="s">
        <v>40</v>
      </c>
      <c r="E197" s="86">
        <f>$B$51</f>
        <v>0.21590000000000001</v>
      </c>
      <c r="F197" s="138">
        <f>E196*E197</f>
        <v>513.45624991072225</v>
      </c>
    </row>
    <row r="198" spans="1:10" ht="11.25" customHeight="1" x14ac:dyDescent="0.2"/>
    <row r="199" spans="1:10" x14ac:dyDescent="0.2">
      <c r="A199" s="139" t="s">
        <v>98</v>
      </c>
    </row>
    <row r="200" spans="1:10" x14ac:dyDescent="0.2">
      <c r="A200" s="148" t="s">
        <v>22</v>
      </c>
      <c r="B200" s="149" t="s">
        <v>23</v>
      </c>
      <c r="C200" s="149" t="s">
        <v>16</v>
      </c>
      <c r="D200" s="69" t="s">
        <v>24</v>
      </c>
      <c r="E200" s="150" t="s">
        <v>25</v>
      </c>
      <c r="F200" s="70" t="s">
        <v>26</v>
      </c>
      <c r="I200" s="141"/>
      <c r="J200" s="141"/>
    </row>
    <row r="201" spans="1:10" x14ac:dyDescent="0.2">
      <c r="A201" s="75" t="s">
        <v>99</v>
      </c>
      <c r="B201" s="76" t="s">
        <v>61</v>
      </c>
      <c r="C201" s="72">
        <v>1</v>
      </c>
      <c r="D201" s="78">
        <f>D185</f>
        <v>466999</v>
      </c>
      <c r="E201" s="78">
        <f>C201*D201</f>
        <v>466999</v>
      </c>
      <c r="F201" s="140"/>
      <c r="I201" s="141"/>
      <c r="J201" s="141"/>
    </row>
    <row r="202" spans="1:10" x14ac:dyDescent="0.2">
      <c r="A202" s="75" t="s">
        <v>100</v>
      </c>
      <c r="B202" s="76" t="s">
        <v>13</v>
      </c>
      <c r="C202" s="84">
        <v>15</v>
      </c>
      <c r="D202" s="78"/>
      <c r="E202" s="78"/>
      <c r="F202" s="140"/>
      <c r="I202" s="141"/>
      <c r="J202" s="141"/>
    </row>
    <row r="203" spans="1:10" x14ac:dyDescent="0.2">
      <c r="A203" s="75" t="s">
        <v>101</v>
      </c>
      <c r="B203" s="76" t="s">
        <v>33</v>
      </c>
      <c r="C203" s="151">
        <f>IFERROR(IF(C187&lt;=C186,E185-(C188/(100*C186)*C187)*E185,E185-E188),0)</f>
        <v>466999</v>
      </c>
      <c r="D203" s="78"/>
      <c r="E203" s="78"/>
      <c r="F203" s="140"/>
      <c r="I203" s="141"/>
      <c r="J203" s="141"/>
    </row>
    <row r="204" spans="1:10" x14ac:dyDescent="0.2">
      <c r="A204" s="75" t="s">
        <v>102</v>
      </c>
      <c r="B204" s="76" t="s">
        <v>33</v>
      </c>
      <c r="C204" s="78">
        <f>IFERROR(IF(C187&gt;=C186,C203,((((C203)-(E185-E188))*(((C186-C187)+1)/(2*(C186-C187))))+(E185-E188))),0)</f>
        <v>312855.08340666664</v>
      </c>
      <c r="D204" s="78"/>
      <c r="E204" s="78"/>
      <c r="F204" s="140"/>
      <c r="I204" s="141"/>
      <c r="J204" s="141"/>
    </row>
    <row r="205" spans="1:10" x14ac:dyDescent="0.2">
      <c r="A205" s="142" t="s">
        <v>103</v>
      </c>
      <c r="B205" s="143" t="s">
        <v>33</v>
      </c>
      <c r="C205" s="143"/>
      <c r="D205" s="144">
        <f>C202*C204/12/100</f>
        <v>3910.6885425833334</v>
      </c>
      <c r="E205" s="144">
        <f>D205</f>
        <v>3910.6885425833334</v>
      </c>
      <c r="F205" s="140"/>
      <c r="I205" s="141"/>
      <c r="J205" s="141"/>
    </row>
    <row r="206" spans="1:10" x14ac:dyDescent="0.2">
      <c r="A206" s="71" t="s">
        <v>104</v>
      </c>
      <c r="B206" s="72" t="s">
        <v>61</v>
      </c>
      <c r="C206" s="72">
        <f>C190</f>
        <v>1</v>
      </c>
      <c r="D206" s="74">
        <f>D190</f>
        <v>100000</v>
      </c>
      <c r="E206" s="74">
        <f>C206*D206</f>
        <v>100000</v>
      </c>
      <c r="F206" s="140"/>
      <c r="I206" s="141"/>
      <c r="J206" s="141"/>
    </row>
    <row r="207" spans="1:10" x14ac:dyDescent="0.2">
      <c r="A207" s="75" t="s">
        <v>100</v>
      </c>
      <c r="B207" s="76" t="s">
        <v>13</v>
      </c>
      <c r="C207" s="76">
        <f>C202</f>
        <v>15</v>
      </c>
      <c r="D207" s="78"/>
      <c r="E207" s="78"/>
      <c r="F207" s="140"/>
      <c r="I207" s="141"/>
      <c r="J207" s="141"/>
    </row>
    <row r="208" spans="1:10" x14ac:dyDescent="0.2">
      <c r="A208" s="75" t="s">
        <v>105</v>
      </c>
      <c r="B208" s="76" t="s">
        <v>33</v>
      </c>
      <c r="C208" s="151">
        <f>IFERROR(IF(C192&lt;=C191,E190-(C193/(100*C191)*C192)*E190,E190-E193),0)</f>
        <v>100000</v>
      </c>
      <c r="D208" s="78"/>
      <c r="E208" s="78"/>
      <c r="F208" s="140"/>
      <c r="I208" s="141"/>
      <c r="J208" s="141"/>
    </row>
    <row r="209" spans="1:10" x14ac:dyDescent="0.2">
      <c r="A209" s="75" t="s">
        <v>106</v>
      </c>
      <c r="B209" s="76" t="s">
        <v>33</v>
      </c>
      <c r="C209" s="78">
        <f>IFERROR(IF(C192&gt;=C191,C208,((((C208)-(E190-E193))*(((C191-C192)+1)/(2*(C191-C192))))+(E190-E193))),0)</f>
        <v>70669</v>
      </c>
      <c r="D209" s="78"/>
      <c r="E209" s="78"/>
      <c r="F209" s="140"/>
      <c r="I209" s="141"/>
      <c r="J209" s="141"/>
    </row>
    <row r="210" spans="1:10" x14ac:dyDescent="0.2">
      <c r="A210" s="111" t="s">
        <v>107</v>
      </c>
      <c r="B210" s="146" t="s">
        <v>33</v>
      </c>
      <c r="C210" s="146"/>
      <c r="D210" s="112">
        <f>C207*C209/12/100</f>
        <v>883.36249999999995</v>
      </c>
      <c r="E210" s="112">
        <f>D210</f>
        <v>883.36249999999995</v>
      </c>
      <c r="F210" s="140"/>
      <c r="I210" s="141"/>
      <c r="J210" s="141"/>
    </row>
    <row r="211" spans="1:10" x14ac:dyDescent="0.2">
      <c r="A211" s="79" t="s">
        <v>96</v>
      </c>
      <c r="B211" s="80"/>
      <c r="C211" s="80"/>
      <c r="D211" s="81"/>
      <c r="E211" s="82">
        <f>E205+E210</f>
        <v>4794.0510425833336</v>
      </c>
      <c r="F211" s="140"/>
      <c r="I211" s="141"/>
      <c r="J211" s="141"/>
    </row>
    <row r="212" spans="1:10" x14ac:dyDescent="0.2">
      <c r="A212" s="111" t="s">
        <v>97</v>
      </c>
      <c r="B212" s="146" t="s">
        <v>61</v>
      </c>
      <c r="C212" s="76">
        <f>C196</f>
        <v>1</v>
      </c>
      <c r="D212" s="112">
        <f>E211</f>
        <v>4794.0510425833336</v>
      </c>
      <c r="E212" s="82">
        <f>C212*D212</f>
        <v>4794.0510425833336</v>
      </c>
      <c r="F212" s="140"/>
      <c r="I212" s="141"/>
      <c r="J212" s="141"/>
    </row>
    <row r="213" spans="1:10" x14ac:dyDescent="0.2">
      <c r="C213" s="152"/>
      <c r="D213" s="85" t="s">
        <v>40</v>
      </c>
      <c r="E213" s="86">
        <f>$B$51</f>
        <v>0.21590000000000001</v>
      </c>
      <c r="F213" s="138">
        <f>E212*E213</f>
        <v>1035.0356200937417</v>
      </c>
      <c r="I213" s="141"/>
      <c r="J213" s="141"/>
    </row>
    <row r="214" spans="1:10" ht="11.25" customHeight="1" x14ac:dyDescent="0.2">
      <c r="I214" s="141"/>
      <c r="J214" s="141"/>
    </row>
    <row r="215" spans="1:10" x14ac:dyDescent="0.2">
      <c r="A215" s="3" t="s">
        <v>108</v>
      </c>
      <c r="I215" s="141"/>
      <c r="J215" s="141"/>
    </row>
    <row r="216" spans="1:10" x14ac:dyDescent="0.2">
      <c r="A216" s="67" t="s">
        <v>22</v>
      </c>
      <c r="B216" s="68" t="s">
        <v>23</v>
      </c>
      <c r="C216" s="68" t="s">
        <v>16</v>
      </c>
      <c r="D216" s="69" t="s">
        <v>24</v>
      </c>
      <c r="E216" s="69" t="s">
        <v>25</v>
      </c>
      <c r="F216" s="70" t="s">
        <v>26</v>
      </c>
      <c r="I216" s="141"/>
      <c r="J216" s="141"/>
    </row>
    <row r="217" spans="1:10" x14ac:dyDescent="0.2">
      <c r="A217" s="71" t="s">
        <v>109</v>
      </c>
      <c r="B217" s="72" t="s">
        <v>61</v>
      </c>
      <c r="C217" s="74">
        <f>C196</f>
        <v>1</v>
      </c>
      <c r="D217" s="74">
        <f>0.01*($E$185)</f>
        <v>4669.99</v>
      </c>
      <c r="E217" s="74">
        <f>C217*D217</f>
        <v>4669.99</v>
      </c>
      <c r="I217" s="141"/>
      <c r="J217" s="141"/>
    </row>
    <row r="218" spans="1:10" x14ac:dyDescent="0.2">
      <c r="A218" s="75" t="s">
        <v>110</v>
      </c>
      <c r="B218" s="76" t="s">
        <v>61</v>
      </c>
      <c r="C218" s="74">
        <f>C196</f>
        <v>1</v>
      </c>
      <c r="D218" s="123"/>
      <c r="E218" s="78">
        <f>C218*D218</f>
        <v>0</v>
      </c>
      <c r="I218" s="141"/>
      <c r="J218" s="141"/>
    </row>
    <row r="219" spans="1:10" x14ac:dyDescent="0.2">
      <c r="A219" s="75" t="s">
        <v>111</v>
      </c>
      <c r="B219" s="76" t="s">
        <v>61</v>
      </c>
      <c r="C219" s="74">
        <f>C196</f>
        <v>1</v>
      </c>
      <c r="D219" s="123"/>
      <c r="E219" s="78">
        <f>C219*D219</f>
        <v>0</v>
      </c>
      <c r="F219" s="81"/>
      <c r="I219" s="141"/>
      <c r="J219" s="141"/>
    </row>
    <row r="220" spans="1:10" x14ac:dyDescent="0.2">
      <c r="A220" s="111" t="s">
        <v>112</v>
      </c>
      <c r="B220" s="146" t="s">
        <v>28</v>
      </c>
      <c r="C220" s="146">
        <v>12</v>
      </c>
      <c r="D220" s="112">
        <f>SUM(E217:E219)</f>
        <v>4669.99</v>
      </c>
      <c r="E220" s="112">
        <f>D220/C220</f>
        <v>389.1658333333333</v>
      </c>
      <c r="I220" s="141"/>
      <c r="J220" s="141"/>
    </row>
    <row r="221" spans="1:10" x14ac:dyDescent="0.2">
      <c r="D221" s="85" t="s">
        <v>40</v>
      </c>
      <c r="E221" s="86">
        <f>$B$51</f>
        <v>0.21590000000000001</v>
      </c>
      <c r="F221" s="87">
        <f>E220*E221</f>
        <v>84.020903416666656</v>
      </c>
      <c r="I221" s="141"/>
      <c r="J221" s="141"/>
    </row>
    <row r="222" spans="1:10" ht="11.25" customHeight="1" x14ac:dyDescent="0.2">
      <c r="I222" s="141"/>
      <c r="J222" s="141"/>
    </row>
    <row r="223" spans="1:10" x14ac:dyDescent="0.2">
      <c r="A223" s="3" t="s">
        <v>113</v>
      </c>
      <c r="B223" s="153"/>
      <c r="I223" s="141"/>
      <c r="J223" s="141"/>
    </row>
    <row r="224" spans="1:10" x14ac:dyDescent="0.2">
      <c r="B224" s="153"/>
      <c r="I224" s="141"/>
      <c r="J224" s="141"/>
    </row>
    <row r="225" spans="1:10" x14ac:dyDescent="0.2">
      <c r="A225" s="111" t="s">
        <v>114</v>
      </c>
      <c r="B225" s="154">
        <v>2043</v>
      </c>
      <c r="I225" s="141"/>
      <c r="J225" s="141"/>
    </row>
    <row r="226" spans="1:10" x14ac:dyDescent="0.2">
      <c r="B226" s="153"/>
      <c r="I226" s="141"/>
      <c r="J226" s="141"/>
    </row>
    <row r="227" spans="1:10" x14ac:dyDescent="0.2">
      <c r="A227" s="67" t="s">
        <v>22</v>
      </c>
      <c r="B227" s="68" t="s">
        <v>23</v>
      </c>
      <c r="C227" s="68" t="s">
        <v>115</v>
      </c>
      <c r="D227" s="69" t="s">
        <v>24</v>
      </c>
      <c r="E227" s="69" t="s">
        <v>25</v>
      </c>
      <c r="F227" s="70" t="s">
        <v>26</v>
      </c>
      <c r="I227" s="141"/>
      <c r="J227" s="141"/>
    </row>
    <row r="228" spans="1:10" x14ac:dyDescent="0.2">
      <c r="A228" s="71" t="s">
        <v>116</v>
      </c>
      <c r="B228" s="72" t="s">
        <v>117</v>
      </c>
      <c r="C228" s="155">
        <v>2.5</v>
      </c>
      <c r="D228" s="156">
        <v>5.52</v>
      </c>
      <c r="E228" s="74"/>
      <c r="G228" s="4" t="s">
        <v>317</v>
      </c>
      <c r="I228" s="141"/>
      <c r="J228" s="141"/>
    </row>
    <row r="229" spans="1:10" x14ac:dyDescent="0.2">
      <c r="A229" s="75" t="s">
        <v>118</v>
      </c>
      <c r="B229" s="76" t="s">
        <v>119</v>
      </c>
      <c r="C229" s="157">
        <v>2043</v>
      </c>
      <c r="D229" s="158"/>
      <c r="E229" s="78">
        <f>C229/C228*D228</f>
        <v>4510.9439999999995</v>
      </c>
      <c r="I229" s="141"/>
      <c r="J229" s="141"/>
    </row>
    <row r="230" spans="1:10" x14ac:dyDescent="0.2">
      <c r="A230" s="75" t="s">
        <v>120</v>
      </c>
      <c r="B230" s="76" t="s">
        <v>121</v>
      </c>
      <c r="C230" s="159">
        <v>2</v>
      </c>
      <c r="D230" s="123">
        <v>21.95</v>
      </c>
      <c r="E230" s="78"/>
      <c r="G230" s="4" t="s">
        <v>318</v>
      </c>
      <c r="I230" s="141"/>
      <c r="J230" s="141"/>
    </row>
    <row r="231" spans="1:10" x14ac:dyDescent="0.2">
      <c r="A231" s="75" t="s">
        <v>122</v>
      </c>
      <c r="B231" s="76" t="s">
        <v>119</v>
      </c>
      <c r="C231" s="157">
        <f>C229</f>
        <v>2043</v>
      </c>
      <c r="D231" s="160"/>
      <c r="E231" s="78">
        <f>C231/1000*C230*D230</f>
        <v>89.687700000000007</v>
      </c>
      <c r="I231" s="141"/>
      <c r="J231" s="141"/>
    </row>
    <row r="232" spans="1:10" x14ac:dyDescent="0.2">
      <c r="A232" s="75" t="s">
        <v>123</v>
      </c>
      <c r="B232" s="76" t="s">
        <v>121</v>
      </c>
      <c r="C232" s="159">
        <v>0.85</v>
      </c>
      <c r="D232" s="123">
        <v>18.95</v>
      </c>
      <c r="E232" s="78"/>
      <c r="G232" s="4" t="s">
        <v>318</v>
      </c>
      <c r="I232" s="141"/>
      <c r="J232" s="141"/>
    </row>
    <row r="233" spans="1:10" x14ac:dyDescent="0.2">
      <c r="A233" s="75" t="s">
        <v>124</v>
      </c>
      <c r="B233" s="76" t="s">
        <v>119</v>
      </c>
      <c r="C233" s="157">
        <f>C229</f>
        <v>2043</v>
      </c>
      <c r="D233" s="160"/>
      <c r="E233" s="78">
        <f>C233/1000*C232*D232</f>
        <v>32.907622500000002</v>
      </c>
      <c r="I233" s="141"/>
      <c r="J233" s="141"/>
    </row>
    <row r="234" spans="1:10" x14ac:dyDescent="0.2">
      <c r="A234" s="75" t="s">
        <v>125</v>
      </c>
      <c r="B234" s="76" t="s">
        <v>121</v>
      </c>
      <c r="C234" s="159">
        <v>5</v>
      </c>
      <c r="D234" s="123">
        <v>9.1199999999999992</v>
      </c>
      <c r="E234" s="78"/>
      <c r="G234" s="4" t="s">
        <v>318</v>
      </c>
      <c r="I234" s="141"/>
      <c r="J234" s="141"/>
    </row>
    <row r="235" spans="1:10" x14ac:dyDescent="0.2">
      <c r="A235" s="75" t="s">
        <v>126</v>
      </c>
      <c r="B235" s="76" t="s">
        <v>119</v>
      </c>
      <c r="C235" s="157">
        <f>C229</f>
        <v>2043</v>
      </c>
      <c r="D235" s="160"/>
      <c r="E235" s="78">
        <f>C235/1000*C234*D234</f>
        <v>93.160799999999995</v>
      </c>
      <c r="I235" s="141"/>
      <c r="J235" s="141"/>
    </row>
    <row r="236" spans="1:10" x14ac:dyDescent="0.2">
      <c r="A236" s="75" t="s">
        <v>127</v>
      </c>
      <c r="B236" s="76" t="s">
        <v>128</v>
      </c>
      <c r="C236" s="159">
        <v>0.5</v>
      </c>
      <c r="D236" s="123">
        <v>15.5</v>
      </c>
      <c r="E236" s="78"/>
      <c r="G236" s="4" t="s">
        <v>318</v>
      </c>
      <c r="I236" s="141"/>
      <c r="J236" s="141"/>
    </row>
    <row r="237" spans="1:10" x14ac:dyDescent="0.2">
      <c r="A237" s="75" t="s">
        <v>129</v>
      </c>
      <c r="B237" s="76" t="s">
        <v>119</v>
      </c>
      <c r="C237" s="157">
        <f>C229</f>
        <v>2043</v>
      </c>
      <c r="D237" s="160"/>
      <c r="E237" s="78">
        <f>C237/1000*C236*D236</f>
        <v>15.833250000000001</v>
      </c>
      <c r="I237" s="141"/>
      <c r="J237" s="141"/>
    </row>
    <row r="238" spans="1:10" x14ac:dyDescent="0.2">
      <c r="A238" s="75" t="s">
        <v>130</v>
      </c>
      <c r="B238" s="76" t="s">
        <v>121</v>
      </c>
      <c r="C238" s="159">
        <v>20</v>
      </c>
      <c r="D238" s="123">
        <v>59</v>
      </c>
      <c r="E238" s="78"/>
      <c r="G238" s="4" t="s">
        <v>318</v>
      </c>
      <c r="I238" s="141"/>
      <c r="J238" s="141"/>
    </row>
    <row r="239" spans="1:10" x14ac:dyDescent="0.2">
      <c r="A239" s="75" t="s">
        <v>131</v>
      </c>
      <c r="B239" s="76" t="s">
        <v>119</v>
      </c>
      <c r="C239" s="157">
        <f>C231</f>
        <v>2043</v>
      </c>
      <c r="D239" s="160"/>
      <c r="E239" s="78">
        <f>C239/1000*C238*D238</f>
        <v>2410.7399999999998</v>
      </c>
      <c r="I239" s="141"/>
      <c r="J239" s="141"/>
    </row>
    <row r="240" spans="1:10" x14ac:dyDescent="0.2">
      <c r="A240" s="111" t="s">
        <v>132</v>
      </c>
      <c r="B240" s="146" t="s">
        <v>133</v>
      </c>
      <c r="C240" s="161"/>
      <c r="D240" s="162">
        <f>E229+E231+E233+E235+E237+E239/2977</f>
        <v>4743.3431608775609</v>
      </c>
      <c r="E240" s="78"/>
      <c r="I240" s="141"/>
      <c r="J240" s="141"/>
    </row>
    <row r="241" spans="1:10" x14ac:dyDescent="0.2">
      <c r="F241" s="138">
        <f>SUM(E228:E237)</f>
        <v>4742.5333724999991</v>
      </c>
      <c r="I241" s="141"/>
      <c r="J241" s="141"/>
    </row>
    <row r="242" spans="1:10" ht="11.25" customHeight="1" x14ac:dyDescent="0.2">
      <c r="I242" s="141"/>
      <c r="J242" s="141"/>
    </row>
    <row r="243" spans="1:10" x14ac:dyDescent="0.2">
      <c r="A243" s="3" t="s">
        <v>134</v>
      </c>
      <c r="I243" s="141"/>
      <c r="J243" s="141"/>
    </row>
    <row r="244" spans="1:10" x14ac:dyDescent="0.2">
      <c r="A244" s="67" t="s">
        <v>22</v>
      </c>
      <c r="B244" s="68" t="s">
        <v>23</v>
      </c>
      <c r="C244" s="68" t="s">
        <v>16</v>
      </c>
      <c r="D244" s="69" t="s">
        <v>24</v>
      </c>
      <c r="E244" s="69" t="s">
        <v>25</v>
      </c>
      <c r="F244" s="70" t="s">
        <v>26</v>
      </c>
      <c r="I244" s="141"/>
      <c r="J244" s="141"/>
    </row>
    <row r="245" spans="1:10" x14ac:dyDescent="0.2">
      <c r="A245" s="71" t="s">
        <v>135</v>
      </c>
      <c r="B245" s="72" t="s">
        <v>133</v>
      </c>
      <c r="C245" s="157">
        <f>C229</f>
        <v>2043</v>
      </c>
      <c r="D245" s="73">
        <v>1.1499999999999999</v>
      </c>
      <c r="E245" s="74">
        <f>C245*D245</f>
        <v>2349.4499999999998</v>
      </c>
      <c r="I245" s="141"/>
      <c r="J245" s="141"/>
    </row>
    <row r="246" spans="1:10" x14ac:dyDescent="0.2">
      <c r="F246" s="138">
        <f>E245</f>
        <v>2349.4499999999998</v>
      </c>
      <c r="I246" s="141"/>
      <c r="J246" s="141"/>
    </row>
    <row r="247" spans="1:10" ht="11.25" customHeight="1" x14ac:dyDescent="0.2">
      <c r="I247" s="141"/>
      <c r="J247" s="141"/>
    </row>
    <row r="248" spans="1:10" x14ac:dyDescent="0.2">
      <c r="A248" s="3" t="s">
        <v>136</v>
      </c>
      <c r="I248" s="141"/>
      <c r="J248" s="141"/>
    </row>
    <row r="249" spans="1:10" x14ac:dyDescent="0.2">
      <c r="A249" s="67" t="s">
        <v>22</v>
      </c>
      <c r="B249" s="68" t="s">
        <v>23</v>
      </c>
      <c r="C249" s="68" t="s">
        <v>16</v>
      </c>
      <c r="D249" s="69" t="s">
        <v>24</v>
      </c>
      <c r="E249" s="69" t="s">
        <v>25</v>
      </c>
      <c r="F249" s="70" t="s">
        <v>26</v>
      </c>
      <c r="I249" s="141"/>
      <c r="J249" s="141"/>
    </row>
    <row r="250" spans="1:10" x14ac:dyDescent="0.2">
      <c r="A250" s="71" t="s">
        <v>137</v>
      </c>
      <c r="B250" s="72" t="s">
        <v>61</v>
      </c>
      <c r="C250" s="163">
        <v>6</v>
      </c>
      <c r="D250" s="73">
        <v>1595</v>
      </c>
      <c r="E250" s="74">
        <f>C250*D250</f>
        <v>9570</v>
      </c>
      <c r="G250" s="4" t="s">
        <v>319</v>
      </c>
      <c r="I250" s="141"/>
      <c r="J250" s="141"/>
    </row>
    <row r="251" spans="1:10" x14ac:dyDescent="0.2">
      <c r="A251" s="71" t="s">
        <v>138</v>
      </c>
      <c r="B251" s="72" t="s">
        <v>61</v>
      </c>
      <c r="C251" s="163">
        <v>2</v>
      </c>
      <c r="D251" s="74"/>
      <c r="E251" s="74"/>
      <c r="I251" s="141"/>
      <c r="J251" s="141"/>
    </row>
    <row r="252" spans="1:10" x14ac:dyDescent="0.2">
      <c r="A252" s="71" t="s">
        <v>139</v>
      </c>
      <c r="B252" s="72" t="s">
        <v>61</v>
      </c>
      <c r="C252" s="74">
        <f>C250*C251</f>
        <v>12</v>
      </c>
      <c r="D252" s="73">
        <v>475</v>
      </c>
      <c r="E252" s="74">
        <f>C252*D252</f>
        <v>5700</v>
      </c>
      <c r="G252" s="4" t="s">
        <v>320</v>
      </c>
      <c r="I252" s="141"/>
      <c r="J252" s="141"/>
    </row>
    <row r="253" spans="1:10" x14ac:dyDescent="0.2">
      <c r="A253" s="75" t="s">
        <v>140</v>
      </c>
      <c r="B253" s="76" t="s">
        <v>141</v>
      </c>
      <c r="C253" s="164">
        <v>70000</v>
      </c>
      <c r="D253" s="78">
        <f>E250+E252</f>
        <v>15270</v>
      </c>
      <c r="E253" s="78">
        <f>IFERROR(D253/C253,"-")</f>
        <v>0.21814285714285714</v>
      </c>
      <c r="I253" s="141"/>
      <c r="J253" s="141"/>
    </row>
    <row r="254" spans="1:10" x14ac:dyDescent="0.2">
      <c r="A254" s="75" t="s">
        <v>142</v>
      </c>
      <c r="B254" s="76" t="s">
        <v>119</v>
      </c>
      <c r="C254" s="157">
        <f>B225</f>
        <v>2043</v>
      </c>
      <c r="D254" s="78">
        <f>E253</f>
        <v>0.21814285714285714</v>
      </c>
      <c r="E254" s="78">
        <f>IFERROR(C254*D254,0)</f>
        <v>445.66585714285713</v>
      </c>
      <c r="I254" s="141"/>
      <c r="J254" s="141"/>
    </row>
    <row r="255" spans="1:10" x14ac:dyDescent="0.2">
      <c r="F255" s="138">
        <f>E254</f>
        <v>445.66585714285713</v>
      </c>
      <c r="I255" s="141"/>
      <c r="J255" s="141"/>
    </row>
    <row r="256" spans="1:10" ht="11.25" customHeight="1" x14ac:dyDescent="0.2">
      <c r="I256" s="141"/>
      <c r="J256" s="141"/>
    </row>
    <row r="257" spans="1:7" ht="11.25" customHeight="1" x14ac:dyDescent="0.2">
      <c r="G257" s="3"/>
    </row>
    <row r="258" spans="1:7" s="3" customFormat="1" x14ac:dyDescent="0.2">
      <c r="A258" s="1" t="s">
        <v>143</v>
      </c>
      <c r="B258" s="125"/>
      <c r="C258" s="125"/>
      <c r="D258" s="40"/>
      <c r="E258" s="126"/>
      <c r="F258" s="138">
        <f>+SUM(F185:F257)</f>
        <v>9170.1620030639879</v>
      </c>
    </row>
    <row r="259" spans="1:7" ht="11.25" customHeight="1" x14ac:dyDescent="0.2">
      <c r="G259" s="3"/>
    </row>
    <row r="260" spans="1:7" s="3" customFormat="1" x14ac:dyDescent="0.2">
      <c r="A260" s="27" t="s">
        <v>144</v>
      </c>
      <c r="B260" s="27"/>
      <c r="C260" s="27"/>
      <c r="D260" s="26"/>
      <c r="E260" s="26"/>
      <c r="F260" s="81"/>
    </row>
    <row r="261" spans="1:7" ht="11.25" customHeight="1" x14ac:dyDescent="0.2">
      <c r="G261" s="3"/>
    </row>
    <row r="262" spans="1:7" s="3" customFormat="1" x14ac:dyDescent="0.2">
      <c r="A262" s="67" t="s">
        <v>22</v>
      </c>
      <c r="B262" s="68" t="s">
        <v>23</v>
      </c>
      <c r="C262" s="68" t="s">
        <v>16</v>
      </c>
      <c r="D262" s="69" t="s">
        <v>24</v>
      </c>
      <c r="E262" s="69" t="s">
        <v>25</v>
      </c>
      <c r="F262" s="70" t="s">
        <v>26</v>
      </c>
    </row>
    <row r="263" spans="1:7" x14ac:dyDescent="0.2">
      <c r="A263" s="75" t="s">
        <v>145</v>
      </c>
      <c r="B263" s="76" t="s">
        <v>61</v>
      </c>
      <c r="C263" s="128">
        <v>0.16666666666666699</v>
      </c>
      <c r="D263" s="73">
        <v>67.099999999999994</v>
      </c>
      <c r="E263" s="78">
        <f>C263*D263</f>
        <v>11.183333333333355</v>
      </c>
      <c r="F263" s="140"/>
      <c r="G263" s="4" t="s">
        <v>325</v>
      </c>
    </row>
    <row r="264" spans="1:7" x14ac:dyDescent="0.2">
      <c r="A264" s="75" t="s">
        <v>146</v>
      </c>
      <c r="B264" s="76" t="s">
        <v>61</v>
      </c>
      <c r="C264" s="128">
        <v>0.16666666666666699</v>
      </c>
      <c r="D264" s="73">
        <v>42</v>
      </c>
      <c r="E264" s="78">
        <f>C264*D264</f>
        <v>7.0000000000000133</v>
      </c>
      <c r="F264" s="140"/>
      <c r="G264" s="4" t="s">
        <v>327</v>
      </c>
    </row>
    <row r="265" spans="1:7" x14ac:dyDescent="0.2">
      <c r="A265" s="75" t="s">
        <v>147</v>
      </c>
      <c r="B265" s="76" t="s">
        <v>61</v>
      </c>
      <c r="C265" s="128">
        <v>0.16666666666666699</v>
      </c>
      <c r="D265" s="73">
        <v>5.65</v>
      </c>
      <c r="E265" s="78">
        <f>C265*D265</f>
        <v>0.94166666666666854</v>
      </c>
      <c r="F265" s="140"/>
      <c r="G265" s="4" t="s">
        <v>328</v>
      </c>
    </row>
    <row r="266" spans="1:7" x14ac:dyDescent="0.2">
      <c r="A266" s="75" t="s">
        <v>148</v>
      </c>
      <c r="B266" s="76" t="s">
        <v>149</v>
      </c>
      <c r="C266" s="128">
        <v>8.3333333333333301E-2</v>
      </c>
      <c r="D266" s="73">
        <v>74.98</v>
      </c>
      <c r="E266" s="78">
        <f>C266*D266</f>
        <v>6.2483333333333313</v>
      </c>
      <c r="F266" s="140"/>
      <c r="G266" s="4" t="s">
        <v>326</v>
      </c>
    </row>
    <row r="267" spans="1:7" s="3" customFormat="1" x14ac:dyDescent="0.2">
      <c r="A267" s="75" t="s">
        <v>150</v>
      </c>
      <c r="B267" s="76" t="s">
        <v>149</v>
      </c>
      <c r="C267" s="128">
        <v>8.3333333333333301E-2</v>
      </c>
      <c r="D267" s="73">
        <v>74.98</v>
      </c>
      <c r="E267" s="78">
        <f>C267*D267</f>
        <v>6.2483333333333313</v>
      </c>
      <c r="F267" s="140"/>
      <c r="G267" s="4" t="s">
        <v>326</v>
      </c>
    </row>
    <row r="268" spans="1:7" s="3" customFormat="1" x14ac:dyDescent="0.2">
      <c r="A268" s="27"/>
      <c r="B268" s="27"/>
      <c r="C268" s="27"/>
      <c r="D268" s="27"/>
      <c r="E268" s="26"/>
      <c r="F268" s="138">
        <f>SUM(E263:E267)</f>
        <v>31.621666666666702</v>
      </c>
    </row>
    <row r="269" spans="1:7" ht="11.25" customHeight="1" x14ac:dyDescent="0.2">
      <c r="G269" s="3"/>
    </row>
    <row r="270" spans="1:7" s="3" customFormat="1" x14ac:dyDescent="0.2">
      <c r="A270" s="1" t="s">
        <v>151</v>
      </c>
      <c r="B270" s="125"/>
      <c r="C270" s="125"/>
      <c r="D270" s="40"/>
      <c r="E270" s="126"/>
      <c r="F270" s="138">
        <f>+F268</f>
        <v>31.621666666666702</v>
      </c>
    </row>
    <row r="271" spans="1:7" ht="11.25" customHeight="1" x14ac:dyDescent="0.2">
      <c r="G271" s="3"/>
    </row>
    <row r="272" spans="1:7" hidden="1" x14ac:dyDescent="0.2">
      <c r="A272" s="117" t="s">
        <v>152</v>
      </c>
      <c r="B272" s="117"/>
      <c r="C272" s="117"/>
      <c r="D272" s="116"/>
      <c r="E272" s="116"/>
      <c r="F272" s="104"/>
      <c r="G272" s="89"/>
    </row>
    <row r="273" spans="1:7" ht="11.25" hidden="1" customHeight="1" x14ac:dyDescent="0.2">
      <c r="A273" s="88"/>
      <c r="B273" s="88"/>
      <c r="C273" s="88"/>
      <c r="D273" s="89"/>
      <c r="E273" s="89"/>
      <c r="F273" s="89"/>
      <c r="G273" s="89"/>
    </row>
    <row r="274" spans="1:7" hidden="1" x14ac:dyDescent="0.2">
      <c r="A274" s="90" t="s">
        <v>22</v>
      </c>
      <c r="B274" s="91" t="s">
        <v>23</v>
      </c>
      <c r="C274" s="91" t="s">
        <v>16</v>
      </c>
      <c r="D274" s="92" t="s">
        <v>24</v>
      </c>
      <c r="E274" s="92" t="s">
        <v>25</v>
      </c>
      <c r="F274" s="93" t="s">
        <v>26</v>
      </c>
      <c r="G274" s="89"/>
    </row>
    <row r="275" spans="1:7" hidden="1" x14ac:dyDescent="0.2">
      <c r="A275" s="97" t="s">
        <v>153</v>
      </c>
      <c r="B275" s="165" t="s">
        <v>149</v>
      </c>
      <c r="C275" s="115">
        <f>C185</f>
        <v>1</v>
      </c>
      <c r="D275" s="100"/>
      <c r="E275" s="100">
        <f>+D275*C275</f>
        <v>0</v>
      </c>
      <c r="F275" s="166"/>
      <c r="G275" s="89"/>
    </row>
    <row r="276" spans="1:7" hidden="1" x14ac:dyDescent="0.2">
      <c r="A276" s="97" t="s">
        <v>154</v>
      </c>
      <c r="B276" s="165" t="s">
        <v>28</v>
      </c>
      <c r="C276" s="98">
        <v>60</v>
      </c>
      <c r="D276" s="167">
        <f>SUM(E275:E275)</f>
        <v>0</v>
      </c>
      <c r="E276" s="167">
        <f>+D276/C276</f>
        <v>0</v>
      </c>
      <c r="F276" s="166"/>
      <c r="G276" s="89"/>
    </row>
    <row r="277" spans="1:7" hidden="1" x14ac:dyDescent="0.2">
      <c r="A277" s="97" t="s">
        <v>155</v>
      </c>
      <c r="B277" s="98" t="s">
        <v>61</v>
      </c>
      <c r="C277" s="115">
        <f>+C275</f>
        <v>1</v>
      </c>
      <c r="D277" s="100"/>
      <c r="E277" s="100">
        <f>C277*D277</f>
        <v>0</v>
      </c>
      <c r="F277" s="166"/>
      <c r="G277" s="89"/>
    </row>
    <row r="278" spans="1:7" hidden="1" x14ac:dyDescent="0.2">
      <c r="A278" s="97" t="s">
        <v>156</v>
      </c>
      <c r="B278" s="165" t="s">
        <v>28</v>
      </c>
      <c r="C278" s="98">
        <v>1</v>
      </c>
      <c r="D278" s="167">
        <f>+E277</f>
        <v>0</v>
      </c>
      <c r="E278" s="167">
        <f>+D278/C278</f>
        <v>0</v>
      </c>
      <c r="F278" s="166"/>
      <c r="G278" s="89"/>
    </row>
    <row r="279" spans="1:7" hidden="1" x14ac:dyDescent="0.2">
      <c r="A279" s="168"/>
      <c r="B279" s="168"/>
      <c r="C279" s="168"/>
      <c r="D279" s="106" t="s">
        <v>40</v>
      </c>
      <c r="E279" s="107">
        <f>$B$51</f>
        <v>0.21590000000000001</v>
      </c>
      <c r="F279" s="169">
        <f>(E276+E278)*E279</f>
        <v>0</v>
      </c>
      <c r="G279" s="89"/>
    </row>
    <row r="280" spans="1:7" s="171" customFormat="1" ht="11.25" customHeight="1" thickBot="1" x14ac:dyDescent="0.25">
      <c r="A280" s="3"/>
      <c r="B280" s="3"/>
      <c r="C280" s="3"/>
      <c r="D280" s="4"/>
      <c r="E280" s="4"/>
      <c r="F280" s="4"/>
      <c r="G280" s="170"/>
    </row>
    <row r="281" spans="1:7" ht="13.5" thickBot="1" x14ac:dyDescent="0.25">
      <c r="A281" s="1" t="s">
        <v>157</v>
      </c>
      <c r="B281" s="125"/>
      <c r="C281" s="125"/>
      <c r="D281" s="40"/>
      <c r="E281" s="126"/>
      <c r="F281" s="138">
        <f>+F279</f>
        <v>0</v>
      </c>
    </row>
    <row r="282" spans="1:7" ht="11.25" customHeight="1" x14ac:dyDescent="0.2"/>
    <row r="283" spans="1:7" ht="17.25" customHeight="1" x14ac:dyDescent="0.2">
      <c r="A283" s="1" t="s">
        <v>158</v>
      </c>
      <c r="B283" s="135"/>
      <c r="C283" s="135"/>
      <c r="D283" s="136"/>
      <c r="E283" s="137"/>
      <c r="F283" s="124">
        <f>+F143+F177+F258+F270+F281</f>
        <v>11532.572708930653</v>
      </c>
    </row>
    <row r="284" spans="1:7" ht="11.25" customHeight="1" x14ac:dyDescent="0.2"/>
    <row r="285" spans="1:7" x14ac:dyDescent="0.2">
      <c r="A285" s="27" t="s">
        <v>159</v>
      </c>
    </row>
    <row r="286" spans="1:7" ht="11.25" customHeight="1" x14ac:dyDescent="0.2"/>
    <row r="287" spans="1:7" x14ac:dyDescent="0.2">
      <c r="A287" s="67" t="s">
        <v>22</v>
      </c>
      <c r="B287" s="68" t="s">
        <v>23</v>
      </c>
      <c r="C287" s="68" t="s">
        <v>16</v>
      </c>
      <c r="D287" s="69" t="s">
        <v>24</v>
      </c>
      <c r="E287" s="69" t="s">
        <v>25</v>
      </c>
      <c r="F287" s="70" t="s">
        <v>26</v>
      </c>
    </row>
    <row r="288" spans="1:7" x14ac:dyDescent="0.2">
      <c r="A288" s="71" t="s">
        <v>160</v>
      </c>
      <c r="B288" s="72" t="s">
        <v>13</v>
      </c>
      <c r="C288" s="83">
        <v>24.3</v>
      </c>
      <c r="D288" s="74">
        <f>+F283</f>
        <v>11532.572708930653</v>
      </c>
      <c r="E288" s="74">
        <f>C288*D288/100</f>
        <v>2802.4151682701486</v>
      </c>
    </row>
    <row r="289" spans="1:7" x14ac:dyDescent="0.2">
      <c r="F289" s="138">
        <f>+E288</f>
        <v>2802.4151682701486</v>
      </c>
    </row>
    <row r="290" spans="1:7" ht="11.25" customHeight="1" x14ac:dyDescent="0.2"/>
    <row r="291" spans="1:7" x14ac:dyDescent="0.2">
      <c r="A291" s="1" t="s">
        <v>161</v>
      </c>
      <c r="B291" s="135"/>
      <c r="C291" s="135"/>
      <c r="D291" s="136"/>
      <c r="E291" s="137"/>
      <c r="F291" s="124">
        <f>F289</f>
        <v>2802.4151682701486</v>
      </c>
    </row>
    <row r="292" spans="1:7" x14ac:dyDescent="0.2">
      <c r="A292" s="27"/>
      <c r="B292" s="27"/>
      <c r="C292" s="27"/>
      <c r="D292" s="26"/>
      <c r="E292" s="26"/>
      <c r="F292" s="81"/>
    </row>
    <row r="293" spans="1:7" ht="11.25" customHeight="1" x14ac:dyDescent="0.2"/>
    <row r="294" spans="1:7" ht="24.75" customHeight="1" x14ac:dyDescent="0.2">
      <c r="A294" s="1" t="s">
        <v>162</v>
      </c>
      <c r="B294" s="135"/>
      <c r="C294" s="135"/>
      <c r="D294" s="136"/>
      <c r="E294" s="137"/>
      <c r="F294" s="124">
        <f>F283+F291</f>
        <v>14334.987877200801</v>
      </c>
    </row>
    <row r="295" spans="1:7" ht="12" customHeight="1" x14ac:dyDescent="0.2">
      <c r="A295" s="5"/>
      <c r="B295" s="5"/>
      <c r="C295" s="5"/>
      <c r="D295" s="172"/>
      <c r="E295" s="172"/>
      <c r="F295" s="172"/>
    </row>
    <row r="296" spans="1:7" ht="14.25" x14ac:dyDescent="0.2">
      <c r="A296" s="13"/>
      <c r="B296" s="13"/>
      <c r="C296" s="13"/>
      <c r="D296" s="12"/>
      <c r="E296" s="12"/>
    </row>
    <row r="297" spans="1:7" ht="15.75" customHeight="1" x14ac:dyDescent="0.2">
      <c r="A297" s="173" t="s">
        <v>163</v>
      </c>
      <c r="B297" s="174"/>
      <c r="C297" s="174"/>
      <c r="D297" s="49">
        <v>27.14</v>
      </c>
      <c r="E297" s="175" t="s">
        <v>164</v>
      </c>
      <c r="G297" s="89"/>
    </row>
    <row r="298" spans="1:7" ht="13.5" thickBot="1" x14ac:dyDescent="0.25">
      <c r="A298" s="298" t="s">
        <v>165</v>
      </c>
      <c r="B298" s="298"/>
      <c r="C298" s="298"/>
      <c r="D298" s="4">
        <v>173.71</v>
      </c>
      <c r="E298" s="4" t="s">
        <v>166</v>
      </c>
      <c r="G298" s="4" t="s">
        <v>315</v>
      </c>
    </row>
    <row r="299" spans="1:7" ht="25.5" customHeight="1" thickBot="1" x14ac:dyDescent="0.25">
      <c r="A299" s="1" t="s">
        <v>167</v>
      </c>
      <c r="B299" s="125"/>
      <c r="C299" s="125"/>
      <c r="D299" s="40"/>
      <c r="E299" s="295">
        <f>D297*D298</f>
        <v>4714.4894000000004</v>
      </c>
      <c r="F299" s="176"/>
      <c r="G299" s="89"/>
    </row>
    <row r="300" spans="1:7" ht="12" customHeight="1" x14ac:dyDescent="0.2">
      <c r="A300" s="27"/>
      <c r="B300" s="27"/>
      <c r="C300" s="27"/>
      <c r="D300" s="26"/>
      <c r="E300" s="26"/>
      <c r="F300" s="26"/>
    </row>
    <row r="301" spans="1:7" s="8" customFormat="1" ht="9.75" customHeight="1" x14ac:dyDescent="0.2">
      <c r="A301" s="172"/>
      <c r="B301" s="4"/>
      <c r="C301" s="4"/>
      <c r="D301" s="4"/>
      <c r="E301" s="4"/>
      <c r="F301" s="4"/>
      <c r="G301" s="10"/>
    </row>
    <row r="302" spans="1:7" s="8" customFormat="1" ht="9.75" customHeight="1" x14ac:dyDescent="0.2">
      <c r="A302" s="172"/>
      <c r="B302" s="4"/>
      <c r="C302" s="4"/>
      <c r="D302" s="4"/>
      <c r="E302" s="4"/>
      <c r="F302" s="4"/>
      <c r="G302" s="10"/>
    </row>
    <row r="303" spans="1:7" s="8" customFormat="1" ht="9.75" customHeight="1" x14ac:dyDescent="0.2">
      <c r="A303" s="172"/>
      <c r="B303" s="4"/>
      <c r="C303" s="4"/>
      <c r="D303" s="4"/>
      <c r="E303" s="4"/>
      <c r="F303" s="4"/>
      <c r="G303" s="10"/>
    </row>
    <row r="333" s="3" customFormat="1" ht="9" customHeight="1" x14ac:dyDescent="0.2"/>
  </sheetData>
  <mergeCells count="8">
    <mergeCell ref="A40:D40"/>
    <mergeCell ref="A47:D47"/>
    <mergeCell ref="A298:C298"/>
    <mergeCell ref="A11:F11"/>
    <mergeCell ref="A12:F12"/>
    <mergeCell ref="A14:F14"/>
    <mergeCell ref="A24:C24"/>
    <mergeCell ref="A39:E39"/>
  </mergeCells>
  <hyperlinks>
    <hyperlink ref="A183" location="AbaDeprec" display="3.1.1. Depreciação"/>
    <hyperlink ref="A199" location="AbaRemun" display="3.1.2. Remuneração do Capital"/>
  </hyperlinks>
  <pageMargins left="0.905555555555556" right="0.51180555555555596" top="0.74791666666666701" bottom="0.74791666666666701" header="0.511811023622047" footer="0.31527777777777799"/>
  <pageSetup paperSize="9" scale="76" fitToHeight="0" orientation="portrait" horizontalDpi="300" verticalDpi="300" r:id="rId1"/>
  <headerFooter>
    <oddFooter>&amp;R&amp;P de &amp;N</oddFooter>
  </headerFooter>
  <rowBreaks count="4" manualBreakCount="4">
    <brk id="52" max="16383" man="1"/>
    <brk id="122" max="16383" man="1"/>
    <brk id="178" max="16383" man="1"/>
    <brk id="24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59"/>
  <sheetViews>
    <sheetView view="pageBreakPreview" topLeftCell="A26" zoomScaleNormal="100" workbookViewId="0">
      <selection activeCell="D31" sqref="D31"/>
    </sheetView>
  </sheetViews>
  <sheetFormatPr defaultColWidth="9.140625" defaultRowHeight="12.75" x14ac:dyDescent="0.2"/>
  <cols>
    <col min="1" max="1" width="13.5703125" style="133" customWidth="1"/>
    <col min="2" max="2" width="39.5703125" style="133" customWidth="1"/>
    <col min="3" max="3" width="14.5703125" style="133" customWidth="1"/>
    <col min="4" max="4" width="37.28515625" style="133" customWidth="1"/>
    <col min="5" max="10" width="9.140625" style="133"/>
    <col min="11" max="11" width="11" style="133" customWidth="1"/>
    <col min="12" max="1024" width="9.140625" style="133"/>
  </cols>
  <sheetData>
    <row r="1" spans="1:7" x14ac:dyDescent="0.2">
      <c r="A1" s="27" t="s">
        <v>0</v>
      </c>
    </row>
    <row r="2" spans="1:7" x14ac:dyDescent="0.2">
      <c r="A2" s="177" t="s">
        <v>168</v>
      </c>
    </row>
    <row r="3" spans="1:7" s="8" customFormat="1" ht="15" customHeight="1" x14ac:dyDescent="0.2">
      <c r="B3" s="9"/>
      <c r="C3" s="9"/>
      <c r="D3" s="9"/>
      <c r="E3" s="9"/>
      <c r="F3" s="9"/>
      <c r="G3" s="10"/>
    </row>
    <row r="4" spans="1:7" s="8" customFormat="1" ht="15" customHeight="1" x14ac:dyDescent="0.2">
      <c r="A4" s="6" t="s">
        <v>6</v>
      </c>
      <c r="B4" s="9"/>
      <c r="C4" s="9"/>
      <c r="D4" s="9"/>
      <c r="E4" s="9"/>
      <c r="F4" s="9"/>
      <c r="G4" s="10"/>
    </row>
    <row r="5" spans="1:7" s="8" customFormat="1" ht="16.5" customHeight="1" x14ac:dyDescent="0.2">
      <c r="A5" s="6" t="s">
        <v>7</v>
      </c>
      <c r="B5" s="9"/>
      <c r="C5" s="9"/>
      <c r="D5" s="10"/>
      <c r="E5" s="10"/>
      <c r="F5" s="10"/>
      <c r="G5" s="10"/>
    </row>
    <row r="7" spans="1:7" ht="18" x14ac:dyDescent="0.2">
      <c r="A7" s="303" t="s">
        <v>169</v>
      </c>
      <c r="B7" s="303"/>
      <c r="C7" s="303"/>
      <c r="D7" s="178"/>
      <c r="E7" s="178"/>
      <c r="F7" s="178"/>
    </row>
    <row r="8" spans="1:7" ht="14.25" x14ac:dyDescent="0.2">
      <c r="A8" s="179" t="s">
        <v>170</v>
      </c>
      <c r="B8" s="180" t="s">
        <v>171</v>
      </c>
      <c r="C8" s="181" t="s">
        <v>172</v>
      </c>
      <c r="D8" s="182"/>
    </row>
    <row r="9" spans="1:7" ht="14.25" x14ac:dyDescent="0.2">
      <c r="A9" s="179" t="s">
        <v>173</v>
      </c>
      <c r="B9" s="180" t="s">
        <v>174</v>
      </c>
      <c r="C9" s="183">
        <v>0.2</v>
      </c>
      <c r="D9" s="182"/>
    </row>
    <row r="10" spans="1:7" ht="14.25" x14ac:dyDescent="0.2">
      <c r="A10" s="179" t="s">
        <v>175</v>
      </c>
      <c r="B10" s="180" t="s">
        <v>176</v>
      </c>
      <c r="C10" s="183">
        <v>1.4999999999999999E-2</v>
      </c>
      <c r="D10" s="182"/>
    </row>
    <row r="11" spans="1:7" ht="14.25" x14ac:dyDescent="0.2">
      <c r="A11" s="179" t="s">
        <v>177</v>
      </c>
      <c r="B11" s="180" t="s">
        <v>178</v>
      </c>
      <c r="C11" s="183">
        <v>0.01</v>
      </c>
      <c r="D11" s="182"/>
    </row>
    <row r="12" spans="1:7" ht="14.25" x14ac:dyDescent="0.2">
      <c r="A12" s="179" t="s">
        <v>179</v>
      </c>
      <c r="B12" s="180" t="s">
        <v>180</v>
      </c>
      <c r="C12" s="183">
        <v>2E-3</v>
      </c>
      <c r="D12" s="182"/>
    </row>
    <row r="13" spans="1:7" ht="14.25" x14ac:dyDescent="0.2">
      <c r="A13" s="179" t="s">
        <v>181</v>
      </c>
      <c r="B13" s="180" t="s">
        <v>182</v>
      </c>
      <c r="C13" s="183">
        <v>6.0000000000000001E-3</v>
      </c>
      <c r="D13" s="182"/>
    </row>
    <row r="14" spans="1:7" ht="14.25" x14ac:dyDescent="0.2">
      <c r="A14" s="179" t="s">
        <v>183</v>
      </c>
      <c r="B14" s="180" t="s">
        <v>184</v>
      </c>
      <c r="C14" s="183">
        <v>2.5000000000000001E-2</v>
      </c>
      <c r="D14" s="182"/>
    </row>
    <row r="15" spans="1:7" ht="14.25" x14ac:dyDescent="0.2">
      <c r="A15" s="179" t="s">
        <v>185</v>
      </c>
      <c r="B15" s="180" t="s">
        <v>186</v>
      </c>
      <c r="C15" s="183">
        <v>0.03</v>
      </c>
      <c r="D15" s="182"/>
    </row>
    <row r="16" spans="1:7" ht="14.25" x14ac:dyDescent="0.2">
      <c r="A16" s="179" t="s">
        <v>187</v>
      </c>
      <c r="B16" s="180" t="s">
        <v>188</v>
      </c>
      <c r="C16" s="183">
        <v>0.08</v>
      </c>
      <c r="D16" s="182"/>
    </row>
    <row r="17" spans="1:8" ht="15" x14ac:dyDescent="0.2">
      <c r="A17" s="179" t="s">
        <v>189</v>
      </c>
      <c r="B17" s="184" t="s">
        <v>190</v>
      </c>
      <c r="C17" s="185">
        <f>SUM(C9:C16)</f>
        <v>0.36800000000000005</v>
      </c>
      <c r="D17" s="182"/>
    </row>
    <row r="18" spans="1:8" ht="15" x14ac:dyDescent="0.2">
      <c r="A18" s="186"/>
      <c r="B18" s="187"/>
      <c r="C18" s="188"/>
      <c r="D18" s="182"/>
    </row>
    <row r="19" spans="1:8" ht="14.25" x14ac:dyDescent="0.2">
      <c r="A19" s="179" t="s">
        <v>191</v>
      </c>
      <c r="B19" s="180" t="s">
        <v>192</v>
      </c>
      <c r="C19" s="183">
        <f>ROUND(IF('3.CAGED'!C28&gt;24,(1-12/'3.CAGED'!C28)*0.1111,0.1111-C28),4)</f>
        <v>6.1899999999999997E-2</v>
      </c>
      <c r="D19" s="182"/>
    </row>
    <row r="20" spans="1:8" ht="14.25" x14ac:dyDescent="0.2">
      <c r="A20" s="179" t="s">
        <v>193</v>
      </c>
      <c r="B20" s="180" t="s">
        <v>194</v>
      </c>
      <c r="C20" s="183">
        <f>ROUND('3.CAGED'!C32/'3.CAGED'!C29,4)</f>
        <v>8.3299999999999999E-2</v>
      </c>
      <c r="D20" s="182"/>
    </row>
    <row r="21" spans="1:8" ht="14.25" x14ac:dyDescent="0.2">
      <c r="A21" s="179" t="s">
        <v>195</v>
      </c>
      <c r="B21" s="180" t="s">
        <v>196</v>
      </c>
      <c r="C21" s="183">
        <v>5.9999999999999995E-4</v>
      </c>
      <c r="D21" s="182"/>
    </row>
    <row r="22" spans="1:8" ht="14.25" x14ac:dyDescent="0.2">
      <c r="A22" s="179" t="s">
        <v>197</v>
      </c>
      <c r="B22" s="180" t="s">
        <v>198</v>
      </c>
      <c r="C22" s="183">
        <v>8.2000000000000007E-3</v>
      </c>
      <c r="D22" s="182"/>
    </row>
    <row r="23" spans="1:8" ht="14.25" x14ac:dyDescent="0.2">
      <c r="A23" s="179" t="s">
        <v>199</v>
      </c>
      <c r="B23" s="180" t="s">
        <v>200</v>
      </c>
      <c r="C23" s="183">
        <v>3.0999999999999999E-3</v>
      </c>
      <c r="D23" s="182"/>
    </row>
    <row r="24" spans="1:8" ht="14.25" x14ac:dyDescent="0.2">
      <c r="A24" s="179" t="s">
        <v>201</v>
      </c>
      <c r="B24" s="180" t="s">
        <v>202</v>
      </c>
      <c r="C24" s="183">
        <v>1.66E-2</v>
      </c>
      <c r="D24" s="182"/>
    </row>
    <row r="25" spans="1:8" ht="15" x14ac:dyDescent="0.2">
      <c r="A25" s="179" t="s">
        <v>203</v>
      </c>
      <c r="B25" s="184" t="s">
        <v>204</v>
      </c>
      <c r="C25" s="185">
        <f>SUM(C19:C24)</f>
        <v>0.17369999999999999</v>
      </c>
      <c r="D25" s="189"/>
    </row>
    <row r="26" spans="1:8" ht="15" x14ac:dyDescent="0.2">
      <c r="A26" s="186"/>
      <c r="B26" s="187"/>
      <c r="C26" s="188"/>
      <c r="D26" s="189"/>
    </row>
    <row r="27" spans="1:8" ht="14.25" x14ac:dyDescent="0.2">
      <c r="A27" s="179" t="s">
        <v>205</v>
      </c>
      <c r="B27" s="180" t="s">
        <v>206</v>
      </c>
      <c r="C27" s="183">
        <f>ROUND(('3.CAGED'!C33) *'3.CAGED'!C26/'3.CAGED'!C29,4)</f>
        <v>2.5600000000000001E-2</v>
      </c>
      <c r="D27" s="182"/>
      <c r="E27" s="190"/>
    </row>
    <row r="28" spans="1:8" ht="14.25" x14ac:dyDescent="0.2">
      <c r="A28" s="179" t="s">
        <v>207</v>
      </c>
      <c r="B28" s="180" t="s">
        <v>208</v>
      </c>
      <c r="C28" s="183">
        <f>ROUND(IF('3.CAGED'!C28&gt;12,12/'3.CAGED'!C28*0.1111,0.1111),4)</f>
        <v>4.9200000000000001E-2</v>
      </c>
      <c r="D28" s="182"/>
      <c r="H28" s="191"/>
    </row>
    <row r="29" spans="1:8" ht="14.25" x14ac:dyDescent="0.2">
      <c r="A29" s="179" t="s">
        <v>209</v>
      </c>
      <c r="B29" s="180" t="s">
        <v>210</v>
      </c>
      <c r="C29" s="183">
        <f>C27*C28</f>
        <v>1.2595200000000001E-3</v>
      </c>
      <c r="D29" s="182"/>
      <c r="E29" s="190"/>
    </row>
    <row r="30" spans="1:8" ht="14.25" x14ac:dyDescent="0.2">
      <c r="A30" s="179" t="s">
        <v>211</v>
      </c>
      <c r="B30" s="180" t="s">
        <v>212</v>
      </c>
      <c r="C30" s="183">
        <f>ROUND(('3.CAGED'!C29+'3.CAGED'!C30+'3.CAGED'!C32)/'3.CAGED'!C27*'3.CAGED'!C34*'3.CAGED'!C35*'3.CAGED'!C26/'3.CAGED'!C29,4)</f>
        <v>2.0500000000000001E-2</v>
      </c>
      <c r="D30" s="182"/>
      <c r="G30" s="190"/>
    </row>
    <row r="31" spans="1:8" ht="14.25" x14ac:dyDescent="0.2">
      <c r="A31" s="179" t="s">
        <v>213</v>
      </c>
      <c r="B31" s="180" t="s">
        <v>214</v>
      </c>
      <c r="C31" s="183">
        <f>ROUND(('3.CAGED'!C31/'3.CAGED'!C29)*'3.CAGED'!C26/12,4)</f>
        <v>1.8E-3</v>
      </c>
      <c r="D31" s="182"/>
    </row>
    <row r="32" spans="1:8" ht="15" x14ac:dyDescent="0.2">
      <c r="A32" s="179" t="s">
        <v>215</v>
      </c>
      <c r="B32" s="184" t="s">
        <v>216</v>
      </c>
      <c r="C32" s="185">
        <f>SUM(C27:C31)</f>
        <v>9.8359520000000006E-2</v>
      </c>
      <c r="D32" s="189"/>
    </row>
    <row r="33" spans="1:4" ht="15" x14ac:dyDescent="0.2">
      <c r="A33" s="186"/>
      <c r="B33" s="187"/>
      <c r="C33" s="188"/>
      <c r="D33" s="189"/>
    </row>
    <row r="34" spans="1:4" ht="14.25" x14ac:dyDescent="0.2">
      <c r="A34" s="179" t="s">
        <v>217</v>
      </c>
      <c r="B34" s="180" t="s">
        <v>218</v>
      </c>
      <c r="C34" s="183">
        <f>ROUND(C17*C25,4)</f>
        <v>6.3899999999999998E-2</v>
      </c>
      <c r="D34" s="182"/>
    </row>
    <row r="35" spans="1:4" ht="28.5" x14ac:dyDescent="0.2">
      <c r="A35" s="179" t="s">
        <v>219</v>
      </c>
      <c r="B35" s="192" t="s">
        <v>220</v>
      </c>
      <c r="C35" s="183">
        <f>ROUND((C27*C16),4)</f>
        <v>2E-3</v>
      </c>
      <c r="D35" s="182"/>
    </row>
    <row r="36" spans="1:4" ht="15" x14ac:dyDescent="0.2">
      <c r="A36" s="179" t="s">
        <v>221</v>
      </c>
      <c r="B36" s="184" t="s">
        <v>222</v>
      </c>
      <c r="C36" s="185">
        <f>SUM(C34:C35)</f>
        <v>6.59E-2</v>
      </c>
      <c r="D36" s="189"/>
    </row>
    <row r="37" spans="1:4" ht="15" x14ac:dyDescent="0.2">
      <c r="A37" s="193"/>
      <c r="B37" s="194" t="s">
        <v>223</v>
      </c>
      <c r="C37" s="195">
        <f>C36+C32+C25+C17</f>
        <v>0.70595951999999995</v>
      </c>
      <c r="D37" s="189"/>
    </row>
    <row r="38" spans="1:4" ht="15" x14ac:dyDescent="0.2">
      <c r="A38" s="182"/>
      <c r="B38" s="196"/>
      <c r="C38" s="197"/>
      <c r="D38" s="198"/>
    </row>
    <row r="39" spans="1:4" ht="14.25" x14ac:dyDescent="0.2">
      <c r="A39" s="182"/>
      <c r="B39" s="182"/>
      <c r="C39" s="199"/>
      <c r="D39" s="200"/>
    </row>
    <row r="40" spans="1:4" ht="14.25" x14ac:dyDescent="0.2">
      <c r="A40" s="182"/>
      <c r="B40" s="182"/>
      <c r="C40" s="199"/>
      <c r="D40" s="182"/>
    </row>
    <row r="41" spans="1:4" ht="14.25" x14ac:dyDescent="0.2">
      <c r="A41" s="182"/>
      <c r="B41" s="182"/>
      <c r="C41" s="199"/>
      <c r="D41" s="182"/>
    </row>
    <row r="42" spans="1:4" ht="14.25" x14ac:dyDescent="0.2">
      <c r="A42" s="182"/>
      <c r="B42" s="182"/>
      <c r="C42" s="199"/>
      <c r="D42" s="182"/>
    </row>
    <row r="43" spans="1:4" ht="15" x14ac:dyDescent="0.2">
      <c r="A43" s="182"/>
      <c r="B43" s="196"/>
      <c r="C43" s="197"/>
      <c r="D43" s="182"/>
    </row>
    <row r="44" spans="1:4" ht="15" x14ac:dyDescent="0.2">
      <c r="A44" s="189"/>
      <c r="B44" s="196"/>
      <c r="C44" s="197"/>
      <c r="D44" s="189"/>
    </row>
    <row r="45" spans="1:4" ht="16.5" x14ac:dyDescent="0.2">
      <c r="A45" s="201"/>
    </row>
    <row r="46" spans="1:4" x14ac:dyDescent="0.2">
      <c r="A46" s="202"/>
      <c r="B46" s="203"/>
      <c r="C46" s="203"/>
    </row>
    <row r="47" spans="1:4" ht="14.25" x14ac:dyDescent="0.2">
      <c r="A47" s="182"/>
      <c r="B47" s="204"/>
      <c r="C47" s="203"/>
    </row>
    <row r="48" spans="1:4" ht="14.25" x14ac:dyDescent="0.2">
      <c r="A48" s="182"/>
      <c r="B48" s="204"/>
      <c r="C48" s="182"/>
    </row>
    <row r="49" spans="1:3" ht="14.25" x14ac:dyDescent="0.2">
      <c r="A49" s="182"/>
      <c r="B49" s="199"/>
      <c r="C49" s="203"/>
    </row>
    <row r="50" spans="1:3" ht="14.25" x14ac:dyDescent="0.2">
      <c r="A50" s="182"/>
      <c r="B50" s="204"/>
      <c r="C50" s="182"/>
    </row>
    <row r="51" spans="1:3" ht="14.25" x14ac:dyDescent="0.2">
      <c r="A51" s="182"/>
      <c r="B51" s="199"/>
      <c r="C51" s="203"/>
    </row>
    <row r="52" spans="1:3" ht="14.25" x14ac:dyDescent="0.2">
      <c r="A52" s="182"/>
      <c r="B52" s="204"/>
      <c r="C52" s="182"/>
    </row>
    <row r="53" spans="1:3" ht="14.25" x14ac:dyDescent="0.2">
      <c r="A53" s="182"/>
      <c r="B53" s="199"/>
      <c r="C53" s="203"/>
    </row>
    <row r="54" spans="1:3" ht="14.25" x14ac:dyDescent="0.2">
      <c r="A54" s="182"/>
      <c r="B54" s="204"/>
      <c r="C54" s="182"/>
    </row>
    <row r="55" spans="1:3" ht="14.25" x14ac:dyDescent="0.2">
      <c r="A55" s="182"/>
      <c r="B55" s="199"/>
      <c r="C55" s="203"/>
    </row>
    <row r="56" spans="1:3" ht="16.5" x14ac:dyDescent="0.2">
      <c r="A56" s="201"/>
    </row>
    <row r="59" spans="1:3" x14ac:dyDescent="0.2">
      <c r="A59" s="139"/>
    </row>
  </sheetData>
  <mergeCells count="1">
    <mergeCell ref="A7:C7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35"/>
  <sheetViews>
    <sheetView view="pageBreakPreview" topLeftCell="A5" zoomScaleNormal="100" workbookViewId="0">
      <selection activeCell="C9" sqref="C9"/>
    </sheetView>
  </sheetViews>
  <sheetFormatPr defaultColWidth="9.140625" defaultRowHeight="12.75" x14ac:dyDescent="0.2"/>
  <cols>
    <col min="1" max="1" width="8.5703125" style="133" customWidth="1"/>
    <col min="2" max="2" width="67.140625" style="133" customWidth="1"/>
    <col min="3" max="3" width="13.7109375" style="133" customWidth="1"/>
    <col min="4" max="4" width="10.28515625" style="133" customWidth="1"/>
    <col min="5" max="5" width="13.7109375" style="133" customWidth="1"/>
    <col min="6" max="1024" width="9.140625" style="133"/>
  </cols>
  <sheetData>
    <row r="1" spans="1:3" x14ac:dyDescent="0.2">
      <c r="A1" s="205" t="s">
        <v>224</v>
      </c>
    </row>
    <row r="3" spans="1:3" x14ac:dyDescent="0.2">
      <c r="A3" s="206" t="s">
        <v>225</v>
      </c>
    </row>
    <row r="5" spans="1:3" x14ac:dyDescent="0.2">
      <c r="A5" s="206" t="s">
        <v>226</v>
      </c>
    </row>
    <row r="7" spans="1:3" ht="18" x14ac:dyDescent="0.25">
      <c r="B7" s="304" t="s">
        <v>227</v>
      </c>
      <c r="C7" s="304"/>
    </row>
    <row r="8" spans="1:3" ht="15" x14ac:dyDescent="0.25">
      <c r="B8" s="207" t="s">
        <v>228</v>
      </c>
      <c r="C8" s="208"/>
    </row>
    <row r="9" spans="1:3" ht="15" x14ac:dyDescent="0.25">
      <c r="B9" s="209" t="s">
        <v>229</v>
      </c>
      <c r="C9" s="210">
        <v>2100</v>
      </c>
    </row>
    <row r="10" spans="1:3" ht="15" x14ac:dyDescent="0.25">
      <c r="B10" s="211" t="s">
        <v>230</v>
      </c>
      <c r="C10" s="210">
        <v>2031</v>
      </c>
    </row>
    <row r="11" spans="1:3" ht="14.25" x14ac:dyDescent="0.2">
      <c r="B11" s="212" t="s">
        <v>231</v>
      </c>
      <c r="C11" s="213">
        <v>44</v>
      </c>
    </row>
    <row r="12" spans="1:3" ht="14.25" x14ac:dyDescent="0.2">
      <c r="B12" s="212" t="s">
        <v>232</v>
      </c>
      <c r="C12" s="213">
        <v>1192</v>
      </c>
    </row>
    <row r="13" spans="1:3" ht="14.25" x14ac:dyDescent="0.2">
      <c r="B13" s="212" t="s">
        <v>233</v>
      </c>
      <c r="C13" s="213">
        <v>372</v>
      </c>
    </row>
    <row r="14" spans="1:3" ht="14.25" x14ac:dyDescent="0.2">
      <c r="B14" s="212" t="s">
        <v>234</v>
      </c>
      <c r="C14" s="213">
        <v>22</v>
      </c>
    </row>
    <row r="15" spans="1:3" ht="14.25" x14ac:dyDescent="0.2">
      <c r="B15" s="212" t="s">
        <v>235</v>
      </c>
      <c r="C15" s="213">
        <v>350</v>
      </c>
    </row>
    <row r="16" spans="1:3" ht="14.25" x14ac:dyDescent="0.2">
      <c r="B16" s="212" t="s">
        <v>236</v>
      </c>
      <c r="C16" s="213">
        <v>1</v>
      </c>
    </row>
    <row r="17" spans="1:3" ht="14.25" x14ac:dyDescent="0.2">
      <c r="B17" s="212" t="s">
        <v>237</v>
      </c>
      <c r="C17" s="213">
        <v>30</v>
      </c>
    </row>
    <row r="18" spans="1:3" ht="14.25" x14ac:dyDescent="0.2">
      <c r="B18" s="214" t="s">
        <v>238</v>
      </c>
      <c r="C18" s="215">
        <v>0</v>
      </c>
    </row>
    <row r="19" spans="1:3" ht="14.25" x14ac:dyDescent="0.2">
      <c r="B19" s="216" t="s">
        <v>239</v>
      </c>
      <c r="C19" s="215">
        <v>0</v>
      </c>
    </row>
    <row r="20" spans="1:3" ht="15" x14ac:dyDescent="0.25">
      <c r="A20" s="133" t="s">
        <v>240</v>
      </c>
      <c r="B20" s="207" t="s">
        <v>241</v>
      </c>
      <c r="C20" s="208"/>
    </row>
    <row r="21" spans="1:3" ht="14.25" x14ac:dyDescent="0.2">
      <c r="B21" s="217" t="s">
        <v>242</v>
      </c>
      <c r="C21" s="218">
        <v>4625</v>
      </c>
    </row>
    <row r="22" spans="1:3" ht="14.25" x14ac:dyDescent="0.2">
      <c r="B22" s="212" t="s">
        <v>243</v>
      </c>
      <c r="C22" s="213">
        <v>4694</v>
      </c>
    </row>
    <row r="23" spans="1:3" ht="14.25" x14ac:dyDescent="0.2">
      <c r="B23" s="212" t="s">
        <v>244</v>
      </c>
      <c r="C23" s="219">
        <f>C9-C10</f>
        <v>69</v>
      </c>
    </row>
    <row r="24" spans="1:3" ht="14.25" x14ac:dyDescent="0.2">
      <c r="B24" s="220"/>
      <c r="C24" s="221"/>
    </row>
    <row r="25" spans="1:3" s="205" customFormat="1" ht="15" x14ac:dyDescent="0.25">
      <c r="B25" s="209" t="s">
        <v>245</v>
      </c>
      <c r="C25" s="222">
        <f>MEDIAN(C21,C22)</f>
        <v>4659.5</v>
      </c>
    </row>
    <row r="26" spans="1:3" ht="15" x14ac:dyDescent="0.25">
      <c r="B26" s="211" t="s">
        <v>246</v>
      </c>
      <c r="C26" s="223">
        <f>C12/C25</f>
        <v>0.25582144006867691</v>
      </c>
    </row>
    <row r="27" spans="1:3" ht="15" x14ac:dyDescent="0.25">
      <c r="B27" s="211" t="s">
        <v>247</v>
      </c>
      <c r="C27" s="223">
        <f>MEDIAN(C9,C10)/C25</f>
        <v>0.44328790642772831</v>
      </c>
    </row>
    <row r="28" spans="1:3" s="205" customFormat="1" ht="15" x14ac:dyDescent="0.25">
      <c r="B28" s="211" t="s">
        <v>248</v>
      </c>
      <c r="C28" s="224">
        <f>12/C27</f>
        <v>27.070442992011618</v>
      </c>
    </row>
    <row r="29" spans="1:3" ht="15" x14ac:dyDescent="0.25">
      <c r="B29" s="211" t="s">
        <v>249</v>
      </c>
      <c r="C29" s="225">
        <v>360</v>
      </c>
    </row>
    <row r="30" spans="1:3" ht="15" x14ac:dyDescent="0.25">
      <c r="B30" s="211" t="s">
        <v>250</v>
      </c>
      <c r="C30" s="225">
        <v>10</v>
      </c>
    </row>
    <row r="31" spans="1:3" ht="15" x14ac:dyDescent="0.25">
      <c r="B31" s="209" t="s">
        <v>251</v>
      </c>
      <c r="C31" s="226">
        <v>30</v>
      </c>
    </row>
    <row r="32" spans="1:3" ht="15" x14ac:dyDescent="0.25">
      <c r="B32" s="209" t="s">
        <v>252</v>
      </c>
      <c r="C32" s="226">
        <v>30</v>
      </c>
    </row>
    <row r="33" spans="2:4" s="205" customFormat="1" ht="15" x14ac:dyDescent="0.25">
      <c r="B33" s="209" t="s">
        <v>253</v>
      </c>
      <c r="C33" s="226">
        <f>30+(3*TRUNC(1/C27))</f>
        <v>36</v>
      </c>
    </row>
    <row r="34" spans="2:4" s="205" customFormat="1" ht="15" x14ac:dyDescent="0.25">
      <c r="B34" s="211" t="s">
        <v>188</v>
      </c>
      <c r="C34" s="227">
        <v>0.08</v>
      </c>
    </row>
    <row r="35" spans="2:4" s="205" customFormat="1" ht="15" x14ac:dyDescent="0.25">
      <c r="B35" s="228" t="s">
        <v>254</v>
      </c>
      <c r="C35" s="229">
        <v>0.4</v>
      </c>
      <c r="D35" s="205" t="s">
        <v>255</v>
      </c>
    </row>
  </sheetData>
  <mergeCells count="1">
    <mergeCell ref="B7:C7"/>
  </mergeCells>
  <pageMargins left="0.905555555555556" right="0.51180555555555596" top="0.74791666666666701" bottom="0.74791666666666701" header="0.511811023622047" footer="0.511811023622047"/>
  <pageSetup paperSize="9" scale="98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view="pageBreakPreview" topLeftCell="A9" zoomScaleNormal="100" workbookViewId="0">
      <selection activeCell="F30" sqref="F30"/>
    </sheetView>
  </sheetViews>
  <sheetFormatPr defaultColWidth="8.5703125" defaultRowHeight="12.75" x14ac:dyDescent="0.2"/>
  <cols>
    <col min="1" max="1" width="41.85546875" customWidth="1"/>
    <col min="2" max="2" width="5.5703125" customWidth="1"/>
    <col min="4" max="4" width="9.7109375" customWidth="1"/>
    <col min="5" max="5" width="8" style="230" customWidth="1"/>
    <col min="6" max="6" width="9.7109375" customWidth="1"/>
  </cols>
  <sheetData>
    <row r="1" spans="1:8" s="231" customFormat="1" ht="14.25" x14ac:dyDescent="0.2">
      <c r="A1" s="27" t="s">
        <v>0</v>
      </c>
      <c r="B1" s="13"/>
      <c r="C1" s="13"/>
      <c r="E1" s="232"/>
    </row>
    <row r="2" spans="1:8" s="231" customFormat="1" ht="14.25" x14ac:dyDescent="0.2">
      <c r="A2" s="177" t="s">
        <v>256</v>
      </c>
      <c r="B2" s="13"/>
      <c r="C2" s="13"/>
      <c r="E2" s="232"/>
    </row>
    <row r="3" spans="1:8" s="231" customFormat="1" ht="14.25" x14ac:dyDescent="0.2">
      <c r="A3" s="3" t="s">
        <v>257</v>
      </c>
      <c r="B3" s="13"/>
      <c r="C3" s="13"/>
      <c r="E3" s="232"/>
    </row>
    <row r="4" spans="1:8" s="231" customFormat="1" ht="14.25" x14ac:dyDescent="0.2">
      <c r="A4" s="3"/>
      <c r="B4" s="13"/>
      <c r="C4" s="13"/>
      <c r="E4" s="232"/>
    </row>
    <row r="5" spans="1:8" s="8" customFormat="1" ht="15" customHeight="1" x14ac:dyDescent="0.2">
      <c r="A5" s="6" t="s">
        <v>6</v>
      </c>
      <c r="B5" s="9"/>
      <c r="C5" s="9"/>
      <c r="D5" s="9"/>
      <c r="E5" s="9"/>
      <c r="F5" s="9"/>
      <c r="G5" s="10"/>
    </row>
    <row r="6" spans="1:8" s="8" customFormat="1" ht="16.5" customHeight="1" x14ac:dyDescent="0.2">
      <c r="A6" s="6" t="s">
        <v>7</v>
      </c>
      <c r="B6" s="9"/>
      <c r="C6" s="9"/>
      <c r="D6" s="10"/>
      <c r="E6" s="10"/>
      <c r="F6" s="10"/>
      <c r="G6" s="10"/>
    </row>
    <row r="7" spans="1:8" s="231" customFormat="1" ht="14.25" x14ac:dyDescent="0.2">
      <c r="B7" s="13"/>
      <c r="C7" s="13"/>
      <c r="E7" s="232"/>
    </row>
    <row r="8" spans="1:8" ht="15.75" x14ac:dyDescent="0.2">
      <c r="A8" s="305" t="s">
        <v>258</v>
      </c>
      <c r="B8" s="305"/>
      <c r="C8" s="305"/>
      <c r="D8" s="305"/>
      <c r="E8" s="305"/>
      <c r="F8" s="305"/>
    </row>
    <row r="9" spans="1:8" ht="15.75" x14ac:dyDescent="0.2">
      <c r="A9" s="233"/>
      <c r="B9" s="234"/>
      <c r="C9" s="234"/>
      <c r="D9" s="234"/>
      <c r="E9" s="234"/>
      <c r="F9" s="235"/>
    </row>
    <row r="10" spans="1:8" ht="15" x14ac:dyDescent="0.25">
      <c r="A10" s="236"/>
      <c r="B10" s="13"/>
      <c r="C10" s="13"/>
      <c r="D10" s="306" t="s">
        <v>259</v>
      </c>
      <c r="E10" s="306"/>
      <c r="F10" s="306"/>
      <c r="G10" s="231"/>
      <c r="H10" s="231"/>
    </row>
    <row r="11" spans="1:8" ht="14.25" x14ac:dyDescent="0.2">
      <c r="A11" s="220"/>
      <c r="B11" s="231"/>
      <c r="C11" s="231"/>
      <c r="D11" s="237" t="s">
        <v>260</v>
      </c>
      <c r="E11" s="238" t="s">
        <v>261</v>
      </c>
      <c r="F11" s="239" t="s">
        <v>262</v>
      </c>
      <c r="G11" s="231"/>
      <c r="H11" s="231"/>
    </row>
    <row r="12" spans="1:8" ht="14.25" x14ac:dyDescent="0.2">
      <c r="A12" s="240" t="s">
        <v>263</v>
      </c>
      <c r="B12" s="241" t="s">
        <v>264</v>
      </c>
      <c r="C12" s="242">
        <v>0.06</v>
      </c>
      <c r="D12" s="243">
        <v>2.9700000000000001E-2</v>
      </c>
      <c r="E12" s="244">
        <v>5.0799999999999998E-2</v>
      </c>
      <c r="F12" s="245">
        <v>6.2700000000000006E-2</v>
      </c>
      <c r="G12" s="231"/>
      <c r="H12" s="231"/>
    </row>
    <row r="13" spans="1:8" ht="14.25" x14ac:dyDescent="0.2">
      <c r="A13" s="246" t="s">
        <v>265</v>
      </c>
      <c r="B13" s="247" t="s">
        <v>266</v>
      </c>
      <c r="C13" s="248">
        <v>0.01</v>
      </c>
      <c r="D13" s="243">
        <f>0.3%+0.56%</f>
        <v>8.6E-3</v>
      </c>
      <c r="E13" s="244">
        <f>0.48%+0.85%</f>
        <v>1.3299999999999999E-2</v>
      </c>
      <c r="F13" s="245">
        <f>0.82%+0.89%</f>
        <v>1.7099999999999997E-2</v>
      </c>
      <c r="G13" s="231"/>
      <c r="H13" s="231"/>
    </row>
    <row r="14" spans="1:8" ht="14.25" x14ac:dyDescent="0.2">
      <c r="A14" s="246" t="s">
        <v>267</v>
      </c>
      <c r="B14" s="247" t="s">
        <v>268</v>
      </c>
      <c r="C14" s="248">
        <v>0.09</v>
      </c>
      <c r="D14" s="243">
        <v>7.7799999999999994E-2</v>
      </c>
      <c r="E14" s="244">
        <v>0.1085</v>
      </c>
      <c r="F14" s="245">
        <v>0.13550000000000001</v>
      </c>
      <c r="G14" s="231"/>
      <c r="H14" s="231"/>
    </row>
    <row r="15" spans="1:8" ht="14.25" x14ac:dyDescent="0.2">
      <c r="A15" s="246" t="s">
        <v>269</v>
      </c>
      <c r="B15" s="247" t="s">
        <v>270</v>
      </c>
      <c r="C15" s="249">
        <f>(1+E15)^(E16/252)-1</f>
        <v>5.5615169578488999E-3</v>
      </c>
      <c r="D15" s="243" t="s">
        <v>271</v>
      </c>
      <c r="E15" s="250">
        <v>0.15</v>
      </c>
      <c r="F15" s="251"/>
      <c r="G15" s="231"/>
      <c r="H15" s="231"/>
    </row>
    <row r="16" spans="1:8" ht="14.25" x14ac:dyDescent="0.2">
      <c r="A16" s="246" t="s">
        <v>272</v>
      </c>
      <c r="B16" s="307" t="s">
        <v>273</v>
      </c>
      <c r="C16" s="248">
        <v>0.02</v>
      </c>
      <c r="D16" s="252" t="s">
        <v>274</v>
      </c>
      <c r="E16" s="253">
        <v>10</v>
      </c>
      <c r="F16" s="219"/>
      <c r="G16" s="231"/>
      <c r="H16" s="231"/>
    </row>
    <row r="17" spans="1:8" ht="14.25" x14ac:dyDescent="0.2">
      <c r="A17" s="254" t="s">
        <v>275</v>
      </c>
      <c r="B17" s="307"/>
      <c r="C17" s="255">
        <v>3.6499999999999998E-2</v>
      </c>
      <c r="D17" s="212"/>
      <c r="E17" s="256"/>
      <c r="F17" s="219"/>
      <c r="G17" s="231"/>
      <c r="H17" s="231"/>
    </row>
    <row r="18" spans="1:8" ht="14.25" x14ac:dyDescent="0.2">
      <c r="A18" s="257" t="s">
        <v>276</v>
      </c>
      <c r="B18" s="258"/>
      <c r="C18" s="259"/>
      <c r="D18" s="212"/>
      <c r="E18" s="256"/>
      <c r="F18" s="219"/>
      <c r="G18" s="231"/>
      <c r="H18" s="231"/>
    </row>
    <row r="19" spans="1:8" ht="14.25" x14ac:dyDescent="0.2">
      <c r="A19" s="260" t="s">
        <v>277</v>
      </c>
      <c r="B19" s="261"/>
      <c r="C19" s="262"/>
      <c r="D19" s="212"/>
      <c r="E19" s="256"/>
      <c r="F19" s="219"/>
      <c r="G19" s="231"/>
      <c r="H19" s="231"/>
    </row>
    <row r="20" spans="1:8" ht="15" x14ac:dyDescent="0.2">
      <c r="A20" s="263" t="s">
        <v>278</v>
      </c>
      <c r="B20" s="264"/>
      <c r="C20" s="265">
        <f>ROUND((((1+C12+C13)*(1+C14)*(1+C15))/(1-(C16+C17))-1),4)</f>
        <v>0.24299999999999999</v>
      </c>
      <c r="D20" s="266">
        <v>0.21429999999999999</v>
      </c>
      <c r="E20" s="267">
        <v>0.2717</v>
      </c>
      <c r="F20" s="268">
        <v>0.3362</v>
      </c>
      <c r="G20" s="231"/>
      <c r="H20" s="231"/>
    </row>
    <row r="21" spans="1:8" ht="14.25" x14ac:dyDescent="0.2">
      <c r="A21" s="231"/>
      <c r="B21" s="231"/>
      <c r="C21" s="231"/>
      <c r="D21" s="231"/>
      <c r="E21" s="232"/>
      <c r="F21" s="231"/>
      <c r="G21" s="231"/>
      <c r="H21" s="231"/>
    </row>
    <row r="22" spans="1:8" ht="14.25" x14ac:dyDescent="0.2">
      <c r="A22" s="231"/>
      <c r="B22" s="231"/>
      <c r="C22" s="231"/>
      <c r="D22" s="231"/>
      <c r="E22" s="232"/>
      <c r="F22" s="231"/>
      <c r="G22" s="231"/>
      <c r="H22" s="231"/>
    </row>
    <row r="23" spans="1:8" ht="14.25" x14ac:dyDescent="0.2">
      <c r="A23" s="231"/>
      <c r="B23" s="231"/>
      <c r="C23" s="231"/>
      <c r="D23" s="231"/>
      <c r="E23" s="232"/>
      <c r="F23" s="231"/>
      <c r="G23" s="231"/>
      <c r="H23" s="231"/>
    </row>
    <row r="24" spans="1:8" ht="14.25" x14ac:dyDescent="0.2">
      <c r="A24" s="231"/>
      <c r="B24" s="231"/>
      <c r="C24" s="231"/>
      <c r="D24" s="231"/>
      <c r="E24" s="232"/>
      <c r="F24" s="231"/>
      <c r="G24" s="231"/>
      <c r="H24" s="231"/>
    </row>
  </sheetData>
  <mergeCells count="3">
    <mergeCell ref="A8:F8"/>
    <mergeCell ref="D10:F10"/>
    <mergeCell ref="B16:B17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7"/>
  <sheetViews>
    <sheetView view="pageBreakPreview" zoomScaleNormal="100" workbookViewId="0">
      <selection activeCell="AH4" sqref="AH4"/>
    </sheetView>
  </sheetViews>
  <sheetFormatPr defaultColWidth="9.140625" defaultRowHeight="12.75" x14ac:dyDescent="0.2"/>
  <cols>
    <col min="1" max="1" width="24.5703125" style="133" customWidth="1"/>
    <col min="2" max="2" width="20.85546875" style="133" customWidth="1"/>
    <col min="3" max="1024" width="9.140625" style="133"/>
  </cols>
  <sheetData>
    <row r="1" spans="1:2" ht="19.5" customHeight="1" x14ac:dyDescent="0.2">
      <c r="A1" s="308" t="s">
        <v>279</v>
      </c>
      <c r="B1" s="308"/>
    </row>
    <row r="2" spans="1:2" s="205" customFormat="1" ht="19.5" customHeight="1" x14ac:dyDescent="0.2">
      <c r="A2" s="269" t="s">
        <v>280</v>
      </c>
      <c r="B2" s="270" t="s">
        <v>281</v>
      </c>
    </row>
    <row r="3" spans="1:2" ht="19.5" customHeight="1" x14ac:dyDescent="0.2">
      <c r="A3" s="271">
        <v>1</v>
      </c>
      <c r="B3" s="272">
        <v>33.630000000000003</v>
      </c>
    </row>
    <row r="4" spans="1:2" ht="19.5" customHeight="1" x14ac:dyDescent="0.2">
      <c r="A4" s="271">
        <v>2</v>
      </c>
      <c r="B4" s="272">
        <v>43.13</v>
      </c>
    </row>
    <row r="5" spans="1:2" ht="19.5" customHeight="1" x14ac:dyDescent="0.2">
      <c r="A5" s="271">
        <v>3</v>
      </c>
      <c r="B5" s="272">
        <v>48.68</v>
      </c>
    </row>
    <row r="6" spans="1:2" ht="19.5" customHeight="1" x14ac:dyDescent="0.2">
      <c r="A6" s="271">
        <v>4</v>
      </c>
      <c r="B6" s="272">
        <v>52.62</v>
      </c>
    </row>
    <row r="7" spans="1:2" ht="19.5" customHeight="1" x14ac:dyDescent="0.2">
      <c r="A7" s="271">
        <v>5</v>
      </c>
      <c r="B7" s="272">
        <v>55.68</v>
      </c>
    </row>
    <row r="8" spans="1:2" ht="19.5" customHeight="1" x14ac:dyDescent="0.2">
      <c r="A8" s="271">
        <v>6</v>
      </c>
      <c r="B8" s="272">
        <v>58.18</v>
      </c>
    </row>
    <row r="9" spans="1:2" ht="19.5" customHeight="1" x14ac:dyDescent="0.2">
      <c r="A9" s="271">
        <v>7</v>
      </c>
      <c r="B9" s="272">
        <v>60.29</v>
      </c>
    </row>
    <row r="10" spans="1:2" ht="19.5" customHeight="1" x14ac:dyDescent="0.2">
      <c r="A10" s="271">
        <v>8</v>
      </c>
      <c r="B10" s="272">
        <v>62.12</v>
      </c>
    </row>
    <row r="11" spans="1:2" ht="19.5" customHeight="1" x14ac:dyDescent="0.2">
      <c r="A11" s="271">
        <v>9</v>
      </c>
      <c r="B11" s="272">
        <v>63.73</v>
      </c>
    </row>
    <row r="12" spans="1:2" ht="19.5" customHeight="1" x14ac:dyDescent="0.2">
      <c r="A12" s="271">
        <v>10</v>
      </c>
      <c r="B12" s="272">
        <v>65.180000000000007</v>
      </c>
    </row>
    <row r="13" spans="1:2" ht="19.5" customHeight="1" x14ac:dyDescent="0.2">
      <c r="A13" s="271">
        <v>11</v>
      </c>
      <c r="B13" s="272">
        <v>66.48</v>
      </c>
    </row>
    <row r="14" spans="1:2" ht="19.5" customHeight="1" x14ac:dyDescent="0.2">
      <c r="A14" s="271">
        <v>12</v>
      </c>
      <c r="B14" s="272">
        <v>67.67</v>
      </c>
    </row>
    <row r="15" spans="1:2" ht="19.5" customHeight="1" x14ac:dyDescent="0.2">
      <c r="A15" s="271">
        <v>13</v>
      </c>
      <c r="B15" s="272">
        <v>68.77</v>
      </c>
    </row>
    <row r="16" spans="1:2" ht="19.5" customHeight="1" x14ac:dyDescent="0.2">
      <c r="A16" s="271">
        <v>14</v>
      </c>
      <c r="B16" s="272">
        <v>69.790000000000006</v>
      </c>
    </row>
    <row r="17" spans="1:2" ht="19.5" customHeight="1" x14ac:dyDescent="0.2">
      <c r="A17" s="273">
        <v>15</v>
      </c>
      <c r="B17" s="274">
        <v>70.73</v>
      </c>
    </row>
  </sheetData>
  <mergeCells count="1">
    <mergeCell ref="A1:B1"/>
  </mergeCells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7"/>
  <sheetViews>
    <sheetView view="pageBreakPreview" zoomScaleNormal="100" workbookViewId="0">
      <selection activeCell="A24" sqref="A24"/>
    </sheetView>
  </sheetViews>
  <sheetFormatPr defaultColWidth="9.140625" defaultRowHeight="12.75" x14ac:dyDescent="0.2"/>
  <cols>
    <col min="1" max="1" width="70.42578125" style="133" customWidth="1"/>
    <col min="2" max="3" width="9.140625" style="133"/>
    <col min="4" max="4" width="12.85546875" style="133" customWidth="1"/>
    <col min="5" max="1024" width="9.140625" style="133"/>
  </cols>
  <sheetData>
    <row r="1" spans="1:1" ht="18" x14ac:dyDescent="0.25">
      <c r="A1" s="275" t="s">
        <v>282</v>
      </c>
    </row>
    <row r="2" spans="1:1" x14ac:dyDescent="0.2">
      <c r="A2" s="276"/>
    </row>
    <row r="3" spans="1:1" x14ac:dyDescent="0.2">
      <c r="A3" s="276" t="s">
        <v>283</v>
      </c>
    </row>
    <row r="4" spans="1:1" x14ac:dyDescent="0.2">
      <c r="A4" s="276"/>
    </row>
    <row r="5" spans="1:1" x14ac:dyDescent="0.2">
      <c r="A5" s="276"/>
    </row>
    <row r="6" spans="1:1" x14ac:dyDescent="0.2">
      <c r="A6" s="276"/>
    </row>
    <row r="7" spans="1:1" x14ac:dyDescent="0.2">
      <c r="A7" s="276"/>
    </row>
    <row r="8" spans="1:1" x14ac:dyDescent="0.2">
      <c r="A8" s="276"/>
    </row>
    <row r="9" spans="1:1" x14ac:dyDescent="0.2">
      <c r="A9" s="276"/>
    </row>
    <row r="10" spans="1:1" x14ac:dyDescent="0.2">
      <c r="A10" s="276"/>
    </row>
    <row r="11" spans="1:1" x14ac:dyDescent="0.2">
      <c r="A11" s="276"/>
    </row>
    <row r="12" spans="1:1" ht="19.5" x14ac:dyDescent="0.35">
      <c r="A12" s="277" t="s">
        <v>284</v>
      </c>
    </row>
    <row r="13" spans="1:1" ht="15" x14ac:dyDescent="0.2">
      <c r="A13" s="277" t="s">
        <v>285</v>
      </c>
    </row>
    <row r="14" spans="1:1" ht="15" x14ac:dyDescent="0.2">
      <c r="A14" s="277" t="s">
        <v>286</v>
      </c>
    </row>
    <row r="15" spans="1:1" ht="19.5" x14ac:dyDescent="0.35">
      <c r="A15" s="277" t="s">
        <v>287</v>
      </c>
    </row>
    <row r="16" spans="1:1" ht="19.5" x14ac:dyDescent="0.35">
      <c r="A16" s="277" t="s">
        <v>288</v>
      </c>
    </row>
    <row r="17" spans="1:1" ht="15" x14ac:dyDescent="0.2">
      <c r="A17" s="278" t="s">
        <v>289</v>
      </c>
    </row>
  </sheetData>
  <pageMargins left="0.905555555555556" right="0.51180555555555596" top="0.74791666666666701" bottom="0.74791666666666701" header="0.511811023622047" footer="0.511811023622047"/>
  <pageSetup paperSize="9" orientation="portrait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J24"/>
  <sheetViews>
    <sheetView view="pageBreakPreview" zoomScaleNormal="100" workbookViewId="0">
      <selection activeCell="C12" sqref="C12"/>
    </sheetView>
  </sheetViews>
  <sheetFormatPr defaultColWidth="9.140625" defaultRowHeight="12.75" x14ac:dyDescent="0.2"/>
  <cols>
    <col min="1" max="1" width="58.28515625" style="133" customWidth="1"/>
    <col min="2" max="2" width="11.140625" style="133" customWidth="1"/>
    <col min="3" max="3" width="11.28515625" style="133" customWidth="1"/>
    <col min="4" max="1024" width="9.140625" style="133"/>
  </cols>
  <sheetData>
    <row r="1" spans="1:7" x14ac:dyDescent="0.2">
      <c r="A1" s="27" t="s">
        <v>0</v>
      </c>
    </row>
    <row r="2" spans="1:7" x14ac:dyDescent="0.2">
      <c r="A2" s="177" t="s">
        <v>290</v>
      </c>
    </row>
    <row r="3" spans="1:7" x14ac:dyDescent="0.2">
      <c r="A3" s="177" t="s">
        <v>291</v>
      </c>
    </row>
    <row r="4" spans="1:7" x14ac:dyDescent="0.2">
      <c r="A4" s="3" t="s">
        <v>4</v>
      </c>
    </row>
    <row r="5" spans="1:7" x14ac:dyDescent="0.2">
      <c r="A5" s="3"/>
    </row>
    <row r="6" spans="1:7" s="8" customFormat="1" ht="15" customHeight="1" x14ac:dyDescent="0.2">
      <c r="A6" s="6" t="s">
        <v>6</v>
      </c>
      <c r="B6" s="9"/>
      <c r="C6" s="9"/>
      <c r="D6" s="9"/>
      <c r="E6" s="9"/>
      <c r="F6" s="9"/>
      <c r="G6" s="10"/>
    </row>
    <row r="7" spans="1:7" s="8" customFormat="1" ht="16.5" customHeight="1" x14ac:dyDescent="0.2">
      <c r="A7" s="6" t="s">
        <v>7</v>
      </c>
      <c r="B7" s="9"/>
      <c r="C7" s="9"/>
      <c r="D7" s="10"/>
      <c r="E7" s="10"/>
      <c r="F7" s="10"/>
      <c r="G7" s="10"/>
    </row>
    <row r="9" spans="1:7" ht="18" x14ac:dyDescent="0.25">
      <c r="A9" s="304" t="s">
        <v>292</v>
      </c>
      <c r="B9" s="304"/>
      <c r="C9" s="304"/>
    </row>
    <row r="10" spans="1:7" ht="18" x14ac:dyDescent="0.25">
      <c r="A10" s="279"/>
      <c r="B10" s="280"/>
      <c r="C10" s="281"/>
    </row>
    <row r="11" spans="1:7" s="205" customFormat="1" ht="15" x14ac:dyDescent="0.25">
      <c r="A11" s="282" t="s">
        <v>293</v>
      </c>
      <c r="B11" s="283" t="s">
        <v>294</v>
      </c>
      <c r="C11" s="284" t="s">
        <v>172</v>
      </c>
    </row>
    <row r="12" spans="1:7" ht="14.25" x14ac:dyDescent="0.2">
      <c r="A12" s="212" t="s">
        <v>295</v>
      </c>
      <c r="B12" s="285" t="s">
        <v>296</v>
      </c>
      <c r="C12" s="213">
        <v>813</v>
      </c>
    </row>
    <row r="13" spans="1:7" ht="14.25" x14ac:dyDescent="0.2">
      <c r="A13" s="212" t="s">
        <v>297</v>
      </c>
      <c r="B13" s="285" t="s">
        <v>298</v>
      </c>
      <c r="C13" s="286">
        <f>C14/C12</f>
        <v>3.837638376383764E-3</v>
      </c>
    </row>
    <row r="14" spans="1:7" ht="14.25" x14ac:dyDescent="0.2">
      <c r="A14" s="212" t="s">
        <v>299</v>
      </c>
      <c r="B14" s="285" t="s">
        <v>300</v>
      </c>
      <c r="C14" s="287">
        <v>3.12</v>
      </c>
    </row>
    <row r="15" spans="1:7" ht="14.25" x14ac:dyDescent="0.2">
      <c r="A15" s="212" t="s">
        <v>301</v>
      </c>
      <c r="B15" s="285" t="s">
        <v>302</v>
      </c>
      <c r="C15" s="288">
        <v>27.14</v>
      </c>
    </row>
    <row r="16" spans="1:7" ht="14.25" x14ac:dyDescent="0.2">
      <c r="A16" s="212" t="s">
        <v>303</v>
      </c>
      <c r="B16" s="285" t="s">
        <v>56</v>
      </c>
      <c r="C16" s="289">
        <v>2</v>
      </c>
    </row>
    <row r="17" spans="1:3" ht="14.25" x14ac:dyDescent="0.2">
      <c r="A17" s="212" t="s">
        <v>304</v>
      </c>
      <c r="B17" s="285" t="s">
        <v>300</v>
      </c>
      <c r="C17" s="287">
        <v>3.12</v>
      </c>
    </row>
    <row r="18" spans="1:3" ht="14.25" x14ac:dyDescent="0.2">
      <c r="A18" s="212" t="s">
        <v>305</v>
      </c>
      <c r="B18" s="285" t="s">
        <v>306</v>
      </c>
      <c r="C18" s="219">
        <v>500</v>
      </c>
    </row>
    <row r="19" spans="1:3" ht="14.25" x14ac:dyDescent="0.2">
      <c r="A19" s="212" t="s">
        <v>307</v>
      </c>
      <c r="B19" s="285"/>
      <c r="C19" s="213">
        <v>1</v>
      </c>
    </row>
    <row r="20" spans="1:3" ht="14.25" x14ac:dyDescent="0.2">
      <c r="A20" s="212" t="s">
        <v>308</v>
      </c>
      <c r="B20" s="285" t="s">
        <v>309</v>
      </c>
      <c r="C20" s="213">
        <v>12</v>
      </c>
    </row>
    <row r="21" spans="1:3" ht="14.25" x14ac:dyDescent="0.2">
      <c r="A21" s="212" t="s">
        <v>310</v>
      </c>
      <c r="B21" s="285" t="s">
        <v>302</v>
      </c>
      <c r="C21" s="219">
        <f>IF(AND(C20&gt;=15,C19=1),5.8,C20/2)</f>
        <v>6</v>
      </c>
    </row>
    <row r="22" spans="1:3" ht="14.25" x14ac:dyDescent="0.2">
      <c r="A22" s="212" t="s">
        <v>311</v>
      </c>
      <c r="B22" s="285"/>
      <c r="C22" s="287">
        <f>IFERROR(C17/C21,0)</f>
        <v>0.52</v>
      </c>
    </row>
    <row r="23" spans="1:3" ht="14.25" x14ac:dyDescent="0.2">
      <c r="A23" s="212" t="s">
        <v>312</v>
      </c>
      <c r="B23" s="285"/>
      <c r="C23" s="290">
        <v>1</v>
      </c>
    </row>
    <row r="24" spans="1:3" ht="14.25" x14ac:dyDescent="0.2">
      <c r="A24" s="291" t="s">
        <v>313</v>
      </c>
      <c r="B24" s="292"/>
      <c r="C24" s="293">
        <f>IFERROR(C22/C23,0)</f>
        <v>0.52</v>
      </c>
    </row>
  </sheetData>
  <mergeCells count="1">
    <mergeCell ref="A9:C9"/>
  </mergeCells>
  <conditionalFormatting sqref="C21">
    <cfRule type="expression" dxfId="0" priority="2">
      <formula>"SE(E(C20&gt;=15;C19=1))"</formula>
    </cfRule>
  </conditionalFormatting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5</vt:i4>
      </vt:variant>
    </vt:vector>
  </HeadingPairs>
  <TitlesOfParts>
    <vt:vector size="12" baseType="lpstr">
      <vt:lpstr>1. Coleta Domiciliar</vt:lpstr>
      <vt:lpstr>2.Encargos Sociais</vt:lpstr>
      <vt:lpstr>3.CAGED</vt:lpstr>
      <vt:lpstr>4.BDI</vt:lpstr>
      <vt:lpstr>5. Depreciação</vt:lpstr>
      <vt:lpstr>6.Remuneração de capital</vt:lpstr>
      <vt:lpstr>7. Dimensionamento</vt:lpstr>
      <vt:lpstr>AbaDeprec</vt:lpstr>
      <vt:lpstr>AbaRemun</vt:lpstr>
      <vt:lpstr>'1. Coleta Domiciliar'!Area_de_impressao</vt:lpstr>
      <vt:lpstr>'2.Encargos Sociais'!Area_de_impressao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subject/>
  <dc:creator>Flavia Burmeister Martins</dc:creator>
  <dc:description/>
  <cp:lastModifiedBy>Compras</cp:lastModifiedBy>
  <cp:revision>7</cp:revision>
  <cp:lastPrinted>2017-08-10T17:29:27Z</cp:lastPrinted>
  <dcterms:created xsi:type="dcterms:W3CDTF">2000-12-13T10:02:50Z</dcterms:created>
  <dcterms:modified xsi:type="dcterms:W3CDTF">2026-04-14T14:38:30Z</dcterms:modified>
  <dc:language>pt-BR</dc:language>
</cp:coreProperties>
</file>