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terra\usuarios$\69949719291\Desktop\6620\Documents\"/>
    </mc:Choice>
  </mc:AlternateContent>
  <xr:revisionPtr revIDLastSave="0" documentId="8_{FD775EB7-2C80-4251-9D09-512159C3359B}" xr6:coauthVersionLast="47" xr6:coauthVersionMax="47" xr10:uidLastSave="{00000000-0000-0000-0000-000000000000}"/>
  <bookViews>
    <workbookView xWindow="-120" yWindow="-120" windowWidth="29040" windowHeight="15840" tabRatio="802" xr2:uid="{00000000-000D-0000-FFFF-FFFF00000000}"/>
  </bookViews>
  <sheets>
    <sheet name="Resumo" sheetId="12" r:id="rId1"/>
    <sheet name="Coleta" sheetId="10" r:id="rId2"/>
    <sheet name="Transporte" sheetId="11" r:id="rId3"/>
    <sheet name="Encargos Sociais" sheetId="8" r:id="rId4"/>
    <sheet name="3.CAGED" sheetId="5" state="hidden" r:id="rId5"/>
    <sheet name="BDI" sheetId="4" r:id="rId6"/>
    <sheet name="Depreciação" sheetId="6" r:id="rId7"/>
    <sheet name="Remuneração de capital" sheetId="7" r:id="rId8"/>
    <sheet name="7. Dimensionamento" sheetId="9" state="hidden" r:id="rId9"/>
  </sheets>
  <externalReferences>
    <externalReference r:id="rId10"/>
  </externalReferences>
  <definedNames>
    <definedName name="AbaDeprec">Depreciação!$A$1</definedName>
    <definedName name="AbaRemun">'Remuneração de capital'!$A$1</definedName>
    <definedName name="_xlnm.Print_Area" localSheetId="1">Coleta!$A$1:$F$330</definedName>
    <definedName name="_xlnm.Print_Area" localSheetId="3">'Encargos Sociais'!$A$1:$C$35</definedName>
    <definedName name="_xlnm.Print_Area" localSheetId="0">Resumo!$A$1:$F$7</definedName>
    <definedName name="_xlnm.Print_Area" localSheetId="2">Transporte!$A$1:$F$335</definedName>
    <definedName name="_xlnm.Print_Titles" localSheetId="1">Coleta!$1:$6</definedName>
  </definedNames>
  <calcPr calcId="191029"/>
</workbook>
</file>

<file path=xl/calcChain.xml><?xml version="1.0" encoding="utf-8"?>
<calcChain xmlns="http://schemas.openxmlformats.org/spreadsheetml/2006/main">
  <c r="F323" i="11" l="1"/>
  <c r="F326" i="10"/>
  <c r="C221" i="10"/>
  <c r="D11" i="4"/>
  <c r="E11" i="4"/>
  <c r="F11" i="4"/>
  <c r="D335" i="10" l="1"/>
  <c r="D341" i="11"/>
  <c r="D321" i="11"/>
  <c r="C298" i="11"/>
  <c r="D298" i="11" s="1"/>
  <c r="E298" i="11" s="1"/>
  <c r="F299" i="11" s="1"/>
  <c r="F301" i="11" s="1"/>
  <c r="E29" i="11" s="1"/>
  <c r="E290" i="11"/>
  <c r="D287" i="11"/>
  <c r="E287" i="11" s="1"/>
  <c r="E286" i="11"/>
  <c r="C286" i="11"/>
  <c r="C288" i="11" s="1"/>
  <c r="E288" i="11" s="1"/>
  <c r="D289" i="11" s="1"/>
  <c r="E289" i="11" s="1"/>
  <c r="F281" i="11"/>
  <c r="F279" i="11"/>
  <c r="E278" i="11"/>
  <c r="E277" i="11"/>
  <c r="E276" i="11"/>
  <c r="E275" i="11"/>
  <c r="E274" i="11"/>
  <c r="C265" i="11"/>
  <c r="C263" i="11"/>
  <c r="E263" i="11" s="1"/>
  <c r="E261" i="11"/>
  <c r="D250" i="11"/>
  <c r="D248" i="11"/>
  <c r="D246" i="11"/>
  <c r="D244" i="11"/>
  <c r="C244" i="11"/>
  <c r="D242" i="11"/>
  <c r="C242" i="11"/>
  <c r="C246" i="11" s="1"/>
  <c r="E234" i="11"/>
  <c r="E232" i="11"/>
  <c r="C232" i="11"/>
  <c r="D231" i="11"/>
  <c r="C231" i="11"/>
  <c r="E231" i="11" s="1"/>
  <c r="D230" i="11"/>
  <c r="C230" i="11"/>
  <c r="E230" i="11" s="1"/>
  <c r="D233" i="11" s="1"/>
  <c r="E233" i="11" s="1"/>
  <c r="F234" i="11" s="1"/>
  <c r="E23" i="11" s="1"/>
  <c r="E226" i="11"/>
  <c r="C225" i="11"/>
  <c r="C220" i="11"/>
  <c r="D219" i="11"/>
  <c r="D214" i="11"/>
  <c r="E214" i="11" s="1"/>
  <c r="E210" i="11"/>
  <c r="C207" i="11"/>
  <c r="C206" i="11"/>
  <c r="C203" i="11"/>
  <c r="E203" i="11" s="1"/>
  <c r="C202" i="11"/>
  <c r="D201" i="11"/>
  <c r="C201" i="11"/>
  <c r="E201" i="11" s="1"/>
  <c r="D202" i="11" s="1"/>
  <c r="E202" i="11" s="1"/>
  <c r="E198" i="11"/>
  <c r="E188" i="11"/>
  <c r="C187" i="11"/>
  <c r="E186" i="11"/>
  <c r="E185" i="11"/>
  <c r="E184" i="11"/>
  <c r="E183" i="11"/>
  <c r="E182" i="11"/>
  <c r="E181" i="11"/>
  <c r="E180" i="11"/>
  <c r="D179" i="11"/>
  <c r="E179" i="11" s="1"/>
  <c r="E175" i="11"/>
  <c r="E173" i="11"/>
  <c r="E172" i="11"/>
  <c r="E171" i="11"/>
  <c r="E170" i="11"/>
  <c r="E169" i="11"/>
  <c r="E168" i="11"/>
  <c r="E167" i="11"/>
  <c r="E166" i="11"/>
  <c r="E165" i="11"/>
  <c r="E164" i="11"/>
  <c r="E163" i="11"/>
  <c r="E162" i="11"/>
  <c r="D174" i="11" s="1"/>
  <c r="E153" i="11"/>
  <c r="F153" i="11" s="1"/>
  <c r="C152" i="11"/>
  <c r="E152" i="11" s="1"/>
  <c r="E151" i="11"/>
  <c r="C150" i="11"/>
  <c r="E150" i="11" s="1"/>
  <c r="C145" i="11"/>
  <c r="E145" i="11" s="1"/>
  <c r="A145" i="11"/>
  <c r="A152" i="11" s="1"/>
  <c r="A144" i="11"/>
  <c r="A151" i="11" s="1"/>
  <c r="A143" i="11"/>
  <c r="A150" i="11" s="1"/>
  <c r="D138" i="11"/>
  <c r="E138" i="11" s="1"/>
  <c r="C138" i="11"/>
  <c r="D137" i="11"/>
  <c r="C137" i="11"/>
  <c r="C136" i="11"/>
  <c r="E130" i="11"/>
  <c r="C127" i="11"/>
  <c r="D125" i="11"/>
  <c r="E125" i="11" s="1"/>
  <c r="D122" i="11"/>
  <c r="E122" i="11" s="1"/>
  <c r="D121" i="11"/>
  <c r="E121" i="11" s="1"/>
  <c r="E119" i="11"/>
  <c r="E115" i="11"/>
  <c r="C112" i="11"/>
  <c r="C110" i="11"/>
  <c r="C107" i="11"/>
  <c r="D104" i="11"/>
  <c r="E104" i="11" s="1"/>
  <c r="C104" i="11"/>
  <c r="C101" i="11"/>
  <c r="D99" i="11"/>
  <c r="D110" i="11" s="1"/>
  <c r="E110" i="11" s="1"/>
  <c r="D98" i="11"/>
  <c r="D105" i="11" s="1"/>
  <c r="E105" i="11" s="1"/>
  <c r="E94" i="11"/>
  <c r="D89" i="11"/>
  <c r="E89" i="11" s="1"/>
  <c r="D86" i="11"/>
  <c r="E86" i="11" s="1"/>
  <c r="D85" i="11"/>
  <c r="E85" i="11" s="1"/>
  <c r="E83" i="11"/>
  <c r="E79" i="11"/>
  <c r="C76" i="11"/>
  <c r="C74" i="11"/>
  <c r="E74" i="11" s="1"/>
  <c r="C72" i="11"/>
  <c r="D70" i="11"/>
  <c r="E70" i="11" s="1"/>
  <c r="D69" i="11"/>
  <c r="C69" i="11"/>
  <c r="E69" i="11" s="1"/>
  <c r="D67" i="11"/>
  <c r="E67" i="11" s="1"/>
  <c r="C66" i="11"/>
  <c r="E66" i="11" s="1"/>
  <c r="D64" i="11"/>
  <c r="D66" i="11" s="1"/>
  <c r="E60" i="11"/>
  <c r="C57" i="11"/>
  <c r="E55" i="11"/>
  <c r="D53" i="11"/>
  <c r="E53" i="11" s="1"/>
  <c r="D52" i="11"/>
  <c r="E52" i="11" s="1"/>
  <c r="D54" i="11" s="1"/>
  <c r="E54" i="11" s="1"/>
  <c r="E51" i="11"/>
  <c r="A43" i="11"/>
  <c r="E39" i="11"/>
  <c r="A39" i="11"/>
  <c r="E38" i="11"/>
  <c r="A38" i="11"/>
  <c r="E37" i="11"/>
  <c r="C144" i="11" s="1"/>
  <c r="E144" i="11" s="1"/>
  <c r="A37" i="11"/>
  <c r="E36" i="11"/>
  <c r="A36" i="11"/>
  <c r="E35" i="11"/>
  <c r="C143" i="11" s="1"/>
  <c r="E143" i="11" s="1"/>
  <c r="F146" i="11" s="1"/>
  <c r="A35" i="11"/>
  <c r="A30" i="11"/>
  <c r="A29" i="11"/>
  <c r="A28" i="11"/>
  <c r="E27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D264" i="11" l="1"/>
  <c r="E264" i="11" s="1"/>
  <c r="D265" i="11" s="1"/>
  <c r="E265" i="11" s="1"/>
  <c r="F266" i="11" s="1"/>
  <c r="E26" i="11" s="1"/>
  <c r="E246" i="11"/>
  <c r="D251" i="11"/>
  <c r="E244" i="11"/>
  <c r="D187" i="11"/>
  <c r="E187" i="11" s="1"/>
  <c r="F188" i="11" s="1"/>
  <c r="E137" i="11"/>
  <c r="D101" i="11"/>
  <c r="E101" i="11" s="1"/>
  <c r="C216" i="11"/>
  <c r="C217" i="11" s="1"/>
  <c r="D218" i="11" s="1"/>
  <c r="E218" i="11" s="1"/>
  <c r="E56" i="11"/>
  <c r="E17" i="11"/>
  <c r="D87" i="11"/>
  <c r="E87" i="11" s="1"/>
  <c r="E90" i="11" s="1"/>
  <c r="D206" i="11"/>
  <c r="E206" i="11" s="1"/>
  <c r="D207" i="11" s="1"/>
  <c r="E207" i="11" s="1"/>
  <c r="E208" i="11" s="1"/>
  <c r="D209" i="11" s="1"/>
  <c r="E209" i="11" s="1"/>
  <c r="F210" i="11" s="1"/>
  <c r="C221" i="11"/>
  <c r="C222" i="11" s="1"/>
  <c r="D223" i="11" s="1"/>
  <c r="E223" i="11" s="1"/>
  <c r="F290" i="11"/>
  <c r="F292" i="11" s="1"/>
  <c r="E28" i="11" s="1"/>
  <c r="D123" i="11"/>
  <c r="E123" i="11" s="1"/>
  <c r="E126" i="11" s="1"/>
  <c r="D73" i="11"/>
  <c r="E73" i="11" s="1"/>
  <c r="E98" i="11"/>
  <c r="D136" i="11"/>
  <c r="E136" i="11" s="1"/>
  <c r="F139" i="11" s="1"/>
  <c r="D107" i="11"/>
  <c r="E107" i="11" s="1"/>
  <c r="E64" i="11"/>
  <c r="E75" i="11" s="1"/>
  <c r="D72" i="11"/>
  <c r="E72" i="11" s="1"/>
  <c r="C248" i="11"/>
  <c r="E248" i="11" s="1"/>
  <c r="C219" i="11"/>
  <c r="E219" i="11" s="1"/>
  <c r="D102" i="11"/>
  <c r="E102" i="11" s="1"/>
  <c r="E40" i="11"/>
  <c r="C174" i="11"/>
  <c r="E174" i="11" s="1"/>
  <c r="F175" i="11" s="1"/>
  <c r="C250" i="11"/>
  <c r="E250" i="11" s="1"/>
  <c r="E242" i="11"/>
  <c r="C256" i="11"/>
  <c r="E256" i="11" s="1"/>
  <c r="F257" i="11" s="1"/>
  <c r="E25" i="11" s="1"/>
  <c r="F190" i="11" l="1"/>
  <c r="E18" i="11" s="1"/>
  <c r="F252" i="11"/>
  <c r="E24" i="11" s="1"/>
  <c r="D127" i="11"/>
  <c r="E127" i="11" s="1"/>
  <c r="E128" i="11" s="1"/>
  <c r="D129" i="11" s="1"/>
  <c r="E129" i="11" s="1"/>
  <c r="F130" i="11" s="1"/>
  <c r="E21" i="11"/>
  <c r="E16" i="11"/>
  <c r="D91" i="11"/>
  <c r="D76" i="11"/>
  <c r="E76" i="11" s="1"/>
  <c r="E77" i="11" s="1"/>
  <c r="D78" i="11" s="1"/>
  <c r="E78" i="11" s="1"/>
  <c r="F79" i="11" s="1"/>
  <c r="E12" i="11" s="1"/>
  <c r="E224" i="11"/>
  <c r="D225" i="11" s="1"/>
  <c r="E225" i="11" s="1"/>
  <c r="F226" i="11" s="1"/>
  <c r="E22" i="11" s="1"/>
  <c r="D108" i="11"/>
  <c r="E108" i="11" s="1"/>
  <c r="E111" i="11" s="1"/>
  <c r="D57" i="11"/>
  <c r="E57" i="11" s="1"/>
  <c r="E58" i="11" s="1"/>
  <c r="D59" i="11" s="1"/>
  <c r="E59" i="11" s="1"/>
  <c r="F60" i="11" s="1"/>
  <c r="E11" i="11" s="1"/>
  <c r="D112" i="11" l="1"/>
  <c r="E112" i="11" s="1"/>
  <c r="E113" i="11"/>
  <c r="D114" i="11" s="1"/>
  <c r="E114" i="11" s="1"/>
  <c r="F115" i="11" s="1"/>
  <c r="E14" i="11" s="1"/>
  <c r="E15" i="11"/>
  <c r="E20" i="11"/>
  <c r="F269" i="11"/>
  <c r="E19" i="11" s="1"/>
  <c r="E277" i="10" l="1"/>
  <c r="E276" i="10"/>
  <c r="E275" i="10"/>
  <c r="E278" i="10"/>
  <c r="I262" i="10"/>
  <c r="I250" i="10"/>
  <c r="B239" i="10" l="1"/>
  <c r="C13" i="4" l="1"/>
  <c r="D231" i="10" l="1"/>
  <c r="E280" i="10" l="1"/>
  <c r="E279" i="10"/>
  <c r="D324" i="10" l="1"/>
  <c r="D215" i="10" l="1"/>
  <c r="E163" i="10"/>
  <c r="C204" i="10"/>
  <c r="D121" i="10"/>
  <c r="D85" i="10"/>
  <c r="D53" i="10"/>
  <c r="D52" i="10"/>
  <c r="C300" i="10" l="1"/>
  <c r="C138" i="10"/>
  <c r="C137" i="10"/>
  <c r="C136" i="10"/>
  <c r="D55" i="10"/>
  <c r="C72" i="10" l="1"/>
  <c r="E166" i="10"/>
  <c r="D138" i="10"/>
  <c r="D137" i="10"/>
  <c r="D136" i="10"/>
  <c r="D151" i="10"/>
  <c r="D152" i="10"/>
  <c r="D74" i="10" l="1"/>
  <c r="D187" i="10" l="1"/>
  <c r="E187" i="10" s="1"/>
  <c r="D186" i="10"/>
  <c r="E39" i="10" l="1"/>
  <c r="C145" i="10" s="1"/>
  <c r="N19" i="9"/>
  <c r="N18" i="9"/>
  <c r="N17" i="9"/>
  <c r="N16" i="9"/>
  <c r="N15" i="9"/>
  <c r="N14" i="9"/>
  <c r="N13" i="9"/>
  <c r="N12" i="9"/>
  <c r="N11" i="9"/>
  <c r="M20" i="9"/>
  <c r="N10" i="9"/>
  <c r="N9" i="9"/>
  <c r="N8" i="9"/>
  <c r="L20" i="9"/>
  <c r="L21" i="9" s="1"/>
  <c r="J14" i="9" s="1"/>
  <c r="J15" i="9" s="1"/>
  <c r="C14" i="9"/>
  <c r="A16" i="10"/>
  <c r="A15" i="10"/>
  <c r="A29" i="10"/>
  <c r="C152" i="10"/>
  <c r="A39" i="10"/>
  <c r="A145" i="10"/>
  <c r="A152" i="10" s="1"/>
  <c r="E121" i="10"/>
  <c r="E130" i="10"/>
  <c r="D125" i="10"/>
  <c r="E125" i="10" s="1"/>
  <c r="D122" i="10"/>
  <c r="E122" i="10" s="1"/>
  <c r="E119" i="10"/>
  <c r="E235" i="10"/>
  <c r="D89" i="10"/>
  <c r="C288" i="10"/>
  <c r="J16" i="9" l="1"/>
  <c r="J17" i="9" s="1"/>
  <c r="E138" i="10"/>
  <c r="D123" i="10"/>
  <c r="E123" i="10" s="1"/>
  <c r="E126" i="10" s="1"/>
  <c r="E186" i="10"/>
  <c r="E172" i="10"/>
  <c r="D300" i="10"/>
  <c r="E300" i="10" s="1"/>
  <c r="D127" i="10" l="1"/>
  <c r="F301" i="10"/>
  <c r="F303" i="10" l="1"/>
  <c r="E29" i="10" s="1"/>
  <c r="E292" i="10"/>
  <c r="E288" i="10"/>
  <c r="D289" i="10" s="1"/>
  <c r="E289" i="10" s="1"/>
  <c r="C266" i="10"/>
  <c r="C264" i="10"/>
  <c r="E264" i="10" s="1"/>
  <c r="E262" i="10"/>
  <c r="D251" i="10"/>
  <c r="D249" i="10"/>
  <c r="D247" i="10"/>
  <c r="D245" i="10"/>
  <c r="D243" i="10"/>
  <c r="C243" i="10"/>
  <c r="C251" i="10" s="1"/>
  <c r="E233" i="10"/>
  <c r="C232" i="10"/>
  <c r="C231" i="10"/>
  <c r="E227" i="10"/>
  <c r="C226" i="10"/>
  <c r="D220" i="10"/>
  <c r="E215" i="10"/>
  <c r="E211" i="10"/>
  <c r="C208" i="10"/>
  <c r="C207" i="10"/>
  <c r="E204" i="10"/>
  <c r="C203" i="10"/>
  <c r="C202" i="10"/>
  <c r="E199" i="10"/>
  <c r="E189" i="10"/>
  <c r="D185" i="10"/>
  <c r="E185" i="10" s="1"/>
  <c r="D184" i="10"/>
  <c r="E184" i="10" s="1"/>
  <c r="D183" i="10"/>
  <c r="E183" i="10" s="1"/>
  <c r="D182" i="10"/>
  <c r="E182" i="10" s="1"/>
  <c r="D181" i="10"/>
  <c r="E181" i="10" s="1"/>
  <c r="D180" i="10"/>
  <c r="E180" i="10" s="1"/>
  <c r="E175" i="10"/>
  <c r="E173" i="10"/>
  <c r="E171" i="10"/>
  <c r="E170" i="10"/>
  <c r="E169" i="10"/>
  <c r="E168" i="10"/>
  <c r="E167" i="10"/>
  <c r="E165" i="10"/>
  <c r="E164" i="10"/>
  <c r="E162" i="10"/>
  <c r="E153" i="10"/>
  <c r="A144" i="10"/>
  <c r="A151" i="10" s="1"/>
  <c r="A143" i="10"/>
  <c r="A150" i="10" s="1"/>
  <c r="E115" i="10"/>
  <c r="C110" i="10"/>
  <c r="C107" i="10"/>
  <c r="C104" i="10"/>
  <c r="C101" i="10"/>
  <c r="D99" i="10"/>
  <c r="D110" i="10" s="1"/>
  <c r="D98" i="10"/>
  <c r="E94" i="10"/>
  <c r="D86" i="10"/>
  <c r="E86" i="10" s="1"/>
  <c r="E85" i="10"/>
  <c r="E83" i="10"/>
  <c r="E79" i="10"/>
  <c r="C74" i="10"/>
  <c r="C69" i="10"/>
  <c r="C66" i="10"/>
  <c r="D64" i="10"/>
  <c r="E60" i="10"/>
  <c r="E53" i="10"/>
  <c r="E52" i="10"/>
  <c r="E51" i="10"/>
  <c r="A43" i="10"/>
  <c r="E38" i="10"/>
  <c r="A38" i="10"/>
  <c r="E37" i="10"/>
  <c r="C188" i="10" s="1"/>
  <c r="A37" i="10"/>
  <c r="E36" i="10"/>
  <c r="A36" i="10"/>
  <c r="E35" i="10"/>
  <c r="A35" i="10"/>
  <c r="A30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4" i="10"/>
  <c r="A13" i="10"/>
  <c r="A12" i="10"/>
  <c r="A11" i="10"/>
  <c r="A10" i="10"/>
  <c r="D104" i="10" l="1"/>
  <c r="D102" i="10"/>
  <c r="D101" i="10"/>
  <c r="E101" i="10" s="1"/>
  <c r="D67" i="10"/>
  <c r="E67" i="10" s="1"/>
  <c r="D66" i="10"/>
  <c r="E66" i="10" s="1"/>
  <c r="D69" i="10"/>
  <c r="E69" i="10" s="1"/>
  <c r="E152" i="10"/>
  <c r="E145" i="10"/>
  <c r="F281" i="10"/>
  <c r="F283" i="10" s="1"/>
  <c r="E27" i="10" s="1"/>
  <c r="D202" i="10"/>
  <c r="E202" i="10" s="1"/>
  <c r="D203" i="10" s="1"/>
  <c r="E203" i="10" s="1"/>
  <c r="E40" i="10"/>
  <c r="D70" i="10"/>
  <c r="E70" i="10" s="1"/>
  <c r="D72" i="10"/>
  <c r="E72" i="10" s="1"/>
  <c r="E104" i="10"/>
  <c r="D107" i="10"/>
  <c r="E107" i="10" s="1"/>
  <c r="E102" i="10"/>
  <c r="D105" i="10"/>
  <c r="E105" i="10" s="1"/>
  <c r="E251" i="10"/>
  <c r="D265" i="10"/>
  <c r="E265" i="10" s="1"/>
  <c r="D266" i="10" s="1"/>
  <c r="E266" i="10" s="1"/>
  <c r="F267" i="10" s="1"/>
  <c r="E26" i="10" s="1"/>
  <c r="D54" i="10"/>
  <c r="E54" i="10" s="1"/>
  <c r="E55" i="10" s="1"/>
  <c r="E56" i="10" s="1"/>
  <c r="C150" i="10"/>
  <c r="E150" i="10" s="1"/>
  <c r="F153" i="10" s="1"/>
  <c r="E232" i="10"/>
  <c r="D252" i="10"/>
  <c r="C249" i="10"/>
  <c r="E249" i="10" s="1"/>
  <c r="C257" i="10"/>
  <c r="E257" i="10" s="1"/>
  <c r="F258" i="10" s="1"/>
  <c r="E25" i="10" s="1"/>
  <c r="C174" i="10"/>
  <c r="C151" i="10"/>
  <c r="E151" i="10" s="1"/>
  <c r="E98" i="10"/>
  <c r="C144" i="10"/>
  <c r="E144" i="10" s="1"/>
  <c r="D174" i="10"/>
  <c r="E231" i="10"/>
  <c r="C247" i="10"/>
  <c r="E247" i="10" s="1"/>
  <c r="C220" i="10"/>
  <c r="E220" i="10" s="1"/>
  <c r="D87" i="10"/>
  <c r="E87" i="10" s="1"/>
  <c r="E89" i="10" s="1"/>
  <c r="D188" i="10"/>
  <c r="C222" i="10"/>
  <c r="D207" i="10"/>
  <c r="E207" i="10" s="1"/>
  <c r="D208" i="10" s="1"/>
  <c r="E208" i="10" s="1"/>
  <c r="C290" i="10"/>
  <c r="E290" i="10" s="1"/>
  <c r="D291" i="10" s="1"/>
  <c r="E291" i="10" s="1"/>
  <c r="F292" i="10" s="1"/>
  <c r="F294" i="10" s="1"/>
  <c r="E28" i="10" s="1"/>
  <c r="E64" i="10"/>
  <c r="E137" i="10"/>
  <c r="C143" i="10"/>
  <c r="E143" i="10" s="1"/>
  <c r="C217" i="10"/>
  <c r="E243" i="10"/>
  <c r="E136" i="10"/>
  <c r="C245" i="10"/>
  <c r="E245" i="10" s="1"/>
  <c r="C223" i="10" l="1"/>
  <c r="F139" i="10"/>
  <c r="E16" i="10" s="1"/>
  <c r="F146" i="10"/>
  <c r="E174" i="10"/>
  <c r="F175" i="10" s="1"/>
  <c r="E209" i="10"/>
  <c r="D210" i="10" s="1"/>
  <c r="E210" i="10" s="1"/>
  <c r="F211" i="10" s="1"/>
  <c r="D234" i="10"/>
  <c r="E90" i="10"/>
  <c r="D91" i="10" s="1"/>
  <c r="C218" i="10"/>
  <c r="D108" i="10"/>
  <c r="E108" i="10" s="1"/>
  <c r="E110" i="10" s="1"/>
  <c r="E111" i="10" s="1"/>
  <c r="D112" i="10" s="1"/>
  <c r="F253" i="10"/>
  <c r="D57" i="10"/>
  <c r="E188" i="10"/>
  <c r="F189" i="10" s="1"/>
  <c r="D73" i="10"/>
  <c r="E73" i="10" s="1"/>
  <c r="E74" i="10" s="1"/>
  <c r="D224" i="10" l="1"/>
  <c r="E224" i="10" s="1"/>
  <c r="D219" i="10"/>
  <c r="E219" i="10" s="1"/>
  <c r="E21" i="10"/>
  <c r="E17" i="10"/>
  <c r="E24" i="10"/>
  <c r="E234" i="10"/>
  <c r="F235" i="10" s="1"/>
  <c r="F191" i="10"/>
  <c r="E18" i="10" s="1"/>
  <c r="E75" i="10"/>
  <c r="E225" i="10" l="1"/>
  <c r="D226" i="10" s="1"/>
  <c r="E226" i="10" s="1"/>
  <c r="F227" i="10" s="1"/>
  <c r="E22" i="10" s="1"/>
  <c r="F270" i="10"/>
  <c r="E19" i="10" s="1"/>
  <c r="E23" i="10"/>
  <c r="E20" i="10" s="1"/>
  <c r="D76" i="10"/>
  <c r="C21" i="9"/>
  <c r="C23" i="5" l="1"/>
  <c r="C15" i="9" l="1"/>
  <c r="C17" i="9"/>
  <c r="C22" i="9" s="1"/>
  <c r="C24" i="9" s="1"/>
  <c r="C19" i="4" l="1"/>
  <c r="C308" i="11" s="1"/>
  <c r="C14" i="8"/>
  <c r="C25" i="5"/>
  <c r="C310" i="10" l="1"/>
  <c r="C27" i="5"/>
  <c r="C28" i="5" s="1"/>
  <c r="C26" i="5"/>
  <c r="C33" i="5" l="1"/>
  <c r="C32" i="8" s="1"/>
  <c r="C22" i="8"/>
  <c r="C31" i="8" s="1"/>
  <c r="C26" i="8" l="1"/>
  <c r="C29" i="8" s="1"/>
  <c r="C33" i="8"/>
  <c r="C34" i="8" l="1"/>
  <c r="C91" i="11" s="1"/>
  <c r="E91" i="11" s="1"/>
  <c r="E92" i="11" s="1"/>
  <c r="D93" i="11" s="1"/>
  <c r="E93" i="11" s="1"/>
  <c r="F94" i="11" s="1"/>
  <c r="E13" i="11" l="1"/>
  <c r="F155" i="11"/>
  <c r="C127" i="10"/>
  <c r="E127" i="10" s="1"/>
  <c r="E128" i="10" s="1"/>
  <c r="D129" i="10" s="1"/>
  <c r="E129" i="10" s="1"/>
  <c r="F130" i="10" s="1"/>
  <c r="E15" i="10" s="1"/>
  <c r="C112" i="10"/>
  <c r="E112" i="10" s="1"/>
  <c r="E113" i="10" s="1"/>
  <c r="D114" i="10" s="1"/>
  <c r="E114" i="10" s="1"/>
  <c r="F115" i="10" s="1"/>
  <c r="E14" i="10" s="1"/>
  <c r="C91" i="10"/>
  <c r="E91" i="10" s="1"/>
  <c r="E92" i="10" s="1"/>
  <c r="D93" i="10" s="1"/>
  <c r="E93" i="10" s="1"/>
  <c r="F94" i="10" s="1"/>
  <c r="E13" i="10" s="1"/>
  <c r="C57" i="10"/>
  <c r="E57" i="10" s="1"/>
  <c r="E58" i="10" s="1"/>
  <c r="D59" i="10" s="1"/>
  <c r="E59" i="10" s="1"/>
  <c r="F60" i="10" s="1"/>
  <c r="E11" i="10" s="1"/>
  <c r="C76" i="10"/>
  <c r="E76" i="10" s="1"/>
  <c r="E77" i="10" s="1"/>
  <c r="D78" i="10" s="1"/>
  <c r="E78" i="10" s="1"/>
  <c r="F79" i="10" s="1"/>
  <c r="F303" i="11" l="1"/>
  <c r="E10" i="11"/>
  <c r="F155" i="10"/>
  <c r="E12" i="10"/>
  <c r="D308" i="11" l="1"/>
  <c r="E308" i="11" s="1"/>
  <c r="F309" i="11" s="1"/>
  <c r="F311" i="11" s="1"/>
  <c r="E30" i="11" s="1"/>
  <c r="E31" i="11" s="1"/>
  <c r="G155" i="10"/>
  <c r="F305" i="10"/>
  <c r="E10" i="10"/>
  <c r="F30" i="11" l="1"/>
  <c r="F26" i="11"/>
  <c r="F14" i="11"/>
  <c r="F20" i="11"/>
  <c r="F21" i="11"/>
  <c r="F25" i="11"/>
  <c r="F16" i="11"/>
  <c r="F18" i="11"/>
  <c r="F17" i="11"/>
  <c r="F29" i="11"/>
  <c r="F19" i="11"/>
  <c r="F15" i="11"/>
  <c r="F28" i="11"/>
  <c r="F22" i="11"/>
  <c r="F24" i="11"/>
  <c r="F23" i="11"/>
  <c r="F12" i="11"/>
  <c r="F27" i="11"/>
  <c r="F11" i="11"/>
  <c r="F13" i="11"/>
  <c r="F10" i="11"/>
  <c r="F313" i="11"/>
  <c r="F317" i="11" s="1"/>
  <c r="F319" i="11" s="1"/>
  <c r="D310" i="10"/>
  <c r="E310" i="10" s="1"/>
  <c r="F311" i="10" s="1"/>
  <c r="F313" i="10" s="1"/>
  <c r="E30" i="10" s="1"/>
  <c r="F31" i="11" l="1"/>
  <c r="C328" i="11"/>
  <c r="E6" i="12"/>
  <c r="F6" i="12" s="1"/>
  <c r="F316" i="10"/>
  <c r="E31" i="10"/>
  <c r="F30" i="10" s="1"/>
  <c r="G316" i="10" l="1"/>
  <c r="F320" i="10"/>
  <c r="F322" i="10" s="1"/>
  <c r="C327" i="11" s="1"/>
  <c r="C329" i="11" s="1"/>
  <c r="D338" i="11" s="1"/>
  <c r="F29" i="10"/>
  <c r="F17" i="10"/>
  <c r="F23" i="10"/>
  <c r="F27" i="10"/>
  <c r="F20" i="10"/>
  <c r="F25" i="10"/>
  <c r="F18" i="10"/>
  <c r="F26" i="10"/>
  <c r="F28" i="10"/>
  <c r="F21" i="10"/>
  <c r="F19" i="10"/>
  <c r="F24" i="10"/>
  <c r="F16" i="10"/>
  <c r="F22" i="10"/>
  <c r="F14" i="10"/>
  <c r="F15" i="10"/>
  <c r="F13" i="10"/>
  <c r="F11" i="10"/>
  <c r="F12" i="10"/>
  <c r="F10" i="10"/>
  <c r="G322" i="10" l="1"/>
  <c r="E5" i="12"/>
  <c r="F31" i="10"/>
  <c r="F5" i="12" l="1"/>
  <c r="F7" i="1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Tiago Luiz Jankoski Bampi</author>
  </authors>
  <commentList>
    <comment ref="A8" authorId="0" shapeId="0" xr:uid="{00000000-0006-0000-0100-000001000000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" authorId="0" shapeId="0" xr:uid="{00000000-0006-0000-0100-00000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2" authorId="0" shapeId="0" xr:uid="{00000000-0006-0000-0100-000004000000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3" authorId="0" shapeId="0" xr:uid="{00000000-0006-0000-0100-000005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54" authorId="0" shapeId="0" xr:uid="{00000000-0006-0000-0100-000006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 shapeId="0" xr:uid="{00000000-0006-0000-0100-000007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9" authorId="0" shapeId="0" xr:uid="{00000000-0006-0000-0100-000008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65" authorId="0" shapeId="0" xr:uid="{00000000-0006-0000-0100-000009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67" authorId="0" shapeId="0" xr:uid="{00000000-0006-0000-0100-00000A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68" authorId="0" shapeId="0" xr:uid="{00000000-0006-0000-0100-00000B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70" authorId="0" shapeId="0" xr:uid="{00000000-0006-0000-0100-00000C0000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71" authorId="0" shapeId="0" xr:uid="{00000000-0006-0000-0100-00000D000000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73" authorId="0" shapeId="0" xr:uid="{00000000-0006-0000-0100-00000E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6" authorId="0" shapeId="0" xr:uid="{00000000-0006-0000-0100-00000F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78" authorId="0" shapeId="0" xr:uid="{00000000-0006-0000-0100-000010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83" authorId="0" shapeId="0" xr:uid="{00000000-0006-0000-0100-000011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84" authorId="0" shapeId="0" xr:uid="{00000000-0006-0000-0100-000012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85" authorId="0" shapeId="0" xr:uid="{00000000-0006-0000-0100-000013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86" authorId="0" shapeId="0" xr:uid="{00000000-0006-0000-0100-000014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87" authorId="0" shapeId="0" xr:uid="{00000000-0006-0000-0100-000015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8" authorId="0" shapeId="0" xr:uid="{00000000-0006-0000-0100-000016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89" authorId="0" shapeId="0" xr:uid="{00000000-0006-0000-0100-000017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91" authorId="0" shapeId="0" xr:uid="{00000000-0006-0000-0100-000018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93" authorId="0" shapeId="0" xr:uid="{00000000-0006-0000-0100-000019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100" authorId="0" shapeId="0" xr:uid="{00000000-0006-0000-0100-00001A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102" authorId="0" shapeId="0" xr:uid="{00000000-0006-0000-0100-00001B000000}">
      <text>
        <r>
          <rPr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103" authorId="0" shapeId="0" xr:uid="{00000000-0006-0000-0100-00001C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105" authorId="0" shapeId="0" xr:uid="{00000000-0006-0000-0100-00001D0000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106" authorId="0" shapeId="0" xr:uid="{00000000-0006-0000-0100-00001E000000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108" authorId="0" shapeId="0" xr:uid="{00000000-0006-0000-0100-00001F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9" authorId="0" shapeId="0" xr:uid="{00000000-0006-0000-0100-000020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12" authorId="0" shapeId="0" xr:uid="{00000000-0006-0000-0100-000021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14" authorId="0" shapeId="0" xr:uid="{00000000-0006-0000-0100-000022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19" authorId="0" shapeId="0" xr:uid="{00000000-0006-0000-0100-00002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120" authorId="0" shapeId="0" xr:uid="{00000000-0006-0000-0100-000024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121" authorId="0" shapeId="0" xr:uid="{00000000-0006-0000-0100-000025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122" authorId="0" shapeId="0" xr:uid="{00000000-0006-0000-0100-000026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123" authorId="0" shapeId="0" xr:uid="{00000000-0006-0000-0100-000027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4" authorId="0" shapeId="0" xr:uid="{00000000-0006-0000-0100-000028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25" authorId="0" shapeId="0" xr:uid="{00000000-0006-0000-0100-000029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127" authorId="0" shapeId="0" xr:uid="{00000000-0006-0000-0100-00002A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29" authorId="0" shapeId="0" xr:uid="{00000000-0006-0000-0100-00002B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34" authorId="0" shapeId="0" xr:uid="{00000000-0006-0000-0100-00002C000000}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135" authorId="0" shapeId="0" xr:uid="{00000000-0006-0000-0100-00002D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136" authorId="0" shapeId="0" xr:uid="{00000000-0006-0000-0100-00002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37" authorId="0" shapeId="0" xr:uid="{00000000-0006-0000-0100-00002F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38" authorId="0" shapeId="0" xr:uid="{00000000-0006-0000-0100-000030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43" authorId="0" shapeId="0" xr:uid="{00000000-0006-0000-0100-000031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44" authorId="0" shapeId="0" xr:uid="{00000000-0006-0000-0100-000032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45" authorId="0" shapeId="0" xr:uid="{00000000-0006-0000-0100-000033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50" authorId="0" shapeId="0" xr:uid="{00000000-0006-0000-0100-000034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51" authorId="0" shapeId="0" xr:uid="{00000000-0006-0000-0100-000035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52" authorId="0" shapeId="0" xr:uid="{00000000-0006-0000-0100-000036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C162" authorId="0" shapeId="0" xr:uid="{00000000-0006-0000-0100-000037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2" authorId="0" shapeId="0" xr:uid="{00000000-0006-0000-0100-00003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3" authorId="0" shapeId="0" xr:uid="{00000000-0006-0000-0100-000039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3" authorId="0" shapeId="0" xr:uid="{00000000-0006-0000-0100-00003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4" authorId="0" shapeId="0" xr:uid="{00000000-0006-0000-0100-00003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4" authorId="0" shapeId="0" xr:uid="{00000000-0006-0000-0100-00003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5" authorId="0" shapeId="0" xr:uid="{00000000-0006-0000-0100-00003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5" authorId="0" shapeId="0" xr:uid="{00000000-0006-0000-0100-00003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6" authorId="0" shapeId="0" xr:uid="{00000000-0006-0000-0100-00003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6" authorId="0" shapeId="0" xr:uid="{00000000-0006-0000-0100-000040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7" authorId="0" shapeId="0" xr:uid="{00000000-0006-0000-0100-00004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7" authorId="0" shapeId="0" xr:uid="{00000000-0006-0000-0100-000042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8" authorId="0" shapeId="0" xr:uid="{00000000-0006-0000-0100-00004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8" authorId="0" shapeId="0" xr:uid="{00000000-0006-0000-0100-000044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9" authorId="0" shapeId="0" xr:uid="{00000000-0006-0000-0100-00004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9" authorId="0" shapeId="0" xr:uid="{00000000-0006-0000-0100-000046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70" authorId="0" shapeId="0" xr:uid="{00000000-0006-0000-0100-000047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0" authorId="0" shapeId="0" xr:uid="{00000000-0006-0000-0100-00004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71" authorId="0" shapeId="0" xr:uid="{00000000-0006-0000-0100-000049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1" authorId="0" shapeId="0" xr:uid="{00000000-0006-0000-0100-00004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72" authorId="0" shapeId="0" xr:uid="{00000000-0006-0000-0100-00004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2" authorId="0" shapeId="0" xr:uid="{00000000-0006-0000-0100-00004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73" authorId="0" shapeId="0" xr:uid="{00000000-0006-0000-0100-00004D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180" authorId="0" shapeId="0" xr:uid="{00000000-0006-0000-0100-00004E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1" authorId="0" shapeId="0" xr:uid="{00000000-0006-0000-0100-00004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2" authorId="0" shapeId="0" xr:uid="{00000000-0006-0000-0100-000050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3" authorId="0" shapeId="0" xr:uid="{00000000-0006-0000-0100-00005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4" authorId="0" shapeId="0" xr:uid="{00000000-0006-0000-0100-000052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5" authorId="0" shapeId="0" xr:uid="{00000000-0006-0000-0100-00005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6" authorId="0" shapeId="0" xr:uid="{00000000-0006-0000-0100-000054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99" authorId="0" shapeId="0" xr:uid="{00000000-0006-0000-0100-000055000000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200" authorId="0" shapeId="0" xr:uid="{00000000-0006-0000-0100-000056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201" authorId="0" shapeId="0" xr:uid="{00000000-0006-0000-0100-000057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202" authorId="0" shapeId="0" xr:uid="{00000000-0006-0000-0100-000058000000}">
      <text>
        <r>
          <rPr>
            <b/>
            <sz val="9"/>
            <color indexed="81"/>
            <rFont val="Tahoma"/>
            <family val="2"/>
          </rPr>
          <t>Informar o valor da depreciação do caminhão, adotando o valor sugerido pelo TCE ou outro valor estimado.</t>
        </r>
      </text>
    </comment>
    <comment ref="D204" authorId="0" shapeId="0" xr:uid="{00000000-0006-0000-0100-000059000000}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205" authorId="0" shapeId="0" xr:uid="{00000000-0006-0000-0100-00005A000000}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206" authorId="0" shapeId="0" xr:uid="{00000000-0006-0000-0100-00005B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207" authorId="0" shapeId="0" xr:uid="{00000000-0006-0000-0100-00005C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0" authorId="0" shapeId="0" xr:uid="{00000000-0006-0000-0100-00005D000000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216" authorId="0" shapeId="0" xr:uid="{00000000-0006-0000-0100-00005E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2" authorId="0" shapeId="0" xr:uid="{00000000-0006-0000-0100-00005F000000}">
      <text>
        <r>
          <rPr>
            <sz val="9"/>
            <color indexed="81"/>
            <rFont val="Tahoma"/>
            <family val="2"/>
          </rPr>
          <t>Informar o valor do seguro obrigatório e licenciamento anual de um caminhão.</t>
        </r>
      </text>
    </comment>
    <comment ref="D233" authorId="0" shapeId="0" xr:uid="{00000000-0006-0000-0100-000060000000}">
      <text>
        <r>
          <rPr>
            <sz val="9"/>
            <color indexed="81"/>
            <rFont val="Tahoma"/>
            <family val="2"/>
          </rPr>
          <t>Informar o valor do seguro contra terceiros de um caminhão, se houver previsão no Projeto Básico.</t>
        </r>
      </text>
    </comment>
    <comment ref="B239" authorId="0" shapeId="0" xr:uid="{00000000-0006-0000-0100-000061000000}">
      <text>
        <r>
          <rPr>
            <sz val="9"/>
            <color indexed="81"/>
            <rFont val="Tahoma"/>
            <family val="2"/>
          </rPr>
          <t>Informar a quilometragem mensal percorrida, de acordo com o projeto básico.</t>
        </r>
      </text>
    </comment>
    <comment ref="C242" authorId="0" shapeId="0" xr:uid="{00000000-0006-0000-0100-000062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242" authorId="0" shapeId="0" xr:uid="{00000000-0006-0000-0100-000063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244" authorId="0" shapeId="0" xr:uid="{00000000-0006-0000-0100-000064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244" authorId="0" shapeId="0" xr:uid="{00000000-0006-0000-0100-000065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246" authorId="0" shapeId="0" xr:uid="{00000000-0006-0000-0100-000066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46" authorId="0" shapeId="0" xr:uid="{00000000-0006-0000-0100-000067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248" authorId="0" shapeId="0" xr:uid="{00000000-0006-0000-0100-000068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248" authorId="0" shapeId="0" xr:uid="{00000000-0006-0000-0100-000069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50" authorId="0" shapeId="0" xr:uid="{00000000-0006-0000-0100-00006A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250" authorId="0" shapeId="0" xr:uid="{00000000-0006-0000-0100-00006B000000}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257" authorId="0" shapeId="0" xr:uid="{00000000-0006-0000-0100-00006C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62" authorId="0" shapeId="0" xr:uid="{00000000-0006-0000-0100-00006D000000}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62" authorId="0" shapeId="0" xr:uid="{00000000-0006-0000-0100-00006E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63" authorId="0" shapeId="0" xr:uid="{00000000-0006-0000-0100-00006F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64" authorId="0" shapeId="0" xr:uid="{00000000-0006-0000-0100-000070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65" authorId="0" shapeId="0" xr:uid="{00000000-0006-0000-0100-000071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275" authorId="0" shapeId="0" xr:uid="{00000000-0006-0000-0100-000072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5" authorId="0" shapeId="0" xr:uid="{00000000-0006-0000-0100-000073000000}">
      <text>
        <r>
          <rPr>
            <sz val="9"/>
            <color indexed="81"/>
            <rFont val="Tahoma"/>
            <family val="2"/>
          </rPr>
          <t>Informar o valor unitário estimado para aquisição de cada material.</t>
        </r>
      </text>
    </comment>
    <comment ref="C276" authorId="0" shapeId="0" xr:uid="{00000000-0006-0000-0100-000074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6" authorId="0" shapeId="0" xr:uid="{00000000-0006-0000-0100-000075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77" authorId="0" shapeId="0" xr:uid="{00000000-0006-0000-0100-000076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7" authorId="0" shapeId="0" xr:uid="{00000000-0006-0000-0100-000077000000}">
      <text>
        <r>
          <rPr>
            <sz val="9"/>
            <color indexed="81"/>
            <rFont val="Tahoma"/>
            <family val="2"/>
          </rPr>
          <t>Informar o valor unitário estimado para aquisição de cada material.</t>
        </r>
      </text>
    </comment>
    <comment ref="C278" authorId="0" shapeId="0" xr:uid="{E6ED9607-7DE6-4581-A06C-743BB90577F9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279" authorId="0" shapeId="0" xr:uid="{00000000-0006-0000-0100-000078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9" authorId="0" shapeId="0" xr:uid="{00000000-0006-0000-0100-000079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80" authorId="0" shapeId="0" xr:uid="{00000000-0006-0000-0100-00007A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80" authorId="0" shapeId="0" xr:uid="{00000000-0006-0000-0100-00007B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85" authorId="0" shapeId="0" xr:uid="{00000000-0006-0000-0100-00007C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8" authorId="0" shapeId="0" xr:uid="{00000000-0006-0000-0100-00007D000000}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Básico.</t>
        </r>
      </text>
    </comment>
    <comment ref="D290" authorId="0" shapeId="0" xr:uid="{00000000-0006-0000-0100-00007E000000}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monitoramento.</t>
        </r>
      </text>
    </comment>
    <comment ref="A296" authorId="0" shapeId="0" xr:uid="{00000000-0006-0000-0100-00007F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9" authorId="1" shapeId="0" xr:uid="{00000000-0006-0000-0100-000080000000}">
      <text>
        <r>
          <rPr>
            <sz val="9"/>
            <color indexed="81"/>
            <rFont val="Arial"/>
            <family val="2"/>
          </rPr>
          <t>Informar a quantidade de pesagem diárias, se houver previsão no Projeto Básico.</t>
        </r>
      </text>
    </comment>
    <comment ref="D299" authorId="0" shapeId="0" xr:uid="{00000000-0006-0000-0100-000081000000}">
      <text>
        <r>
          <rPr>
            <sz val="9"/>
            <color indexed="81"/>
            <rFont val="Tahoma"/>
            <family val="2"/>
          </rPr>
          <t>Informar o valor por pesagem, se houver previsão no Projeto Básico</t>
        </r>
      </text>
    </comment>
    <comment ref="C310" authorId="0" shapeId="0" xr:uid="{00000000-0006-0000-0100-000082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324" authorId="0" shapeId="0" xr:uid="{00000000-0006-0000-0100-000083000000}">
      <text>
        <r>
          <rPr>
            <sz val="9"/>
            <color indexed="81"/>
            <rFont val="Tahoma"/>
            <family val="2"/>
          </rPr>
          <t>Informar a quantidade média coletada nos últimos 12 meses.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Tiago Luiz Jankoski Bampi</author>
  </authors>
  <commentList>
    <comment ref="A8" authorId="0" shapeId="0" xr:uid="{00343D14-2E22-4E0E-A761-887A3DBAFA3E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5" authorId="0" shapeId="0" xr:uid="{DD36865F-3683-4BCE-98E0-71E4633582C1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" authorId="0" shapeId="0" xr:uid="{69BC09E9-807B-44ED-BA61-581F05E7161F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2" authorId="0" shapeId="0" xr:uid="{DB221993-ED39-4F43-8F36-F6ED8CB03E33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3" authorId="0" shapeId="0" xr:uid="{DE31036C-920E-43EE-B289-7A3C6DA07B95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54" authorId="0" shapeId="0" xr:uid="{6F5047D6-1EEA-4989-8073-3BC1C3DA6657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 shapeId="0" xr:uid="{8DB04780-3AE9-4774-9A78-7796A4797762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9" authorId="0" shapeId="0" xr:uid="{20BCCB89-FE83-4189-A5A7-C9251EE1A7A2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65" authorId="0" shapeId="0" xr:uid="{DB050661-699A-46B6-83CD-5E748E799FC4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67" authorId="0" shapeId="0" xr:uid="{FE9A6048-6FF4-407B-B75A-C316224E5D64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68" authorId="0" shapeId="0" xr:uid="{9E96E1C5-5EF7-483E-92BA-795DE3318E22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70" authorId="0" shapeId="0" xr:uid="{FAAB325D-76A4-40AD-89EA-ADD37F0F3C39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71" authorId="0" shapeId="0" xr:uid="{4B0C3F44-4A73-4397-BDE6-CC0FA89E8B30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73" authorId="0" shapeId="0" xr:uid="{768949F1-4935-401A-8611-60F76193DCC8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6" authorId="0" shapeId="0" xr:uid="{9206CCC4-759A-4199-ABAC-A0D260AAC82A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78" authorId="0" shapeId="0" xr:uid="{31506731-8975-4AEB-AEC6-B5919688D558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83" authorId="0" shapeId="0" xr:uid="{540D88CB-4C63-4D30-B578-FCBD19BDD794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84" authorId="0" shapeId="0" xr:uid="{380E1FBA-CF7C-4B1B-8536-99D367BCFCEF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85" authorId="0" shapeId="0" xr:uid="{A82EDC39-0BF7-4608-B7F3-6332801D5052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86" authorId="0" shapeId="0" xr:uid="{CD053F47-C511-4A58-B167-AF28B1ACBFEB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87" authorId="0" shapeId="0" xr:uid="{F7D09B81-26C9-4F4B-A11D-D2FC2A90785D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8" authorId="0" shapeId="0" xr:uid="{B8E10277-4A86-40DB-B785-3F0C02A9B884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89" authorId="0" shapeId="0" xr:uid="{D93FE974-AA80-495C-A175-F5196449B75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91" authorId="0" shapeId="0" xr:uid="{B9424654-6963-444E-9E37-293F1D339D14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93" authorId="0" shapeId="0" xr:uid="{0BFD33F8-4112-4BEE-BD21-444DA6F65EE9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100" authorId="0" shapeId="0" xr:uid="{47C2499C-FF84-4278-8156-48DC963A419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102" authorId="0" shapeId="0" xr:uid="{61C4CD37-80A0-4249-B197-C2440ACC5561}">
      <text>
        <r>
          <rPr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103" authorId="0" shapeId="0" xr:uid="{242F7B21-AB77-464A-94AB-B0E02FF27317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105" authorId="0" shapeId="0" xr:uid="{248D5FDC-9DA0-4CA1-BD2F-7BEFA5772ACA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106" authorId="0" shapeId="0" xr:uid="{BF4B8127-594F-484C-85C7-C098E8D83C8E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108" authorId="0" shapeId="0" xr:uid="{EA7A7141-227F-48AE-86B7-6788E759A635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9" authorId="0" shapeId="0" xr:uid="{A3F7DD01-1BC1-4A10-AEA2-F9E1162FC6B3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12" authorId="0" shapeId="0" xr:uid="{0C3FD369-3365-48D0-9F99-0668E923BBC8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14" authorId="0" shapeId="0" xr:uid="{928B9E06-8FE3-412B-A30B-40F06B12DE5C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19" authorId="0" shapeId="0" xr:uid="{C2C7D3F7-CBCD-4164-B53C-E7A326902CE1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120" authorId="0" shapeId="0" xr:uid="{11C105CD-2ABD-46D8-9297-975FEB066C42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121" authorId="0" shapeId="0" xr:uid="{5F00709B-80BB-46F9-A929-1448DDDE65E3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122" authorId="0" shapeId="0" xr:uid="{AC42D91E-9105-43C3-A333-F1557627E651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123" authorId="0" shapeId="0" xr:uid="{F9C6F8BA-7E21-484D-9323-5379D9381969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4" authorId="0" shapeId="0" xr:uid="{375DBE1A-B38A-4297-ADFF-7E2EE646443B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25" authorId="0" shapeId="0" xr:uid="{BF3F5B96-CC60-4EA0-B078-AE67C91819AA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127" authorId="0" shapeId="0" xr:uid="{D2746DA0-C73C-43E6-A8F5-1AF632A633B1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29" authorId="0" shapeId="0" xr:uid="{CBF8EC60-1810-48E9-9A42-263D7DC7E222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34" authorId="0" shapeId="0" xr:uid="{9D512F3C-247C-4C23-ADA6-6F1E9DA67584}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135" authorId="0" shapeId="0" xr:uid="{6C85B72D-5A74-49F2-AEBE-51DB1ED2B309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136" authorId="0" shapeId="0" xr:uid="{4B9B2AC5-C303-4D0A-BAEC-15FDCA741045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37" authorId="0" shapeId="0" xr:uid="{96EF7771-6474-44D1-9426-A099C76687E2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38" authorId="0" shapeId="0" xr:uid="{B2B2FFA6-CEEA-4C2E-9ACB-AD5DB5F54746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43" authorId="0" shapeId="0" xr:uid="{0972459D-7CF2-4BFB-AC96-889D6EF0F431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44" authorId="0" shapeId="0" xr:uid="{CD810BDB-839D-47D0-AA18-25C62FDE4BE5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45" authorId="0" shapeId="0" xr:uid="{28CF6667-3D87-4759-B903-248FF23878E9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50" authorId="0" shapeId="0" xr:uid="{B4D5685C-C8F8-469A-ABF0-B152782E81C5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51" authorId="0" shapeId="0" xr:uid="{3E48F4DD-E8EE-4F76-9DCE-0FC8657C364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52" authorId="0" shapeId="0" xr:uid="{873531A7-CD18-41C3-8E60-C0105C456F9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C162" authorId="0" shapeId="0" xr:uid="{CFD1B823-C779-493E-9439-EEA064B26CD6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2" authorId="0" shapeId="0" xr:uid="{95B79E40-0277-49C8-BDA4-438152E584FB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3" authorId="0" shapeId="0" xr:uid="{9C8CD83A-8674-4D3A-92BB-FA0EA3A05CA5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3" authorId="0" shapeId="0" xr:uid="{D59EDA34-0C10-41D2-8882-7AE45BB21DB3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4" authorId="0" shapeId="0" xr:uid="{53526E05-8910-4A9C-A42C-81C0E79B6E14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4" authorId="0" shapeId="0" xr:uid="{D15CB9C2-E792-467D-8AF9-EF7A7EE90BB8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5" authorId="0" shapeId="0" xr:uid="{72CEB73B-E999-4F2C-AA4C-D26819C5A855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5" authorId="0" shapeId="0" xr:uid="{2690D7E8-E820-4EF7-B002-E982509C92C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6" authorId="0" shapeId="0" xr:uid="{0628A636-6B2A-4F35-8E59-8811722E9A1B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6" authorId="0" shapeId="0" xr:uid="{6710C3BB-4EAA-4B0A-B081-EF861126562B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7" authorId="0" shapeId="0" xr:uid="{7137FC4C-670C-4F0E-8893-FF210F468B63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7" authorId="0" shapeId="0" xr:uid="{A961779C-8515-4996-A23E-82CE5222C14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8" authorId="0" shapeId="0" xr:uid="{EDA9363C-6507-4475-BCD1-D09E9137A20C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8" authorId="0" shapeId="0" xr:uid="{6A233A00-6CE6-42BC-A285-F39837D1C585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9" authorId="0" shapeId="0" xr:uid="{CEB72042-9534-41CD-9DFC-44157A3CEDAE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9" authorId="0" shapeId="0" xr:uid="{4EBB7B81-8165-4CB0-8CE9-E5719D9F3FAE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70" authorId="0" shapeId="0" xr:uid="{4C0F122F-B3DD-4062-B740-A1746AD06A23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0" authorId="0" shapeId="0" xr:uid="{0C6E197B-D829-4F0A-B49F-6BF0D7B0273A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71" authorId="0" shapeId="0" xr:uid="{6CED3E39-EE8A-4E7D-BD09-630AB81A8737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1" authorId="0" shapeId="0" xr:uid="{2FC74F3C-222F-48BC-8129-5D1CDC13C4AF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72" authorId="0" shapeId="0" xr:uid="{B463C925-59D2-47BA-BF25-448F5A08658D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2" authorId="0" shapeId="0" xr:uid="{4BB1AC45-2156-42AA-8368-EBE93DD08AE7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73" authorId="0" shapeId="0" xr:uid="{234D7BD6-DB0B-4FF1-AB33-C51F83E2C42A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179" authorId="0" shapeId="0" xr:uid="{69B44A0E-8756-470B-9DC8-B148A5A83C2D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0" authorId="0" shapeId="0" xr:uid="{75535BA9-39B6-41E5-B8FC-C49BA661A0F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1" authorId="0" shapeId="0" xr:uid="{6511EE8C-51A9-419B-A413-3F17575F86B9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2" authorId="0" shapeId="0" xr:uid="{88176C9B-66BD-43B1-A80F-35558DE0D979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3" authorId="0" shapeId="0" xr:uid="{A095ADAD-3123-41AE-A373-EB571F187012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4" authorId="0" shapeId="0" xr:uid="{E3D4251C-49F8-4E28-A11D-F5F08ECC8DBA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5" authorId="0" shapeId="0" xr:uid="{F3CDCD79-789F-4A10-A8DA-0F45B06202DE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85" authorId="0" shapeId="0" xr:uid="{6F38C730-D149-44D9-B933-843435A3B375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86" authorId="0" shapeId="0" xr:uid="{D3A1759F-C86A-4BA6-A606-562B52D32C63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98" authorId="0" shapeId="0" xr:uid="{D268DDBE-E5B9-4495-A11B-E851E4E559BA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99" authorId="0" shapeId="0" xr:uid="{3687EA91-0DBF-4769-93C0-B868F81EBEB5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200" authorId="0" shapeId="0" xr:uid="{5351C33D-4E03-48B8-87FF-A7DC488B6C68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201" authorId="0" shapeId="0" xr:uid="{63AC2E03-26BC-47DC-90A8-8CF4B3F61E2D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3" authorId="0" shapeId="0" xr:uid="{1EAB0AD1-BCD0-4CC5-B5B7-B7D5F66512B3}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204" authorId="0" shapeId="0" xr:uid="{C1F2F491-28BA-4C9E-8318-2E1F0A335335}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205" authorId="0" shapeId="0" xr:uid="{3B8E1C9B-5391-45D9-B81E-7068EEEC61D4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206" authorId="0" shapeId="0" xr:uid="{91222879-30DB-42EC-9ECF-2A4C835001A2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9" authorId="0" shapeId="0" xr:uid="{527BA5A0-232F-4C3F-9B72-077CD5843213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215" authorId="0" shapeId="0" xr:uid="{48289C1D-815D-4CA5-B7AA-CE648B356145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1" authorId="0" shapeId="0" xr:uid="{09920EDB-5E00-4843-82B1-D1F571BC80CD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232" authorId="0" shapeId="0" xr:uid="{4A6F5E0A-2AA6-408C-B5AA-A60FA92331A7}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238" authorId="0" shapeId="0" xr:uid="{64CC2392-C7AB-455B-B283-7ED519B1C8DB}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241" authorId="0" shapeId="0" xr:uid="{C90588DE-8D6C-4F44-8EA3-DC7E3D8220CA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241" authorId="0" shapeId="0" xr:uid="{4A83A066-A602-49E1-BDA5-5913B59EE44C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243" authorId="0" shapeId="0" xr:uid="{4EBDD427-9713-42E0-8616-F8AF07FA3D5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243" authorId="0" shapeId="0" xr:uid="{406ACFF2-065B-4449-AE7C-E26641149A4E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245" authorId="0" shapeId="0" xr:uid="{ADFCA84C-A678-41AD-92A3-C10CAEE84722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45" authorId="0" shapeId="0" xr:uid="{26241911-268D-450D-93FA-FF1B0A8112F1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247" authorId="0" shapeId="0" xr:uid="{32F137D0-265E-490F-AA43-C421E8EF3CE5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247" authorId="0" shapeId="0" xr:uid="{C0CC67AC-28B5-4419-82AF-24077A90ECBC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49" authorId="0" shapeId="0" xr:uid="{08FC244B-EA54-45B8-9100-014D2E3E5CBD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249" authorId="0" shapeId="0" xr:uid="{D0FD23A8-3D99-46E2-A652-D5FD92827A07}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256" authorId="0" shapeId="0" xr:uid="{50C289F3-7BEE-4FF9-A0D1-963E79577124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61" authorId="0" shapeId="0" xr:uid="{99F3B21A-BBFF-423B-8995-EAFA9C9A828C}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61" authorId="0" shapeId="0" xr:uid="{9B4E33A5-426D-4893-AFA8-D01A4F7E436B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62" authorId="0" shapeId="0" xr:uid="{AE08F1E6-A952-4DCB-A6DB-755815938D81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63" authorId="0" shapeId="0" xr:uid="{F668A184-C79F-4D66-B5F4-A708282A869A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64" authorId="0" shapeId="0" xr:uid="{970A5E37-82A5-4ABD-A95A-AE4594774902}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274" authorId="0" shapeId="0" xr:uid="{AE5306FC-F670-4F98-B068-B5D5A3E90782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4" authorId="0" shapeId="0" xr:uid="{9DC05098-6C73-4FBA-A6DD-67CFB223EEAF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75" authorId="0" shapeId="0" xr:uid="{28733B5F-E492-4746-A1ED-74D9B0D87FB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5" authorId="0" shapeId="0" xr:uid="{168FF8B2-E01E-4A62-83C3-871D81A0F87F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76" authorId="0" shapeId="0" xr:uid="{18641625-E8D6-4229-89B6-6FFB794F24EE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6" authorId="0" shapeId="0" xr:uid="{C6AF101F-5625-4771-8BBA-D5E6A6B07C92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77" authorId="0" shapeId="0" xr:uid="{D6B3902A-105B-4EBF-966D-4F136EF546D9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7" authorId="0" shapeId="0" xr:uid="{5BAABDDA-F9D1-44FE-A2CE-709BF35C0ED6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78" authorId="0" shapeId="0" xr:uid="{38A5B285-5138-443F-9CCF-18880952B957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8" authorId="0" shapeId="0" xr:uid="{11636BEB-54E9-406B-9387-D2635A62A4E2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83" authorId="0" shapeId="0" xr:uid="{ADE83C30-0026-403B-ADD0-4C2125A61694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6" authorId="0" shapeId="0" xr:uid="{94D70C27-B15F-4CDD-919A-D0706C0F266C}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</t>
        </r>
      </text>
    </comment>
    <comment ref="D288" authorId="0" shapeId="0" xr:uid="{5701FAD6-0491-4F7A-AE2B-5C985266658C}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</t>
        </r>
      </text>
    </comment>
    <comment ref="A294" authorId="0" shapeId="0" xr:uid="{61A3404C-6386-49D4-867D-2A5ACDF593FC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7" authorId="1" shapeId="0" xr:uid="{BD951A7F-2965-4A2A-B439-D3B2E1A51F1A}">
      <text>
        <r>
          <rPr>
            <sz val="9"/>
            <color indexed="81"/>
            <rFont val="Arial"/>
            <family val="2"/>
          </rPr>
          <t>Informar a quantidade de pesagem diárias, se houver previsão no Projeto Básico.</t>
        </r>
      </text>
    </comment>
    <comment ref="D297" authorId="0" shapeId="0" xr:uid="{BA1E6B6C-4556-43E7-9D2C-D68C07794172}">
      <text>
        <r>
          <rPr>
            <sz val="9"/>
            <color indexed="81"/>
            <rFont val="Tahoma"/>
            <family val="2"/>
          </rPr>
          <t>Informar o valor por pesagem, se houver previsão no Projeto Básico</t>
        </r>
      </text>
    </comment>
    <comment ref="C308" authorId="0" shapeId="0" xr:uid="{3556F46E-6CF4-49C9-B514-58B51136E4AE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321" authorId="0" shapeId="0" xr:uid="{BC4B9475-1649-48D4-965F-2C2AEF719BC0}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Tiago Luiz Jankoski Bampi</author>
  </authors>
  <commentList>
    <comment ref="C10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4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1" shapeId="0" xr:uid="{5C70E952-20CA-41C9-9040-B8060DBB1B3D}">
      <text>
        <r>
          <rPr>
            <b/>
            <sz val="9"/>
            <color indexed="81"/>
            <rFont val="Segoe UI"/>
            <family val="2"/>
          </rPr>
          <t xml:space="preserve">Informar o valor estimado de PIS/COFINS. 
</t>
        </r>
        <r>
          <rPr>
            <sz val="9"/>
            <color indexed="81"/>
            <rFont val="Segoe UI"/>
            <family val="2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C16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>Informar a alíquota estimada do Simples Nacioinal.
Obs:</t>
        </r>
        <r>
          <rPr>
            <sz val="9"/>
            <color indexed="81"/>
            <rFont val="Tahoma"/>
            <family val="2"/>
          </rPr>
          <t xml:space="preserve"> Se optante pelo Simples Nacional, favor desconsiderar o lançamento de ISS, PIS e COFINS.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cbridi</author>
    <author>Clauber Bridi</author>
    <author>Omar</author>
  </authors>
  <commentList>
    <comment ref="C12" authorId="0" shapeId="0" xr:uid="{00000000-0006-0000-0700-000001000000}">
      <text>
        <r>
          <rPr>
            <sz val="8"/>
            <color indexed="81"/>
            <rFont val="Tahoma"/>
            <family val="2"/>
          </rPr>
          <t>Informar a população do município a ser atendida</t>
        </r>
      </text>
    </comment>
    <comment ref="C13" authorId="1" shapeId="0" xr:uid="{00000000-0006-0000-0700-000002000000}">
      <text>
        <r>
          <rPr>
            <b/>
            <sz val="9"/>
            <color indexed="81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4" authorId="2" shapeId="0" xr:uid="{00000000-0006-0000-0700-000003000000}">
      <text>
        <r>
          <rPr>
            <sz val="9"/>
            <color indexed="81"/>
            <rFont val="Tahoma"/>
            <family val="2"/>
          </rPr>
          <t>retorna a geração diária a ser recolhida</t>
        </r>
      </text>
    </comment>
    <comment ref="C16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Informe o número de dias de coleta por semana</t>
        </r>
      </text>
    </comment>
    <comment ref="C19" authorId="0" shapeId="0" xr:uid="{00000000-0006-0000-0700-000005000000}">
      <text>
        <r>
          <rPr>
            <sz val="8"/>
            <color indexed="81"/>
            <rFont val="Tahoma"/>
            <family val="2"/>
          </rPr>
          <t>Informar 1 para caminhão toco; Informar 2 para caminhão truck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  <comment ref="C20" authorId="0" shapeId="0" xr:uid="{00000000-0006-0000-0700-000006000000}">
      <text>
        <r>
          <rPr>
            <sz val="8"/>
            <color indexed="81"/>
            <rFont val="Tahoma"/>
            <family val="2"/>
          </rPr>
          <t>Informar a capacidade do compactador em m³</t>
        </r>
      </text>
    </comment>
    <comment ref="C23" authorId="1" shapeId="0" xr:uid="{00000000-0006-0000-0700-000007000000}">
      <text>
        <r>
          <rPr>
            <sz val="8"/>
            <color indexed="81"/>
            <rFont val="Tahoma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<sst xmlns="http://schemas.openxmlformats.org/spreadsheetml/2006/main" count="1213" uniqueCount="374">
  <si>
    <t>hora</t>
  </si>
  <si>
    <t>Adicional de Insalubridade</t>
  </si>
  <si>
    <t>%</t>
  </si>
  <si>
    <t>Soma</t>
  </si>
  <si>
    <t>Encargos Sociais</t>
  </si>
  <si>
    <t>Total do Efetivo</t>
  </si>
  <si>
    <t>homem</t>
  </si>
  <si>
    <t>Adicional Noturno</t>
  </si>
  <si>
    <t>mês</t>
  </si>
  <si>
    <t>vale</t>
  </si>
  <si>
    <t>unidade</t>
  </si>
  <si>
    <t>Colete reflexivo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</si>
  <si>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</si>
  <si>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</si>
  <si>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</si>
  <si>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</si>
  <si>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</si>
  <si>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</si>
  <si>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</si>
  <si>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</si>
  <si>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</si>
  <si>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</si>
  <si>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</si>
  <si>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</si>
  <si>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</si>
  <si>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</si>
  <si>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</si>
  <si>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toneladas</t>
  </si>
  <si>
    <t>Calça</t>
  </si>
  <si>
    <t>Camiseta</t>
  </si>
  <si>
    <t>Boné</t>
  </si>
  <si>
    <t>Luva de proteção</t>
  </si>
  <si>
    <t>R$/tonelada</t>
  </si>
  <si>
    <t>R$</t>
  </si>
  <si>
    <t>Horas Extras (100%)</t>
  </si>
  <si>
    <t>Horas Extras (50%)</t>
  </si>
  <si>
    <t>Benefícios e despesas indiretas</t>
  </si>
  <si>
    <t>Custo mensal com manutenção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</si>
  <si>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</si>
  <si>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</si>
  <si>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</si>
  <si>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</si>
  <si>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</si>
  <si>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</si>
  <si>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</si>
  <si>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</si>
  <si>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</si>
  <si>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</si>
  <si>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</si>
  <si>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</si>
  <si>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</si>
  <si>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</si>
  <si>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</si>
  <si>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</si>
  <si>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</si>
  <si>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</si>
  <si>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cj</t>
  </si>
  <si>
    <t>Total de mão-de-obra (postos de trabalho)</t>
  </si>
  <si>
    <t>Custo mensal com implantação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</si>
  <si>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</si>
  <si>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</si>
  <si>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</si>
  <si>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</si>
  <si>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</si>
  <si>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</si>
  <si>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</si>
  <si>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</si>
  <si>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Botina de segurança c/ palmilha aço</t>
  </si>
  <si>
    <t>Custo de recapagem</t>
  </si>
  <si>
    <t>Total por Coletor</t>
  </si>
  <si>
    <t>Coletor</t>
  </si>
  <si>
    <t>4. Ferramentas e Materiais de Consumo</t>
  </si>
  <si>
    <t>5. Monitoramento da Frota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</si>
  <si>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</si>
  <si>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</si>
  <si>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</si>
  <si>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</si>
  <si>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</si>
  <si>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</si>
  <si>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</si>
  <si>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</si>
  <si>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</si>
  <si>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</si>
  <si>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</si>
  <si>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</si>
  <si>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</si>
  <si>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</si>
  <si>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1.2. Coletor Turno Noite</t>
  </si>
  <si>
    <t>Vale Transporte</t>
  </si>
  <si>
    <t>Dias Trabalhados por mês</t>
  </si>
  <si>
    <t>dia</t>
  </si>
  <si>
    <t>Custo Mensal com Mão-de-obra (R$/mês)</t>
  </si>
  <si>
    <t>Meia de algodão com cano alto</t>
  </si>
  <si>
    <t>Quantitativos</t>
  </si>
  <si>
    <t>horas trabalhadas</t>
  </si>
  <si>
    <t>Horas Extras Noturnas (100%)</t>
  </si>
  <si>
    <t>1.1. Coletor Turno Dia</t>
  </si>
  <si>
    <t>1.3. Motorista Turno do Dia</t>
  </si>
  <si>
    <t>1.4. Motorista Turno Noite</t>
  </si>
  <si>
    <t>hora contabilizada</t>
  </si>
  <si>
    <t>Vida útil do chassis</t>
  </si>
  <si>
    <t>anos</t>
  </si>
  <si>
    <t>Vida útil do compactador</t>
  </si>
  <si>
    <t>Depreciação do compactador</t>
  </si>
  <si>
    <t>Depreciação do chassis</t>
  </si>
  <si>
    <t>Custo de aquisição do compactador</t>
  </si>
  <si>
    <t>Depreciação mensal do compactador</t>
  </si>
  <si>
    <t>i = taxa de juros do mercado (sugere-se adotar a taxa SELIC)</t>
  </si>
  <si>
    <t>n = vida útil do bem em anos</t>
  </si>
  <si>
    <t>Custo do chassis</t>
  </si>
  <si>
    <t>Custo do compactador</t>
  </si>
  <si>
    <t>3.1.2. Remuneração do Capital</t>
  </si>
  <si>
    <t>Im = investimento médio</t>
  </si>
  <si>
    <t>Remuneração mensal de capital do compactador</t>
  </si>
  <si>
    <t>Investimento médio total do chassis</t>
  </si>
  <si>
    <t>Remuneração mensal de capital do chassis</t>
  </si>
  <si>
    <t>Investimento médio total do compactador</t>
  </si>
  <si>
    <t>Custo de manutenção dos caminhões</t>
  </si>
  <si>
    <t>R$/km rodado</t>
  </si>
  <si>
    <t>Número de recapagens por pneu</t>
  </si>
  <si>
    <t>1.6. Vale-refeição (diário)</t>
  </si>
  <si>
    <t>1.7. Auxílio Alimentação (mensal)</t>
  </si>
  <si>
    <t>R$ mensal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</si>
  <si>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</si>
  <si>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</si>
  <si>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</si>
  <si>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</si>
  <si>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</si>
  <si>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</si>
  <si>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</si>
  <si>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</si>
  <si>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</si>
  <si>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</si>
  <si>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</si>
  <si>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</si>
  <si>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Dias ano</t>
  </si>
  <si>
    <t>Estoque Médio</t>
  </si>
  <si>
    <t>Multa FGTS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</si>
  <si>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</si>
  <si>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</si>
  <si>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</si>
  <si>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</si>
  <si>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</si>
  <si>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</si>
  <si>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</si>
  <si>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</si>
  <si>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</si>
  <si>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</si>
  <si>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</si>
  <si>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</si>
  <si>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</si>
  <si>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</si>
  <si>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</si>
  <si>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</si>
  <si>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</si>
  <si>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</si>
  <si>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</si>
  <si>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</si>
  <si>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</si>
  <si>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</si>
  <si>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</si>
  <si>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</si>
  <si>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</si>
  <si>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</si>
  <si>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</si>
  <si>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</si>
  <si>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</si>
  <si>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</si>
  <si>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</si>
  <si>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</si>
  <si>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</si>
  <si>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</si>
  <si>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</si>
  <si>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</si>
  <si>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</si>
  <si>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</si>
  <si>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</si>
  <si>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</si>
  <si>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</si>
  <si>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</si>
  <si>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</si>
  <si>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</si>
  <si>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</si>
  <si>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</si>
  <si>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</si>
  <si>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</si>
  <si>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</si>
  <si>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</si>
  <si>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</si>
  <si>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</si>
  <si>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</si>
  <si>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</si>
  <si>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</si>
  <si>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Higienização de uniformes e EPIs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</si>
  <si>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</si>
  <si>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</si>
  <si>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</si>
  <si>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</si>
  <si>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</si>
  <si>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</si>
  <si>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Excluir esta linha caso a contratação seja por preço global mensal</t>
  </si>
  <si>
    <t>Rio Grande do Sul  - Coleta de Resíduos Não-Perigosos - CNAE 38114</t>
  </si>
  <si>
    <t>Idade do veículo (ano)</t>
  </si>
  <si>
    <t>Idade do veículo</t>
  </si>
  <si>
    <t>Idade do compactador</t>
  </si>
  <si>
    <t>Valor do veículo proposto (V0)</t>
  </si>
  <si>
    <t>Valor do compactador proposto (V0)</t>
  </si>
  <si>
    <t>Taxa de juros anual nominal</t>
  </si>
  <si>
    <t>Piso da categoria</t>
  </si>
  <si>
    <t>Base de cálculo da Insalubridade</t>
  </si>
  <si>
    <t>Horas Extras Noturnas (50%)</t>
  </si>
  <si>
    <t>Excluir esta linha caso a contratação não tenha previsão de horas extras explícita no edital</t>
  </si>
  <si>
    <t>Descanso Semanal Remunerado (DSR) - hora extra</t>
  </si>
  <si>
    <t>C2</t>
  </si>
  <si>
    <t>B3</t>
  </si>
  <si>
    <t>Custo Mensal com Monitoramento da Frota (R$/mês)</t>
  </si>
  <si>
    <t>Implantação dos equipamentos de monitoramento</t>
  </si>
  <si>
    <t>Manutenção dos equipamentos de monitoramento</t>
  </si>
  <si>
    <t>Custo Mensal com Veículos e Equipamentos (R$/mês)</t>
  </si>
  <si>
    <t>Custo Mensal com Ferramentas e Materiais de Consumo (R$/mês)</t>
  </si>
  <si>
    <t>CUSTO TOTAL MENSAL COM DESPESAS OPERACIONAIS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</si>
  <si>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</si>
  <si>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</si>
  <si>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</si>
  <si>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</si>
  <si>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</si>
  <si>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</si>
  <si>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</si>
  <si>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</si>
  <si>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</si>
  <si>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</si>
  <si>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</si>
  <si>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</si>
  <si>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</si>
  <si>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</si>
  <si>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CÁLCULO DAS VERBAS INDENIZATÓRIAS DOS EMPREGADOS NO SETOR DE COLETA DE RSU</t>
  </si>
  <si>
    <t>1/3 de férias (dias)</t>
  </si>
  <si>
    <t>Férias (dias)</t>
  </si>
  <si>
    <t>13º Salário (dias)</t>
  </si>
  <si>
    <t>1. Preencha previamente os dados de entrada na planilha 3.CAGED</t>
  </si>
  <si>
    <t>Rotatividade temporal (meses)</t>
  </si>
  <si>
    <t>1. Esta planilha é somente um modelo-base e deve ser ajustada conforme cada caso concreto.</t>
  </si>
  <si>
    <t>Fórmula de cálculo da remuneração de capital:</t>
  </si>
  <si>
    <t>Excluir esta linha caso a contratação não tenha previsão de horas extras 100% explícita no edital</t>
  </si>
  <si>
    <t>Excluir esta linha caso a contratação não tenha previsão de horas extras noturnas 100% explícita no edital</t>
  </si>
  <si>
    <t>Excluir esta linha caso a contratação não tenha previsão de horas extras 50% explícita no edital</t>
  </si>
  <si>
    <t>Excluir esta linha caso a contratação não tenha previsão de horas extras noturnas 50% explícita no edital</t>
  </si>
  <si>
    <t>Total por Motorista</t>
  </si>
  <si>
    <t>Durabilidade (meses)</t>
  </si>
  <si>
    <t>Custo com consumos/km rodado</t>
  </si>
  <si>
    <t>Consumo</t>
  </si>
  <si>
    <t>Total por veículo</t>
  </si>
  <si>
    <t>Total da frota</t>
  </si>
  <si>
    <t>1. Esta planilha é somente um modelo de cálculo expedito e deve ser ajustada conforme cada caso concreto.</t>
  </si>
  <si>
    <t>Unid</t>
  </si>
  <si>
    <t>hab</t>
  </si>
  <si>
    <t>ton</t>
  </si>
  <si>
    <t>Densidade RSU compactado</t>
  </si>
  <si>
    <t>Kg/m³</t>
  </si>
  <si>
    <t>m³</t>
  </si>
  <si>
    <t>Kg/hab.dia</t>
  </si>
  <si>
    <t>ton/dia</t>
  </si>
  <si>
    <t>População (H)</t>
  </si>
  <si>
    <t>Geração per capita (G)</t>
  </si>
  <si>
    <t>Geração total diária (Qd)</t>
  </si>
  <si>
    <t>Quantitativo diário de coleta (Qc)</t>
  </si>
  <si>
    <t>Número de dias de coleta por semana (Dc)</t>
  </si>
  <si>
    <t>Capacidade nominal de carga (Cc)</t>
  </si>
  <si>
    <t>Número de Cargas por dia (Nc)</t>
  </si>
  <si>
    <t>Número de veículos da Frota (F)</t>
  </si>
  <si>
    <t>Geração Mensal</t>
  </si>
  <si>
    <t>Tipo de Veículo (1 = toco, 2 = truck)</t>
  </si>
  <si>
    <t>Capacidade do Compactador</t>
  </si>
  <si>
    <t>7. Dimensionamento da frota</t>
  </si>
  <si>
    <t>Indicador</t>
  </si>
  <si>
    <t>Número total de percursos de coleta por veículo, por dia (Np)</t>
  </si>
  <si>
    <t>i</t>
  </si>
  <si>
    <t>3. Preencher somente células em amarelo</t>
  </si>
  <si>
    <t>Depreciação Média</t>
  </si>
  <si>
    <t>2. Dimensionar separadamente setores atendidos por veículos de capacidade de carga diferentes.</t>
  </si>
  <si>
    <t>Reincidência de FGTS sobre aviso prévio indenizado</t>
  </si>
  <si>
    <t>O orçamento deve ser realizado por responsável técnico habilitado e é de responsabilidade do seu autor.</t>
  </si>
  <si>
    <t>Piso da categoria (2)</t>
  </si>
  <si>
    <t>Salário mínimo nacional (1)</t>
  </si>
  <si>
    <t>O TCE/RS não se responsabiliza pelo uso incorreto desta planilha.</t>
  </si>
  <si>
    <t>% Demitidos s/ Justa Causa em relação ao Estoque Médio</t>
  </si>
  <si>
    <t>Taxa de Rotatividade</t>
  </si>
  <si>
    <t>Acordo</t>
  </si>
  <si>
    <t>Variação Emprego Absoluta de 01-01-2019 a 31-12-2019</t>
  </si>
  <si>
    <t>Estoque recuperado início do Período 01-01-2019</t>
  </si>
  <si>
    <t>Estoque recuperado final do Período 31-12-2019</t>
  </si>
  <si>
    <t>Preencha as células em amarelo</t>
  </si>
  <si>
    <t>Tendo em vista que o CAGED foi descontinuado em janeiro de 2020, esta planilha foi atualizada até 31/12/2019.</t>
  </si>
  <si>
    <t>Ajustado, de acordo com a nova Lei Federal nº 13.932/2019</t>
  </si>
  <si>
    <t>Conforme Termo de Referência</t>
  </si>
  <si>
    <r>
      <t>3.1. Veículo Coletor Compactador</t>
    </r>
    <r>
      <rPr>
        <sz val="10"/>
        <color indexed="10"/>
        <rFont val="Arial"/>
        <family val="2"/>
      </rPr>
      <t xml:space="preserve"> 15</t>
    </r>
    <r>
      <rPr>
        <sz val="10"/>
        <rFont val="Arial"/>
        <family val="2"/>
      </rPr>
      <t xml:space="preserve"> m³</t>
    </r>
  </si>
  <si>
    <t>Custo jg. compl. + recap./ km rodado</t>
  </si>
  <si>
    <t>ESTADO DE RONDÔNIA</t>
  </si>
  <si>
    <t>MUNICÍPIO DE ROLIM DE MOURA</t>
  </si>
  <si>
    <t>PREÇO MENSAL TOTAL (R$/mês) (A)</t>
  </si>
  <si>
    <t>Pesagem diária</t>
  </si>
  <si>
    <t>Pesagem mensal</t>
  </si>
  <si>
    <t>serviço</t>
  </si>
  <si>
    <t>Custo Mensal com Serviço de Pesagem (R$/mês)</t>
  </si>
  <si>
    <t>Máscara PFF2 / N95</t>
  </si>
  <si>
    <t>NOTAS:</t>
  </si>
  <si>
    <t>1.5. Supervisor</t>
  </si>
  <si>
    <t>Supervisor</t>
  </si>
  <si>
    <t>6. Serviço de Pesagem</t>
  </si>
  <si>
    <t>7. Benefícios e Despesas Indiretas - BDI</t>
  </si>
  <si>
    <t>1.6. Vale Transporte</t>
  </si>
  <si>
    <r>
      <rPr>
        <b/>
        <sz val="10"/>
        <rFont val="Arial"/>
        <family val="2"/>
      </rPr>
      <t>1</t>
    </r>
    <r>
      <rPr>
        <sz val="10"/>
        <rFont val="Arial"/>
        <family val="2"/>
      </rPr>
      <t xml:space="preserve"> - No cômputo da quilometragem referente a coleta de resíduos, considerou-se os relatórios da atual prestação dos serviços;</t>
    </r>
  </si>
  <si>
    <t>1. Coleta de Resíduos Sólidos (Coleta + Pesagem)</t>
  </si>
  <si>
    <t>Simples Nacional</t>
  </si>
  <si>
    <t>Censo IBGE (2026)</t>
  </si>
  <si>
    <t>Quilometragem mensal Coleta (km)</t>
  </si>
  <si>
    <t>Referência estudo TCE</t>
  </si>
  <si>
    <t>1° Quartil</t>
  </si>
  <si>
    <t>Médio</t>
  </si>
  <si>
    <t>3° Quartil</t>
  </si>
  <si>
    <r>
      <t xml:space="preserve">Recipiente térmico para água (5L) </t>
    </r>
    <r>
      <rPr>
        <sz val="10"/>
        <color rgb="FFFF0000"/>
        <rFont val="Arial"/>
        <family val="2"/>
      </rPr>
      <t>(04 unidades)</t>
    </r>
  </si>
  <si>
    <r>
      <t xml:space="preserve">Pá de Concha </t>
    </r>
    <r>
      <rPr>
        <sz val="10"/>
        <color rgb="FFFF0000"/>
        <rFont val="Arial"/>
        <family val="2"/>
      </rPr>
      <t>(04 unidades)</t>
    </r>
  </si>
  <si>
    <r>
      <t xml:space="preserve">Vassoura </t>
    </r>
    <r>
      <rPr>
        <sz val="10"/>
        <color rgb="FFFF0000"/>
        <rFont val="Arial"/>
        <family val="2"/>
      </rPr>
      <t>(04 unidades)</t>
    </r>
  </si>
  <si>
    <r>
      <t xml:space="preserve">Rastelo </t>
    </r>
    <r>
      <rPr>
        <sz val="10"/>
        <color rgb="FFFF0000"/>
        <rFont val="Arial"/>
        <family val="2"/>
      </rPr>
      <t>(04 unidades)</t>
    </r>
  </si>
  <si>
    <r>
      <t xml:space="preserve">Publicidade (adesivos veículos) </t>
    </r>
    <r>
      <rPr>
        <sz val="10"/>
        <color rgb="FFFF0000"/>
        <rFont val="Arial"/>
        <family val="2"/>
      </rPr>
      <t>(04 unidades)</t>
    </r>
  </si>
  <si>
    <r>
      <t xml:space="preserve">Publicidade (adesivos equipamentos) </t>
    </r>
    <r>
      <rPr>
        <sz val="10"/>
        <color rgb="FFFF0000"/>
        <rFont val="Arial"/>
        <family val="2"/>
      </rPr>
      <t>(04 unidades)</t>
    </r>
  </si>
  <si>
    <t>(incluíndo veículo reserva)</t>
  </si>
  <si>
    <t>Conforme Convenção Coletiva RO000003/2025</t>
  </si>
  <si>
    <t>Com base no salário mínimo 2026</t>
  </si>
  <si>
    <t>Cotação CPL</t>
  </si>
  <si>
    <r>
      <t xml:space="preserve">Custo do jogo de pneus </t>
    </r>
    <r>
      <rPr>
        <sz val="10"/>
        <color rgb="FFFF0000"/>
        <rFont val="Arial"/>
        <family val="2"/>
      </rPr>
      <t>275/80 R22,5</t>
    </r>
  </si>
  <si>
    <t>Custo de aquisição do chassis c/ Compactador</t>
  </si>
  <si>
    <t>Depreciação mensal veículo coletor</t>
  </si>
  <si>
    <t>Taxa de Regulação (AGERROM)</t>
  </si>
  <si>
    <t>8. Taxa de Regulação</t>
  </si>
  <si>
    <t>Conforme tabela de taxas do DETRAN/RO</t>
  </si>
  <si>
    <t>PREÇO MENSAL TOTAL (R$/mês) (B)</t>
  </si>
  <si>
    <t>Quantidade média de resíduos coletados por mês: (C)</t>
  </si>
  <si>
    <t>PREÇO POR TONELADA COLETADA E TRANSPORTADA:  [B/C]</t>
  </si>
  <si>
    <t>Data: 12/06/2026</t>
  </si>
  <si>
    <t>Conforme alíquotas definidas pela SEFIN/RO (sobre o valor venal do veículo)</t>
  </si>
  <si>
    <t>2. Coleta de Resíduos Sólidos (Transporte)</t>
  </si>
  <si>
    <t>Conforme Convenção Coletiva 2020/2020 - RO000066/2020</t>
  </si>
  <si>
    <t>Com base no salário mínimo</t>
  </si>
  <si>
    <t>Custo de aquisição do chassis (com compactador)</t>
  </si>
  <si>
    <t>Depreciação mensal veículos coletores</t>
  </si>
  <si>
    <t>Custo do chassis (com compactador)</t>
  </si>
  <si>
    <t>Quilometragem mensal (km)</t>
  </si>
  <si>
    <r>
      <t xml:space="preserve">Recipiente térmico para água (5L) </t>
    </r>
    <r>
      <rPr>
        <sz val="10"/>
        <color rgb="FFFF0000"/>
        <rFont val="Arial"/>
        <family val="2"/>
      </rPr>
      <t>(03 unidades)</t>
    </r>
  </si>
  <si>
    <r>
      <t xml:space="preserve">Pá de Concha </t>
    </r>
    <r>
      <rPr>
        <sz val="10"/>
        <color rgb="FFFF0000"/>
        <rFont val="Arial"/>
        <family val="2"/>
      </rPr>
      <t>(03 unidades)</t>
    </r>
  </si>
  <si>
    <r>
      <t xml:space="preserve">Vassoura </t>
    </r>
    <r>
      <rPr>
        <sz val="10"/>
        <color rgb="FFFF0000"/>
        <rFont val="Arial"/>
        <family val="2"/>
      </rPr>
      <t>(03 unidades)</t>
    </r>
  </si>
  <si>
    <t>Publicidade (adesivos equipamentos)</t>
  </si>
  <si>
    <t>Publicidade (adesivos veículos)</t>
  </si>
  <si>
    <t>8. Benefícios e Despesas Indiretas - BDI</t>
  </si>
  <si>
    <t>Quantidade média de km rodados por mês: (C)</t>
  </si>
  <si>
    <t>PREÇO POR KM RODADO:  [B/C]</t>
  </si>
  <si>
    <t>R$/KM</t>
  </si>
  <si>
    <t>RESUMO - REEQUILÍBRIO ECONÔMICO/FINANCEIRO</t>
  </si>
  <si>
    <t>serviço mensal</t>
  </si>
  <si>
    <t>Total Mensal dos Serviços</t>
  </si>
  <si>
    <r>
      <rPr>
        <b/>
        <sz val="10"/>
        <rFont val="Arial"/>
        <family val="2"/>
      </rPr>
      <t>1</t>
    </r>
    <r>
      <rPr>
        <sz val="10"/>
        <rFont val="Arial"/>
        <family val="2"/>
      </rPr>
      <t xml:space="preserve"> - No cômputo da quilometragem referente ao transporte, considerou-se cinco viagens diária, compreendendo aproximadamente 98km (ida e volta), em um período de 26 dias;</t>
    </r>
  </si>
  <si>
    <t>SERVIÇO DE LIMPEZA URBANA</t>
  </si>
  <si>
    <t>COLETA DE RESÍDUOS SÓLIDOS</t>
  </si>
  <si>
    <t>ITEM</t>
  </si>
  <si>
    <t>ESPECIFICAÇÃO</t>
  </si>
  <si>
    <t>UND.</t>
  </si>
  <si>
    <t>QUANT.</t>
  </si>
  <si>
    <t>V. UNIT.</t>
  </si>
  <si>
    <t>V. TOTAL</t>
  </si>
  <si>
    <t>TRANSPORTE DE RESÍDUOS URBANOS, A FIM DE ATENDER AS NECESSIDADES DO MUNICÍPIO DE ROLIM DE MOURA - RO E DISTRITO DE NOVA ESTRELA.</t>
  </si>
  <si>
    <t>COLETA DE RESÍDUOS SÓLIDOS URBANOS A FIM DE ATENDER AS NECESSIDADES DO MUNICÍPIO DE ROLIM DE MOURA -RO E DISTRITO DE NOVA ESTRELA.</t>
  </si>
  <si>
    <t>TONELADA</t>
  </si>
  <si>
    <t>QUILOMETRAGEM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</si>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</sst>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.0000"/>
    <numFmt numFmtId="170" formatCode="_-* #,##0.00_-;\-* #,##0.00_-;_-* &quot;-&quot;?_-;_-@_-"/>
    <numFmt numFmtId="171" formatCode="_-* #,##0_-;\-* #,##0_-;_-* &quot;-&quot;?_-;_-@_-"/>
    <numFmt numFmtId="172" formatCode="_(* #,##0.000000_);_(* \(#,##0.000000\);_(* &quot;-&quot;??_);_(@_)"/>
    <numFmt numFmtId="173" formatCode="0.0000%"/>
    <numFmt numFmtId="174" formatCode="_-* #,##0.000000_-;\-* #,##0.000000_-;_-* &quot;-&quot;??_-;_-@_-"/>
    <numFmt numFmtId="175" formatCode="0.00000%"/>
    <numFmt numFmtId="176" formatCode="&quot;R$&quot;\ #,##0.00"/>
  </numFmts>
  <fonts count="4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sz val="8"/>
      <color rgb="FFFF0000"/>
      <name val="Arial"/>
      <family val="2"/>
    </font>
    <font>
      <sz val="9"/>
      <color indexed="81"/>
      <name val="Arial"/>
      <family val="2"/>
    </font>
    <font>
      <b/>
      <sz val="10"/>
      <name val="Calibri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0"/>
      <name val="Arial"/>
    </font>
    <font>
      <i/>
      <sz val="10"/>
      <name val="Arial"/>
      <family val="2"/>
    </font>
    <font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37" fillId="0" borderId="0" applyFont="0" applyFill="0" applyBorder="0" applyAlignment="0" applyProtection="0"/>
  </cellStyleXfs>
  <cellXfs count="456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5" fontId="6" fillId="0" borderId="0" xfId="3" applyFont="1"/>
    <xf numFmtId="165" fontId="0" fillId="0" borderId="11" xfId="3" applyFont="1" applyBorder="1" applyAlignment="1">
      <alignment vertical="center"/>
    </xf>
    <xf numFmtId="165" fontId="3" fillId="0" borderId="12" xfId="3" applyFont="1" applyBorder="1" applyAlignment="1">
      <alignment horizontal="center" vertical="center"/>
    </xf>
    <xf numFmtId="165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3" applyFont="1" applyAlignment="1">
      <alignment vertical="center"/>
    </xf>
    <xf numFmtId="165" fontId="0" fillId="0" borderId="9" xfId="0" applyNumberFormat="1" applyBorder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5" fontId="0" fillId="0" borderId="9" xfId="3" applyFont="1" applyBorder="1" applyAlignment="1">
      <alignment vertical="center"/>
    </xf>
    <xf numFmtId="165" fontId="3" fillId="0" borderId="13" xfId="3" applyFont="1" applyBorder="1" applyAlignment="1">
      <alignment horizontal="right" vertical="center"/>
    </xf>
    <xf numFmtId="165" fontId="0" fillId="0" borderId="14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10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165" fontId="6" fillId="0" borderId="0" xfId="3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0" xfId="3" applyFont="1" applyBorder="1" applyAlignment="1">
      <alignment vertical="center"/>
    </xf>
    <xf numFmtId="10" fontId="0" fillId="0" borderId="15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165" fontId="11" fillId="2" borderId="17" xfId="3" applyFont="1" applyFill="1" applyBorder="1" applyAlignment="1">
      <alignment horizontal="center" vertical="center"/>
    </xf>
    <xf numFmtId="165" fontId="11" fillId="2" borderId="18" xfId="3" applyFont="1" applyFill="1" applyBorder="1" applyAlignment="1">
      <alignment horizontal="center" vertical="center"/>
    </xf>
    <xf numFmtId="165" fontId="3" fillId="0" borderId="19" xfId="3" applyFont="1" applyBorder="1" applyAlignment="1">
      <alignment horizontal="center" vertical="center"/>
    </xf>
    <xf numFmtId="165" fontId="1" fillId="0" borderId="14" xfId="3" applyFont="1" applyBorder="1" applyAlignment="1">
      <alignment horizontal="left" vertical="center"/>
    </xf>
    <xf numFmtId="165" fontId="6" fillId="0" borderId="9" xfId="3" applyFont="1" applyBorder="1" applyAlignment="1">
      <alignment vertical="center"/>
    </xf>
    <xf numFmtId="165" fontId="6" fillId="0" borderId="14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20" xfId="3" applyNumberFormat="1" applyFont="1" applyBorder="1" applyAlignment="1">
      <alignment horizontal="center" vertical="center"/>
    </xf>
    <xf numFmtId="165" fontId="3" fillId="0" borderId="28" xfId="3" applyFont="1" applyBorder="1" applyAlignment="1">
      <alignment vertical="center"/>
    </xf>
    <xf numFmtId="4" fontId="3" fillId="0" borderId="29" xfId="0" applyNumberFormat="1" applyFont="1" applyBorder="1" applyAlignment="1">
      <alignment vertical="center"/>
    </xf>
    <xf numFmtId="165" fontId="6" fillId="0" borderId="19" xfId="3" applyFont="1" applyBorder="1" applyAlignment="1">
      <alignment vertical="center"/>
    </xf>
    <xf numFmtId="165" fontId="6" fillId="0" borderId="11" xfId="3" applyFont="1" applyBorder="1" applyAlignment="1">
      <alignment vertical="center"/>
    </xf>
    <xf numFmtId="0" fontId="0" fillId="0" borderId="11" xfId="0" applyBorder="1" applyAlignment="1">
      <alignment vertical="center"/>
    </xf>
    <xf numFmtId="1" fontId="6" fillId="0" borderId="12" xfId="3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3" fillId="0" borderId="31" xfId="3" applyNumberFormat="1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165" fontId="10" fillId="0" borderId="0" xfId="3" applyFont="1" applyAlignment="1">
      <alignment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165" fontId="6" fillId="3" borderId="0" xfId="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166" fontId="6" fillId="0" borderId="1" xfId="3" applyNumberFormat="1" applyFont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165" fontId="6" fillId="0" borderId="2" xfId="3" applyFont="1" applyFill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165" fontId="6" fillId="0" borderId="0" xfId="3" applyFont="1" applyFill="1" applyAlignment="1">
      <alignment vertical="center"/>
    </xf>
    <xf numFmtId="165" fontId="3" fillId="0" borderId="1" xfId="3" applyFont="1" applyFill="1" applyBorder="1" applyAlignment="1">
      <alignment horizontal="center" vertical="center"/>
    </xf>
    <xf numFmtId="164" fontId="3" fillId="0" borderId="34" xfId="0" applyNumberFormat="1" applyFont="1" applyBorder="1" applyAlignment="1">
      <alignment vertical="center"/>
    </xf>
    <xf numFmtId="165" fontId="3" fillId="0" borderId="35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2" fontId="6" fillId="0" borderId="1" xfId="3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4" xfId="3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0" fontId="3" fillId="0" borderId="15" xfId="2" applyNumberFormat="1" applyFont="1" applyBorder="1" applyAlignment="1">
      <alignment vertical="center"/>
    </xf>
    <xf numFmtId="165" fontId="3" fillId="0" borderId="38" xfId="3" applyFont="1" applyBorder="1" applyAlignment="1">
      <alignment vertical="center"/>
    </xf>
    <xf numFmtId="4" fontId="3" fillId="0" borderId="0" xfId="0" applyNumberFormat="1" applyFont="1" applyAlignment="1">
      <alignment vertical="center"/>
    </xf>
    <xf numFmtId="165" fontId="6" fillId="0" borderId="39" xfId="3" applyFont="1" applyBorder="1" applyAlignment="1">
      <alignment vertical="center"/>
    </xf>
    <xf numFmtId="165" fontId="6" fillId="0" borderId="40" xfId="3" applyFont="1" applyBorder="1" applyAlignment="1">
      <alignment vertical="center"/>
    </xf>
    <xf numFmtId="165" fontId="6" fillId="0" borderId="41" xfId="3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1" fontId="6" fillId="0" borderId="37" xfId="3" applyNumberFormat="1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Continuous" vertical="center"/>
    </xf>
    <xf numFmtId="4" fontId="6" fillId="0" borderId="0" xfId="0" applyNumberFormat="1" applyFont="1" applyAlignment="1">
      <alignment vertical="center"/>
    </xf>
    <xf numFmtId="165" fontId="6" fillId="5" borderId="1" xfId="3" applyFont="1" applyFill="1" applyBorder="1" applyAlignment="1">
      <alignment horizontal="center" vertical="center"/>
    </xf>
    <xf numFmtId="165" fontId="6" fillId="5" borderId="1" xfId="3" applyFont="1" applyFill="1" applyBorder="1" applyAlignment="1">
      <alignment vertical="center"/>
    </xf>
    <xf numFmtId="9" fontId="3" fillId="0" borderId="18" xfId="2" applyFont="1" applyBorder="1" applyAlignment="1">
      <alignment vertical="center"/>
    </xf>
    <xf numFmtId="10" fontId="6" fillId="0" borderId="15" xfId="2" applyNumberFormat="1" applyFont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38" xfId="0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9" xfId="3" applyFont="1" applyFill="1" applyBorder="1" applyAlignment="1">
      <alignment vertical="center"/>
    </xf>
    <xf numFmtId="0" fontId="16" fillId="0" borderId="14" xfId="0" applyFont="1" applyBorder="1"/>
    <xf numFmtId="0" fontId="16" fillId="0" borderId="47" xfId="0" applyFont="1" applyBorder="1"/>
    <xf numFmtId="0" fontId="16" fillId="3" borderId="20" xfId="0" applyFont="1" applyFill="1" applyBorder="1"/>
    <xf numFmtId="0" fontId="16" fillId="0" borderId="23" xfId="0" applyFont="1" applyBorder="1"/>
    <xf numFmtId="0" fontId="16" fillId="0" borderId="48" xfId="0" applyFont="1" applyBorder="1"/>
    <xf numFmtId="0" fontId="16" fillId="0" borderId="20" xfId="0" applyFont="1" applyBorder="1"/>
    <xf numFmtId="0" fontId="16" fillId="0" borderId="28" xfId="0" applyFont="1" applyBorder="1"/>
    <xf numFmtId="2" fontId="17" fillId="6" borderId="1" xfId="0" applyNumberFormat="1" applyFont="1" applyFill="1" applyBorder="1" applyAlignment="1">
      <alignment horizontal="right" vertical="center"/>
    </xf>
    <xf numFmtId="0" fontId="17" fillId="0" borderId="23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2" fontId="17" fillId="6" borderId="36" xfId="0" applyNumberFormat="1" applyFont="1" applyFill="1" applyBorder="1" applyAlignment="1">
      <alignment horizontal="right" vertical="center"/>
    </xf>
    <xf numFmtId="0" fontId="17" fillId="0" borderId="23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10" fontId="17" fillId="0" borderId="20" xfId="0" applyNumberFormat="1" applyFont="1" applyBorder="1" applyAlignment="1">
      <alignment horizontal="right" vertical="center"/>
    </xf>
    <xf numFmtId="0" fontId="21" fillId="0" borderId="1" xfId="0" applyFont="1" applyBorder="1" applyAlignment="1">
      <alignment horizontal="left" vertical="center"/>
    </xf>
    <xf numFmtId="10" fontId="21" fillId="0" borderId="20" xfId="0" applyNumberFormat="1" applyFont="1" applyBorder="1" applyAlignment="1">
      <alignment horizontal="right" vertical="center"/>
    </xf>
    <xf numFmtId="0" fontId="17" fillId="4" borderId="23" xfId="0" applyFont="1" applyFill="1" applyBorder="1" applyAlignment="1">
      <alignment horizontal="left" vertical="center"/>
    </xf>
    <xf numFmtId="0" fontId="21" fillId="4" borderId="1" xfId="0" applyFont="1" applyFill="1" applyBorder="1" applyAlignment="1">
      <alignment horizontal="left" vertical="center"/>
    </xf>
    <xf numFmtId="10" fontId="21" fillId="4" borderId="20" xfId="0" applyNumberFormat="1" applyFont="1" applyFill="1" applyBorder="1" applyAlignment="1">
      <alignment horizontal="right" vertical="center"/>
    </xf>
    <xf numFmtId="0" fontId="22" fillId="0" borderId="1" xfId="0" applyFont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10" fontId="6" fillId="0" borderId="0" xfId="0" applyNumberFormat="1" applyFont="1"/>
    <xf numFmtId="9" fontId="17" fillId="0" borderId="0" xfId="2" applyFont="1" applyBorder="1" applyAlignment="1">
      <alignment horizontal="right" vertical="center"/>
    </xf>
    <xf numFmtId="0" fontId="17" fillId="0" borderId="1" xfId="0" applyFont="1" applyBorder="1" applyAlignment="1">
      <alignment horizontal="left" vertical="center" wrapText="1"/>
    </xf>
    <xf numFmtId="0" fontId="17" fillId="8" borderId="24" xfId="0" applyFont="1" applyFill="1" applyBorder="1" applyAlignment="1">
      <alignment horizontal="left" vertical="center"/>
    </xf>
    <xf numFmtId="0" fontId="21" fillId="8" borderId="36" xfId="0" applyFont="1" applyFill="1" applyBorder="1" applyAlignment="1">
      <alignment horizontal="left" vertical="center"/>
    </xf>
    <xf numFmtId="10" fontId="21" fillId="8" borderId="37" xfId="0" applyNumberFormat="1" applyFont="1" applyFill="1" applyBorder="1" applyAlignment="1">
      <alignment horizontal="right" vertical="center"/>
    </xf>
    <xf numFmtId="0" fontId="21" fillId="0" borderId="0" xfId="0" applyFont="1" applyAlignment="1">
      <alignment horizontal="left" vertical="center"/>
    </xf>
    <xf numFmtId="10" fontId="21" fillId="0" borderId="0" xfId="0" applyNumberFormat="1" applyFont="1" applyAlignment="1">
      <alignment horizontal="right" vertical="center"/>
    </xf>
    <xf numFmtId="10" fontId="17" fillId="0" borderId="0" xfId="0" applyNumberFormat="1" applyFont="1" applyAlignment="1">
      <alignment horizontal="right" vertical="center"/>
    </xf>
    <xf numFmtId="0" fontId="24" fillId="0" borderId="0" xfId="0" applyFont="1" applyAlignment="1">
      <alignment horizontal="justify" vertical="center"/>
    </xf>
    <xf numFmtId="0" fontId="8" fillId="0" borderId="0" xfId="1" applyBorder="1" applyAlignment="1" applyProtection="1">
      <alignment horizontal="left" vertical="center"/>
    </xf>
    <xf numFmtId="0" fontId="25" fillId="0" borderId="0" xfId="0" applyFont="1"/>
    <xf numFmtId="0" fontId="17" fillId="0" borderId="0" xfId="0" applyFont="1" applyAlignment="1">
      <alignment horizontal="right" vertical="center"/>
    </xf>
    <xf numFmtId="0" fontId="8" fillId="0" borderId="0" xfId="1" applyBorder="1" applyAlignment="1" applyProtection="1">
      <alignment vertical="center"/>
    </xf>
    <xf numFmtId="0" fontId="5" fillId="0" borderId="15" xfId="0" applyFont="1" applyBorder="1"/>
    <xf numFmtId="0" fontId="5" fillId="0" borderId="23" xfId="0" applyFont="1" applyBorder="1"/>
    <xf numFmtId="0" fontId="5" fillId="3" borderId="20" xfId="0" applyFont="1" applyFill="1" applyBorder="1"/>
    <xf numFmtId="0" fontId="5" fillId="0" borderId="47" xfId="0" applyFont="1" applyBorder="1"/>
    <xf numFmtId="0" fontId="5" fillId="3" borderId="48" xfId="0" applyFont="1" applyFill="1" applyBorder="1"/>
    <xf numFmtId="0" fontId="5" fillId="0" borderId="49" xfId="0" applyFont="1" applyBorder="1"/>
    <xf numFmtId="0" fontId="5" fillId="3" borderId="50" xfId="0" applyFont="1" applyFill="1" applyBorder="1"/>
    <xf numFmtId="0" fontId="5" fillId="0" borderId="38" xfId="0" applyFont="1" applyBorder="1"/>
    <xf numFmtId="0" fontId="5" fillId="0" borderId="39" xfId="0" applyFont="1" applyBorder="1"/>
    <xf numFmtId="0" fontId="7" fillId="0" borderId="48" xfId="0" applyFont="1" applyBorder="1"/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/>
    </xf>
    <xf numFmtId="10" fontId="5" fillId="3" borderId="12" xfId="0" applyNumberFormat="1" applyFont="1" applyFill="1" applyBorder="1" applyAlignment="1">
      <alignment horizontal="center" vertical="center"/>
    </xf>
    <xf numFmtId="10" fontId="5" fillId="0" borderId="20" xfId="2" applyNumberFormat="1" applyFont="1" applyBorder="1"/>
    <xf numFmtId="0" fontId="5" fillId="0" borderId="2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0" fontId="5" fillId="3" borderId="20" xfId="0" applyNumberFormat="1" applyFont="1" applyFill="1" applyBorder="1" applyAlignment="1">
      <alignment horizontal="center" vertical="center"/>
    </xf>
    <xf numFmtId="10" fontId="5" fillId="0" borderId="20" xfId="0" applyNumberFormat="1" applyFont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20" xfId="0" applyFont="1" applyBorder="1"/>
    <xf numFmtId="0" fontId="5" fillId="0" borderId="24" xfId="0" applyFont="1" applyBorder="1" applyAlignment="1">
      <alignment horizontal="left" vertical="center"/>
    </xf>
    <xf numFmtId="10" fontId="5" fillId="3" borderId="37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10" fontId="5" fillId="0" borderId="27" xfId="0" applyNumberFormat="1" applyFont="1" applyBorder="1" applyAlignment="1">
      <alignment vertical="center"/>
    </xf>
    <xf numFmtId="0" fontId="5" fillId="0" borderId="28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30" xfId="0" applyFont="1" applyBorder="1" applyAlignment="1">
      <alignment vertical="center"/>
    </xf>
    <xf numFmtId="0" fontId="7" fillId="4" borderId="5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/>
    </xf>
    <xf numFmtId="10" fontId="7" fillId="4" borderId="7" xfId="0" applyNumberFormat="1" applyFont="1" applyFill="1" applyBorder="1" applyAlignment="1">
      <alignment horizontal="center" vertical="center" wrapText="1"/>
    </xf>
    <xf numFmtId="10" fontId="5" fillId="0" borderId="23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20" xfId="2" applyNumberFormat="1" applyFont="1" applyBorder="1" applyAlignment="1">
      <alignment horizontal="right"/>
    </xf>
    <xf numFmtId="10" fontId="5" fillId="0" borderId="24" xfId="2" applyNumberFormat="1" applyFont="1" applyBorder="1" applyAlignment="1">
      <alignment horizontal="right"/>
    </xf>
    <xf numFmtId="10" fontId="5" fillId="0" borderId="36" xfId="2" applyNumberFormat="1" applyFont="1" applyBorder="1" applyAlignment="1">
      <alignment horizontal="right"/>
    </xf>
    <xf numFmtId="10" fontId="5" fillId="0" borderId="37" xfId="2" applyNumberFormat="1" applyFont="1" applyBorder="1" applyAlignment="1">
      <alignment horizontal="right"/>
    </xf>
    <xf numFmtId="0" fontId="6" fillId="0" borderId="52" xfId="0" applyFont="1" applyBorder="1"/>
    <xf numFmtId="0" fontId="18" fillId="0" borderId="52" xfId="0" applyFont="1" applyBorder="1" applyAlignment="1">
      <alignment horizontal="justify"/>
    </xf>
    <xf numFmtId="0" fontId="18" fillId="0" borderId="53" xfId="0" applyFont="1" applyBorder="1" applyAlignment="1">
      <alignment horizontal="justify"/>
    </xf>
    <xf numFmtId="0" fontId="15" fillId="9" borderId="51" xfId="0" applyFont="1" applyFill="1" applyBorder="1" applyAlignment="1">
      <alignment horizontal="center"/>
    </xf>
    <xf numFmtId="1" fontId="6" fillId="0" borderId="0" xfId="3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165" fontId="6" fillId="0" borderId="10" xfId="3" applyFont="1" applyBorder="1" applyAlignment="1">
      <alignment vertical="center"/>
    </xf>
    <xf numFmtId="165" fontId="3" fillId="0" borderId="7" xfId="3" applyFont="1" applyBorder="1" applyAlignment="1">
      <alignment horizontal="right" vertical="center"/>
    </xf>
    <xf numFmtId="165" fontId="3" fillId="2" borderId="4" xfId="3" applyFont="1" applyFill="1" applyBorder="1" applyAlignment="1">
      <alignment horizontal="right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6" xfId="0" applyNumberFormat="1" applyFont="1" applyBorder="1" applyAlignment="1">
      <alignment vertical="center"/>
    </xf>
    <xf numFmtId="165" fontId="3" fillId="0" borderId="11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9" fontId="3" fillId="3" borderId="7" xfId="2" applyFont="1" applyFill="1" applyBorder="1" applyAlignment="1">
      <alignment vertical="center"/>
    </xf>
    <xf numFmtId="0" fontId="21" fillId="0" borderId="23" xfId="0" applyFont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3" fillId="0" borderId="9" xfId="3" applyFont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167" fontId="6" fillId="0" borderId="1" xfId="3" applyNumberFormat="1" applyFont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54" xfId="0" applyFont="1" applyBorder="1" applyAlignment="1">
      <alignment vertical="center"/>
    </xf>
    <xf numFmtId="0" fontId="3" fillId="0" borderId="54" xfId="0" applyFont="1" applyBorder="1" applyAlignment="1">
      <alignment horizontal="center" vertical="center"/>
    </xf>
    <xf numFmtId="165" fontId="3" fillId="0" borderId="54" xfId="3" applyFont="1" applyBorder="1" applyAlignment="1">
      <alignment horizontal="center" vertical="center"/>
    </xf>
    <xf numFmtId="165" fontId="3" fillId="0" borderId="54" xfId="3" applyFont="1" applyFill="1" applyBorder="1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7" fillId="0" borderId="23" xfId="0" applyFont="1" applyBorder="1"/>
    <xf numFmtId="0" fontId="7" fillId="0" borderId="1" xfId="0" applyFont="1" applyBorder="1"/>
    <xf numFmtId="0" fontId="7" fillId="0" borderId="20" xfId="0" applyFont="1" applyBorder="1"/>
    <xf numFmtId="0" fontId="5" fillId="0" borderId="1" xfId="0" applyFont="1" applyBorder="1"/>
    <xf numFmtId="170" fontId="5" fillId="0" borderId="20" xfId="0" applyNumberFormat="1" applyFont="1" applyBorder="1"/>
    <xf numFmtId="2" fontId="5" fillId="0" borderId="20" xfId="0" applyNumberFormat="1" applyFont="1" applyBorder="1"/>
    <xf numFmtId="0" fontId="5" fillId="0" borderId="24" xfId="0" applyFont="1" applyBorder="1"/>
    <xf numFmtId="0" fontId="5" fillId="0" borderId="36" xfId="0" applyFont="1" applyBorder="1"/>
    <xf numFmtId="170" fontId="5" fillId="3" borderId="20" xfId="0" applyNumberFormat="1" applyFont="1" applyFill="1" applyBorder="1"/>
    <xf numFmtId="170" fontId="5" fillId="0" borderId="37" xfId="0" applyNumberFormat="1" applyFont="1" applyBorder="1"/>
    <xf numFmtId="0" fontId="15" fillId="0" borderId="1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171" fontId="5" fillId="3" borderId="20" xfId="0" applyNumberFormat="1" applyFont="1" applyFill="1" applyBorder="1"/>
    <xf numFmtId="0" fontId="5" fillId="0" borderId="23" xfId="0" applyFont="1" applyBorder="1" applyAlignment="1">
      <alignment horizontal="right"/>
    </xf>
    <xf numFmtId="4" fontId="29" fillId="0" borderId="0" xfId="0" applyNumberFormat="1" applyFont="1" applyAlignment="1">
      <alignment vertical="center"/>
    </xf>
    <xf numFmtId="0" fontId="28" fillId="0" borderId="0" xfId="0" applyFont="1"/>
    <xf numFmtId="0" fontId="1" fillId="0" borderId="2" xfId="0" applyFont="1" applyBorder="1" applyAlignment="1">
      <alignment vertical="center"/>
    </xf>
    <xf numFmtId="169" fontId="7" fillId="0" borderId="20" xfId="0" applyNumberFormat="1" applyFont="1" applyBorder="1"/>
    <xf numFmtId="9" fontId="16" fillId="0" borderId="20" xfId="2" applyFont="1" applyBorder="1"/>
    <xf numFmtId="10" fontId="16" fillId="0" borderId="20" xfId="2" applyNumberFormat="1" applyFont="1" applyBorder="1"/>
    <xf numFmtId="9" fontId="7" fillId="0" borderId="31" xfId="2" applyFont="1" applyBorder="1"/>
    <xf numFmtId="0" fontId="5" fillId="0" borderId="55" xfId="0" applyFont="1" applyBorder="1"/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0" fillId="0" borderId="0" xfId="0" applyFont="1"/>
    <xf numFmtId="14" fontId="6" fillId="0" borderId="0" xfId="0" applyNumberFormat="1" applyFont="1" applyAlignment="1">
      <alignment vertical="center"/>
    </xf>
    <xf numFmtId="43" fontId="30" fillId="0" borderId="0" xfId="0" applyNumberFormat="1" applyFont="1" applyAlignment="1">
      <alignment vertical="center"/>
    </xf>
    <xf numFmtId="4" fontId="30" fillId="0" borderId="0" xfId="0" applyNumberFormat="1" applyFont="1" applyAlignment="1">
      <alignment vertical="center"/>
    </xf>
    <xf numFmtId="0" fontId="1" fillId="0" borderId="1" xfId="0" applyFont="1" applyBorder="1" applyAlignment="1">
      <alignment vertical="center"/>
    </xf>
    <xf numFmtId="43" fontId="28" fillId="0" borderId="0" xfId="0" applyNumberFormat="1" applyFont="1" applyAlignment="1">
      <alignment vertical="center"/>
    </xf>
    <xf numFmtId="172" fontId="3" fillId="0" borderId="0" xfId="3" applyNumberFormat="1" applyFont="1" applyBorder="1" applyAlignment="1">
      <alignment horizontal="center" vertical="center"/>
    </xf>
    <xf numFmtId="165" fontId="1" fillId="0" borderId="0" xfId="3" applyFont="1" applyAlignment="1">
      <alignment horizontal="right" vertical="center"/>
    </xf>
    <xf numFmtId="0" fontId="1" fillId="0" borderId="8" xfId="0" applyFont="1" applyBorder="1" applyAlignment="1">
      <alignment vertical="center"/>
    </xf>
    <xf numFmtId="0" fontId="30" fillId="0" borderId="0" xfId="0" applyFont="1" applyAlignment="1">
      <alignment horizontal="right" vertical="center"/>
    </xf>
    <xf numFmtId="165" fontId="6" fillId="0" borderId="0" xfId="3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3" fontId="5" fillId="3" borderId="20" xfId="0" applyNumberFormat="1" applyFont="1" applyFill="1" applyBorder="1"/>
    <xf numFmtId="174" fontId="22" fillId="0" borderId="20" xfId="3" applyNumberFormat="1" applyFont="1" applyBorder="1" applyAlignment="1">
      <alignment horizontal="center" vertical="center" wrapText="1"/>
    </xf>
    <xf numFmtId="4" fontId="1" fillId="0" borderId="0" xfId="0" applyNumberFormat="1" applyFont="1"/>
    <xf numFmtId="10" fontId="5" fillId="0" borderId="0" xfId="2" applyNumberFormat="1" applyFont="1"/>
    <xf numFmtId="10" fontId="0" fillId="0" borderId="0" xfId="2" applyNumberFormat="1" applyFont="1"/>
    <xf numFmtId="10" fontId="5" fillId="0" borderId="0" xfId="0" applyNumberFormat="1" applyFont="1"/>
    <xf numFmtId="14" fontId="1" fillId="0" borderId="0" xfId="0" applyNumberFormat="1" applyFont="1" applyAlignment="1">
      <alignment vertical="center"/>
    </xf>
    <xf numFmtId="2" fontId="6" fillId="0" borderId="0" xfId="0" applyNumberFormat="1" applyFont="1" applyAlignment="1">
      <alignment vertical="center"/>
    </xf>
    <xf numFmtId="165" fontId="30" fillId="0" borderId="0" xfId="3" applyFont="1" applyAlignment="1">
      <alignment vertical="center"/>
    </xf>
    <xf numFmtId="173" fontId="6" fillId="0" borderId="0" xfId="2" applyNumberFormat="1" applyFont="1" applyAlignment="1">
      <alignment vertical="center"/>
    </xf>
    <xf numFmtId="0" fontId="3" fillId="0" borderId="0" xfId="0" quotePrefix="1" applyFont="1" applyAlignment="1">
      <alignment horizontal="right" vertical="center"/>
    </xf>
    <xf numFmtId="10" fontId="6" fillId="0" borderId="0" xfId="2" applyNumberFormat="1" applyFont="1" applyAlignment="1">
      <alignment vertical="center"/>
    </xf>
    <xf numFmtId="0" fontId="6" fillId="0" borderId="1" xfId="3" applyNumberFormat="1" applyFont="1" applyBorder="1" applyAlignment="1">
      <alignment horizontal="center" vertical="center"/>
    </xf>
    <xf numFmtId="0" fontId="6" fillId="0" borderId="1" xfId="3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0" borderId="2" xfId="3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0" fontId="5" fillId="3" borderId="48" xfId="0" applyNumberFormat="1" applyFont="1" applyFill="1" applyBorder="1" applyAlignment="1">
      <alignment horizontal="center" vertical="center"/>
    </xf>
    <xf numFmtId="165" fontId="1" fillId="0" borderId="0" xfId="3" applyFont="1" applyBorder="1" applyAlignment="1">
      <alignment horizontal="right" vertical="center"/>
    </xf>
    <xf numFmtId="166" fontId="6" fillId="0" borderId="0" xfId="3" applyNumberFormat="1" applyFont="1" applyBorder="1" applyAlignment="1">
      <alignment vertical="center"/>
    </xf>
    <xf numFmtId="165" fontId="1" fillId="0" borderId="0" xfId="3" applyFont="1" applyBorder="1" applyAlignment="1">
      <alignment vertical="center"/>
    </xf>
    <xf numFmtId="165" fontId="3" fillId="0" borderId="0" xfId="3" applyFont="1" applyBorder="1" applyAlignment="1">
      <alignment horizontal="right" vertical="center"/>
    </xf>
    <xf numFmtId="166" fontId="3" fillId="0" borderId="0" xfId="3" applyNumberFormat="1" applyFont="1" applyBorder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7" fillId="0" borderId="38" xfId="0" applyFont="1" applyBorder="1" applyAlignment="1">
      <alignment horizontal="left" vertical="center"/>
    </xf>
    <xf numFmtId="9" fontId="5" fillId="0" borderId="23" xfId="2" applyFont="1" applyBorder="1"/>
    <xf numFmtId="9" fontId="5" fillId="0" borderId="1" xfId="2" applyFont="1" applyBorder="1" applyAlignment="1">
      <alignment horizontal="center"/>
    </xf>
    <xf numFmtId="9" fontId="5" fillId="0" borderId="20" xfId="2" applyFont="1" applyBorder="1"/>
    <xf numFmtId="2" fontId="6" fillId="0" borderId="1" xfId="0" applyNumberFormat="1" applyFont="1" applyBorder="1" applyAlignment="1">
      <alignment horizontal="center" vertical="center"/>
    </xf>
    <xf numFmtId="43" fontId="6" fillId="0" borderId="1" xfId="0" applyNumberFormat="1" applyFont="1" applyBorder="1" applyAlignment="1">
      <alignment horizontal="right" vertical="center"/>
    </xf>
    <xf numFmtId="13" fontId="6" fillId="0" borderId="1" xfId="0" applyNumberFormat="1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65" fontId="3" fillId="0" borderId="9" xfId="3" applyFont="1" applyFill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165" fontId="1" fillId="0" borderId="41" xfId="3" applyFont="1" applyBorder="1" applyAlignment="1">
      <alignment vertical="center"/>
    </xf>
    <xf numFmtId="175" fontId="1" fillId="0" borderId="0" xfId="0" applyNumberFormat="1" applyFont="1" applyAlignment="1">
      <alignment vertical="center"/>
    </xf>
    <xf numFmtId="165" fontId="1" fillId="0" borderId="0" xfId="3" applyFont="1" applyAlignment="1">
      <alignment vertical="center"/>
    </xf>
    <xf numFmtId="10" fontId="6" fillId="3" borderId="6" xfId="0" applyNumberFormat="1" applyFont="1" applyFill="1" applyBorder="1" applyAlignment="1">
      <alignment vertical="center"/>
    </xf>
    <xf numFmtId="165" fontId="1" fillId="0" borderId="1" xfId="3" applyFont="1" applyBorder="1" applyAlignment="1">
      <alignment horizontal="center" vertical="center"/>
    </xf>
    <xf numFmtId="165" fontId="1" fillId="3" borderId="1" xfId="3" applyFont="1" applyFill="1" applyBorder="1" applyAlignment="1">
      <alignment horizontal="center" vertical="center"/>
    </xf>
    <xf numFmtId="14" fontId="0" fillId="0" borderId="0" xfId="0" applyNumberFormat="1"/>
    <xf numFmtId="43" fontId="1" fillId="0" borderId="0" xfId="0" applyNumberFormat="1" applyFont="1" applyAlignment="1">
      <alignment vertical="center"/>
    </xf>
    <xf numFmtId="165" fontId="1" fillId="0" borderId="0" xfId="0" applyNumberFormat="1" applyFont="1" applyAlignment="1">
      <alignment vertical="center"/>
    </xf>
    <xf numFmtId="10" fontId="1" fillId="0" borderId="15" xfId="2" applyNumberFormat="1" applyFont="1" applyBorder="1" applyAlignment="1">
      <alignment vertical="center"/>
    </xf>
    <xf numFmtId="165" fontId="1" fillId="0" borderId="19" xfId="3" applyFont="1" applyBorder="1" applyAlignment="1">
      <alignment vertical="center"/>
    </xf>
    <xf numFmtId="165" fontId="1" fillId="0" borderId="11" xfId="3" applyFont="1" applyBorder="1" applyAlignment="1">
      <alignment vertical="center"/>
    </xf>
    <xf numFmtId="1" fontId="1" fillId="0" borderId="12" xfId="3" applyNumberFormat="1" applyFont="1" applyBorder="1" applyAlignment="1">
      <alignment horizontal="center" vertical="center"/>
    </xf>
    <xf numFmtId="165" fontId="1" fillId="0" borderId="14" xfId="3" applyFont="1" applyBorder="1" applyAlignment="1">
      <alignment vertical="center"/>
    </xf>
    <xf numFmtId="165" fontId="1" fillId="0" borderId="9" xfId="3" applyFont="1" applyBorder="1" applyAlignment="1">
      <alignment vertical="center"/>
    </xf>
    <xf numFmtId="1" fontId="1" fillId="0" borderId="20" xfId="3" applyNumberFormat="1" applyFont="1" applyBorder="1" applyAlignment="1">
      <alignment horizontal="center" vertical="center"/>
    </xf>
    <xf numFmtId="165" fontId="1" fillId="0" borderId="39" xfId="3" applyFont="1" applyBorder="1" applyAlignment="1">
      <alignment vertical="center"/>
    </xf>
    <xf numFmtId="165" fontId="1" fillId="0" borderId="40" xfId="3" applyFont="1" applyBorder="1" applyAlignment="1">
      <alignment vertical="center"/>
    </xf>
    <xf numFmtId="0" fontId="1" fillId="0" borderId="41" xfId="0" applyFont="1" applyBorder="1" applyAlignment="1">
      <alignment vertical="center"/>
    </xf>
    <xf numFmtId="1" fontId="1" fillId="0" borderId="37" xfId="3" applyNumberFormat="1" applyFont="1" applyBorder="1" applyAlignment="1">
      <alignment horizontal="center" vertical="center"/>
    </xf>
    <xf numFmtId="1" fontId="1" fillId="0" borderId="0" xfId="3" applyNumberFormat="1" applyFont="1" applyBorder="1" applyAlignment="1">
      <alignment horizontal="center" vertical="center"/>
    </xf>
    <xf numFmtId="166" fontId="1" fillId="0" borderId="0" xfId="3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1" fillId="3" borderId="2" xfId="3" applyFont="1" applyFill="1" applyBorder="1" applyAlignment="1">
      <alignment horizontal="center" vertical="center"/>
    </xf>
    <xf numFmtId="165" fontId="1" fillId="0" borderId="2" xfId="3" applyFont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165" fontId="1" fillId="0" borderId="1" xfId="3" applyFont="1" applyFill="1" applyBorder="1" applyAlignment="1">
      <alignment horizontal="center" vertical="center"/>
    </xf>
    <xf numFmtId="165" fontId="1" fillId="5" borderId="1" xfId="3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5" fontId="1" fillId="0" borderId="1" xfId="3" applyFont="1" applyBorder="1" applyAlignment="1">
      <alignment vertical="center"/>
    </xf>
    <xf numFmtId="2" fontId="1" fillId="0" borderId="1" xfId="3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166" fontId="1" fillId="0" borderId="1" xfId="3" applyNumberFormat="1" applyFont="1" applyBorder="1" applyAlignment="1">
      <alignment horizontal="center" vertical="center"/>
    </xf>
    <xf numFmtId="165" fontId="1" fillId="3" borderId="0" xfId="3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166" fontId="1" fillId="0" borderId="1" xfId="3" applyNumberFormat="1" applyFont="1" applyFill="1" applyBorder="1" applyAlignment="1">
      <alignment vertical="center"/>
    </xf>
    <xf numFmtId="166" fontId="1" fillId="0" borderId="1" xfId="3" applyNumberFormat="1" applyFont="1" applyFill="1" applyBorder="1" applyAlignment="1">
      <alignment horizontal="center" vertical="center"/>
    </xf>
    <xf numFmtId="13" fontId="1" fillId="3" borderId="1" xfId="0" applyNumberFormat="1" applyFont="1" applyFill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5" fontId="1" fillId="0" borderId="0" xfId="3" applyFont="1"/>
    <xf numFmtId="13" fontId="1" fillId="3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3" fontId="1" fillId="0" borderId="1" xfId="0" applyNumberFormat="1" applyFont="1" applyBorder="1" applyAlignment="1">
      <alignment vertical="center"/>
    </xf>
    <xf numFmtId="13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165" fontId="1" fillId="0" borderId="6" xfId="3" applyFont="1" applyBorder="1" applyAlignment="1">
      <alignment vertical="center"/>
    </xf>
    <xf numFmtId="165" fontId="1" fillId="0" borderId="7" xfId="3" applyFont="1" applyBorder="1" applyAlignment="1">
      <alignment vertical="center"/>
    </xf>
    <xf numFmtId="165" fontId="1" fillId="0" borderId="0" xfId="3" applyFont="1" applyAlignment="1">
      <alignment horizontal="center" vertical="center"/>
    </xf>
    <xf numFmtId="165" fontId="1" fillId="5" borderId="1" xfId="3" applyFont="1" applyFill="1" applyBorder="1" applyAlignment="1">
      <alignment vertical="center"/>
    </xf>
    <xf numFmtId="165" fontId="1" fillId="0" borderId="1" xfId="0" applyNumberFormat="1" applyFont="1" applyBorder="1" applyAlignment="1">
      <alignment horizontal="center" vertical="center"/>
    </xf>
    <xf numFmtId="3" fontId="1" fillId="0" borderId="0" xfId="0" applyNumberFormat="1" applyFont="1" applyAlignment="1">
      <alignment vertical="center"/>
    </xf>
    <xf numFmtId="166" fontId="1" fillId="0" borderId="0" xfId="3" applyNumberFormat="1" applyFont="1" applyBorder="1" applyAlignment="1">
      <alignment vertical="center"/>
    </xf>
    <xf numFmtId="4" fontId="1" fillId="0" borderId="2" xfId="0" applyNumberFormat="1" applyFont="1" applyBorder="1" applyAlignment="1">
      <alignment horizontal="center" vertical="center"/>
    </xf>
    <xf numFmtId="167" fontId="1" fillId="0" borderId="2" xfId="3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65" fontId="1" fillId="0" borderId="0" xfId="3" applyFont="1" applyFill="1" applyAlignment="1">
      <alignment vertical="center"/>
    </xf>
    <xf numFmtId="167" fontId="1" fillId="0" borderId="1" xfId="3" applyNumberFormat="1" applyFont="1" applyBorder="1" applyAlignment="1">
      <alignment horizontal="center" vertical="center"/>
    </xf>
    <xf numFmtId="165" fontId="1" fillId="0" borderId="2" xfId="3" applyFont="1" applyFill="1" applyBorder="1" applyAlignment="1">
      <alignment horizontal="center" vertical="center"/>
    </xf>
    <xf numFmtId="10" fontId="1" fillId="0" borderId="0" xfId="2" applyNumberFormat="1" applyFont="1" applyAlignment="1">
      <alignment vertical="center"/>
    </xf>
    <xf numFmtId="3" fontId="1" fillId="0" borderId="1" xfId="0" applyNumberFormat="1" applyFont="1" applyBorder="1" applyAlignment="1">
      <alignment horizontal="center" vertical="center"/>
    </xf>
    <xf numFmtId="165" fontId="1" fillId="0" borderId="0" xfId="3" applyFont="1" applyFill="1" applyBorder="1" applyAlignment="1">
      <alignment horizontal="center" vertical="center"/>
    </xf>
    <xf numFmtId="165" fontId="38" fillId="0" borderId="1" xfId="3" applyFont="1" applyBorder="1" applyAlignment="1">
      <alignment horizontal="center" vertical="center"/>
    </xf>
    <xf numFmtId="10" fontId="1" fillId="3" borderId="6" xfId="0" applyNumberFormat="1" applyFont="1" applyFill="1" applyBorder="1" applyAlignment="1">
      <alignment vertical="center"/>
    </xf>
    <xf numFmtId="0" fontId="1" fillId="0" borderId="9" xfId="0" applyFont="1" applyBorder="1" applyAlignment="1">
      <alignment vertical="center"/>
    </xf>
    <xf numFmtId="165" fontId="1" fillId="0" borderId="10" xfId="3" applyFont="1" applyBorder="1" applyAlignment="1">
      <alignment vertical="center"/>
    </xf>
    <xf numFmtId="173" fontId="1" fillId="0" borderId="0" xfId="2" applyNumberFormat="1" applyFont="1" applyAlignment="1">
      <alignment vertical="center"/>
    </xf>
    <xf numFmtId="0" fontId="1" fillId="0" borderId="2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2" fontId="30" fillId="0" borderId="0" xfId="0" applyNumberFormat="1" applyFont="1" applyAlignment="1">
      <alignment vertical="center"/>
    </xf>
    <xf numFmtId="44" fontId="1" fillId="0" borderId="0" xfId="4" applyFont="1" applyAlignment="1">
      <alignment vertical="center"/>
    </xf>
    <xf numFmtId="9" fontId="1" fillId="0" borderId="0" xfId="2" applyFont="1" applyAlignment="1">
      <alignment vertical="center"/>
    </xf>
    <xf numFmtId="3" fontId="3" fillId="0" borderId="0" xfId="0" applyNumberFormat="1" applyFont="1" applyAlignment="1">
      <alignment vertical="center"/>
    </xf>
    <xf numFmtId="44" fontId="3" fillId="0" borderId="0" xfId="4" applyFont="1" applyAlignment="1">
      <alignment vertical="center"/>
    </xf>
    <xf numFmtId="165" fontId="39" fillId="0" borderId="0" xfId="3" applyFont="1" applyAlignment="1">
      <alignment vertical="center"/>
    </xf>
    <xf numFmtId="0" fontId="39" fillId="0" borderId="0" xfId="0" applyFont="1" applyAlignment="1">
      <alignment vertical="center"/>
    </xf>
    <xf numFmtId="10" fontId="6" fillId="0" borderId="1" xfId="0" applyNumberFormat="1" applyFont="1" applyBorder="1" applyAlignment="1">
      <alignment horizontal="right" vertical="center"/>
    </xf>
    <xf numFmtId="44" fontId="0" fillId="0" borderId="0" xfId="0" applyNumberForma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3" fontId="1" fillId="0" borderId="1" xfId="3" applyNumberFormat="1" applyFont="1" applyBorder="1" applyAlignment="1">
      <alignment horizontal="center" vertical="center"/>
    </xf>
    <xf numFmtId="44" fontId="1" fillId="0" borderId="1" xfId="4" applyFont="1" applyBorder="1" applyAlignment="1">
      <alignment vertical="center"/>
    </xf>
    <xf numFmtId="0" fontId="3" fillId="0" borderId="0" xfId="0" applyFont="1" applyAlignment="1">
      <alignment horizontal="right"/>
    </xf>
    <xf numFmtId="44" fontId="3" fillId="0" borderId="0" xfId="0" applyNumberFormat="1" applyFont="1"/>
    <xf numFmtId="44" fontId="5" fillId="0" borderId="0" xfId="0" applyNumberFormat="1" applyFont="1"/>
    <xf numFmtId="10" fontId="6" fillId="3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165" fontId="4" fillId="7" borderId="5" xfId="3" applyFont="1" applyFill="1" applyBorder="1" applyAlignment="1">
      <alignment horizontal="center" vertical="center"/>
    </xf>
    <xf numFmtId="165" fontId="4" fillId="7" borderId="6" xfId="3" applyFont="1" applyFill="1" applyBorder="1" applyAlignment="1">
      <alignment horizontal="center" vertical="center"/>
    </xf>
    <xf numFmtId="165" fontId="4" fillId="7" borderId="7" xfId="3" applyFont="1" applyFill="1" applyBorder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3" xfId="3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" fillId="7" borderId="25" xfId="0" applyFont="1" applyFill="1" applyBorder="1" applyAlignment="1">
      <alignment horizontal="center" vertical="center"/>
    </xf>
    <xf numFmtId="0" fontId="15" fillId="7" borderId="26" xfId="0" applyFont="1" applyFill="1" applyBorder="1" applyAlignment="1">
      <alignment horizontal="center" vertical="center"/>
    </xf>
    <xf numFmtId="0" fontId="15" fillId="7" borderId="27" xfId="0" applyFont="1" applyFill="1" applyBorder="1" applyAlignment="1">
      <alignment horizontal="center" vertical="center"/>
    </xf>
    <xf numFmtId="0" fontId="7" fillId="7" borderId="44" xfId="0" applyFont="1" applyFill="1" applyBorder="1" applyAlignment="1">
      <alignment horizontal="center" vertical="center"/>
    </xf>
    <xf numFmtId="0" fontId="7" fillId="7" borderId="42" xfId="0" applyFont="1" applyFill="1" applyBorder="1" applyAlignment="1">
      <alignment horizontal="center" vertical="center"/>
    </xf>
    <xf numFmtId="0" fontId="7" fillId="7" borderId="45" xfId="0" applyFont="1" applyFill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165" fontId="3" fillId="0" borderId="9" xfId="3" applyFont="1" applyBorder="1" applyAlignment="1">
      <alignment horizontal="left" vertical="center"/>
    </xf>
    <xf numFmtId="176" fontId="3" fillId="0" borderId="29" xfId="3" applyNumberFormat="1" applyFont="1" applyBorder="1" applyAlignment="1">
      <alignment vertical="center" wrapText="1"/>
    </xf>
    <xf numFmtId="176" fontId="3" fillId="0" borderId="30" xfId="3" applyNumberFormat="1" applyFont="1" applyBorder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176" fontId="1" fillId="0" borderId="1" xfId="3" applyNumberFormat="1" applyFont="1" applyBorder="1" applyAlignment="1">
      <alignment vertical="center" wrapText="1"/>
    </xf>
    <xf numFmtId="176" fontId="1" fillId="0" borderId="20" xfId="3" applyNumberFormat="1" applyFont="1" applyBorder="1" applyAlignment="1">
      <alignment vertical="center" wrapText="1"/>
    </xf>
    <xf numFmtId="0" fontId="15" fillId="7" borderId="21" xfId="0" applyFont="1" applyFill="1" applyBorder="1" applyAlignment="1">
      <alignment horizontal="center" vertical="center"/>
    </xf>
    <xf numFmtId="0" fontId="15" fillId="7" borderId="22" xfId="0" applyFont="1" applyFill="1" applyBorder="1" applyAlignment="1">
      <alignment horizontal="center" vertical="center"/>
    </xf>
    <xf numFmtId="0" fontId="15" fillId="7" borderId="12" xfId="0" applyFont="1" applyFill="1" applyBorder="1" applyAlignment="1">
      <alignment horizontal="center" vertical="center"/>
    </xf>
    <xf numFmtId="0" fontId="15" fillId="9" borderId="19" xfId="0" applyFont="1" applyFill="1" applyBorder="1" applyAlignment="1">
      <alignment horizontal="center"/>
    </xf>
    <xf numFmtId="0" fontId="15" fillId="9" borderId="46" xfId="0" applyFont="1" applyFill="1" applyBorder="1" applyAlignment="1">
      <alignment horizontal="center"/>
    </xf>
    <xf numFmtId="4" fontId="29" fillId="0" borderId="0" xfId="0" applyNumberFormat="1" applyFont="1" applyAlignment="1">
      <alignment vertical="center" wrapText="1"/>
    </xf>
    <xf numFmtId="0" fontId="6" fillId="0" borderId="0" xfId="0" applyFont="1" applyAlignment="1">
      <alignment vertical="center"/>
    </xf>
    <xf numFmtId="4" fontId="6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4" fillId="9" borderId="25" xfId="0" applyFont="1" applyFill="1" applyBorder="1" applyAlignment="1">
      <alignment horizontal="center" vertical="center"/>
    </xf>
    <xf numFmtId="0" fontId="4" fillId="9" borderId="26" xfId="0" applyFont="1" applyFill="1" applyBorder="1" applyAlignment="1">
      <alignment horizontal="center" vertical="center"/>
    </xf>
    <xf numFmtId="0" fontId="4" fillId="9" borderId="27" xfId="0" applyFont="1" applyFill="1" applyBorder="1" applyAlignment="1">
      <alignment horizontal="center" vertical="center"/>
    </xf>
    <xf numFmtId="9" fontId="7" fillId="0" borderId="21" xfId="2" applyFont="1" applyBorder="1" applyAlignment="1">
      <alignment horizontal="center"/>
    </xf>
    <xf numFmtId="9" fontId="7" fillId="0" borderId="22" xfId="2" applyFont="1" applyBorder="1" applyAlignment="1">
      <alignment horizontal="center"/>
    </xf>
    <xf numFmtId="9" fontId="7" fillId="0" borderId="12" xfId="2" applyFont="1" applyBorder="1" applyAlignment="1">
      <alignment horizontal="center"/>
    </xf>
    <xf numFmtId="0" fontId="4" fillId="9" borderId="5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15" fillId="9" borderId="21" xfId="0" applyFont="1" applyFill="1" applyBorder="1" applyAlignment="1">
      <alignment horizontal="center"/>
    </xf>
    <xf numFmtId="0" fontId="15" fillId="9" borderId="22" xfId="0" applyFont="1" applyFill="1" applyBorder="1" applyAlignment="1">
      <alignment horizontal="center"/>
    </xf>
    <xf numFmtId="0" fontId="15" fillId="9" borderId="12" xfId="0" applyFont="1" applyFill="1" applyBorder="1" applyAlignment="1">
      <alignment horizontal="center"/>
    </xf>
  </cellXfs>
  <cellStyles count="5">
    <cellStyle name="Hiperlink" xfId="1" builtinId="8"/>
    <cellStyle name="Moeda" xfId="4" builtinId="4"/>
    <cellStyle name="Normal" xfId="0" builtinId="0"/>
    <cellStyle name="Porcentagem" xfId="2" builtinId="5"/>
    <cellStyle name="Vírgula" xfId="3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5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5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terra\usuarios$\69949719291\Desktop\6620\Documents\Res&#237;duos%20S&#243;lidos%20Rolim%20de%20Moura%20-%20Transporte%20-%202026.xlsx" TargetMode="External"/><Relationship Id="rId1" Type="http://schemas.openxmlformats.org/officeDocument/2006/relationships/externalLinkPath" Target="Res&#237;duos%20S&#243;lidos%20Rolim%20de%20Moura%20-%20Transporte%20-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. Coleta Domiciliar"/>
      <sheetName val="Rolim de Moura"/>
      <sheetName val="2.Encargos Sociais"/>
      <sheetName val="3.CAGED"/>
      <sheetName val="4.BDI"/>
      <sheetName val="5. Depreciação"/>
      <sheetName val="6.Remuneração de capital"/>
      <sheetName val="7. Dimensionamento"/>
    </sheetNames>
    <sheetDataSet>
      <sheetData sheetId="0"/>
      <sheetData sheetId="1"/>
      <sheetData sheetId="2">
        <row r="37">
          <cell r="C37">
            <v>0.70595951999999995</v>
          </cell>
        </row>
      </sheetData>
      <sheetData sheetId="3"/>
      <sheetData sheetId="4"/>
      <sheetData sheetId="5">
        <row r="3">
          <cell r="A3">
            <v>1</v>
          </cell>
          <cell r="B3">
            <v>33.629999999999995</v>
          </cell>
        </row>
        <row r="4">
          <cell r="A4">
            <v>2</v>
          </cell>
          <cell r="B4">
            <v>43.13</v>
          </cell>
        </row>
        <row r="5">
          <cell r="A5">
            <v>3</v>
          </cell>
          <cell r="B5">
            <v>48.68</v>
          </cell>
        </row>
        <row r="6">
          <cell r="A6">
            <v>4</v>
          </cell>
          <cell r="B6">
            <v>52.62</v>
          </cell>
        </row>
        <row r="7">
          <cell r="A7">
            <v>5</v>
          </cell>
          <cell r="B7">
            <v>55.679999999999993</v>
          </cell>
        </row>
        <row r="8">
          <cell r="A8">
            <v>6</v>
          </cell>
          <cell r="B8">
            <v>58.18</v>
          </cell>
        </row>
        <row r="9">
          <cell r="A9">
            <v>7</v>
          </cell>
          <cell r="B9">
            <v>60.29</v>
          </cell>
        </row>
        <row r="10">
          <cell r="A10">
            <v>8</v>
          </cell>
          <cell r="B10">
            <v>62.12</v>
          </cell>
        </row>
        <row r="11">
          <cell r="A11">
            <v>9</v>
          </cell>
          <cell r="B11">
            <v>63.73</v>
          </cell>
        </row>
        <row r="12">
          <cell r="A12">
            <v>10</v>
          </cell>
          <cell r="B12">
            <v>65.180000000000007</v>
          </cell>
        </row>
        <row r="13">
          <cell r="A13">
            <v>11</v>
          </cell>
          <cell r="B13">
            <v>66.47999999999999</v>
          </cell>
        </row>
        <row r="14">
          <cell r="A14">
            <v>12</v>
          </cell>
          <cell r="B14">
            <v>67.67</v>
          </cell>
        </row>
        <row r="15">
          <cell r="A15">
            <v>13</v>
          </cell>
          <cell r="B15">
            <v>68.77</v>
          </cell>
        </row>
        <row r="16">
          <cell r="A16">
            <v>14</v>
          </cell>
          <cell r="B16">
            <v>69.789999999999992</v>
          </cell>
        </row>
        <row r="17">
          <cell r="A17">
            <v>15</v>
          </cell>
          <cell r="B17">
            <v>70.73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79CFD-7579-469E-8707-F8350071B577}">
  <sheetPr>
    <pageSetUpPr fitToPage="1"/>
  </sheetPr>
  <dimension ref="A1:F7"/>
  <sheetViews>
    <sheetView showGridLines="0" tabSelected="1" view="pageBreakPreview" zoomScaleNormal="100" zoomScaleSheetLayoutView="100" workbookViewId="0">
      <selection activeCell="B27" sqref="B27"/>
    </sheetView>
  </sheetViews>
  <sheetFormatPr defaultRowHeight="12.75" x14ac:dyDescent="0.2"/>
  <cols>
    <col min="1" max="1" width="5.42578125" style="231" bestFit="1" customWidth="1"/>
    <col min="2" max="2" width="41" style="231" bestFit="1" customWidth="1"/>
    <col min="3" max="3" width="17.5703125" style="231" bestFit="1" customWidth="1"/>
    <col min="4" max="4" width="8" style="231" bestFit="1" customWidth="1"/>
    <col min="5" max="5" width="10.5703125" style="231" bestFit="1" customWidth="1"/>
    <col min="6" max="6" width="15.85546875" style="231" bestFit="1" customWidth="1"/>
    <col min="7" max="16384" width="9.140625" style="231"/>
  </cols>
  <sheetData>
    <row r="1" spans="1:6" x14ac:dyDescent="0.2">
      <c r="A1" s="405" t="s">
        <v>361</v>
      </c>
      <c r="B1" s="405"/>
      <c r="C1" s="405"/>
      <c r="D1" s="405"/>
      <c r="E1" s="405"/>
      <c r="F1" s="405"/>
    </row>
    <row r="2" spans="1:6" x14ac:dyDescent="0.2">
      <c r="A2" s="405" t="s">
        <v>362</v>
      </c>
      <c r="B2" s="405"/>
      <c r="C2" s="405"/>
      <c r="D2" s="405"/>
      <c r="E2" s="405"/>
      <c r="F2" s="405"/>
    </row>
    <row r="4" spans="1:6" x14ac:dyDescent="0.2">
      <c r="A4" s="397" t="s">
        <v>363</v>
      </c>
      <c r="B4" s="397" t="s">
        <v>364</v>
      </c>
      <c r="C4" s="397" t="s">
        <v>365</v>
      </c>
      <c r="D4" s="397" t="s">
        <v>366</v>
      </c>
      <c r="E4" s="397" t="s">
        <v>367</v>
      </c>
      <c r="F4" s="397" t="s">
        <v>368</v>
      </c>
    </row>
    <row r="5" spans="1:6" ht="63.75" customHeight="1" x14ac:dyDescent="0.2">
      <c r="A5" s="274">
        <v>1</v>
      </c>
      <c r="B5" s="398" t="s">
        <v>370</v>
      </c>
      <c r="C5" s="274" t="s">
        <v>371</v>
      </c>
      <c r="D5" s="399">
        <v>10800</v>
      </c>
      <c r="E5" s="400">
        <f>Coleta!F326</f>
        <v>0</v>
      </c>
      <c r="F5" s="400">
        <f>E5*D5</f>
        <v>0</v>
      </c>
    </row>
    <row r="6" spans="1:6" ht="63.75" customHeight="1" x14ac:dyDescent="0.2">
      <c r="A6" s="274">
        <v>2</v>
      </c>
      <c r="B6" s="398" t="s">
        <v>369</v>
      </c>
      <c r="C6" s="274" t="s">
        <v>372</v>
      </c>
      <c r="D6" s="399">
        <v>152880</v>
      </c>
      <c r="E6" s="400">
        <f>Transporte!F323</f>
        <v>0</v>
      </c>
      <c r="F6" s="400">
        <f>E6*D6</f>
        <v>0</v>
      </c>
    </row>
    <row r="7" spans="1:6" x14ac:dyDescent="0.2">
      <c r="E7" s="401" t="s">
        <v>373</v>
      </c>
      <c r="F7" s="402">
        <f>SUM(F5:F6)</f>
        <v>0</v>
      </c>
    </row>
  </sheetData>
  <mergeCells count="2">
    <mergeCell ref="A2:F2"/>
    <mergeCell ref="A1:F1"/>
  </mergeCells>
  <pageMargins left="0.59055118110236227" right="0.39370078740157483" top="0.59055118110236227" bottom="0.59055118110236227" header="0.31496062992125984" footer="0.31496062992125984"/>
  <pageSetup paperSize="9" scale="9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363"/>
  <sheetViews>
    <sheetView view="pageBreakPreview" topLeftCell="A310" zoomScaleNormal="100" zoomScaleSheetLayoutView="100" workbookViewId="0">
      <selection activeCell="F327" sqref="F327"/>
    </sheetView>
  </sheetViews>
  <sheetFormatPr defaultRowHeight="12.75" x14ac:dyDescent="0.2"/>
  <cols>
    <col min="1" max="1" width="44.5703125" style="9" customWidth="1"/>
    <col min="2" max="2" width="16" style="9" bestFit="1" customWidth="1"/>
    <col min="3" max="3" width="11.85546875" style="9" customWidth="1"/>
    <col min="4" max="4" width="14.7109375" style="10" customWidth="1"/>
    <col min="5" max="5" width="15.42578125" style="10" customWidth="1"/>
    <col min="6" max="6" width="13.28515625" style="10" customWidth="1"/>
    <col min="7" max="7" width="37.5703125" style="10" customWidth="1"/>
    <col min="8" max="8" width="27" style="260" bestFit="1" customWidth="1"/>
    <col min="9" max="9" width="27" style="9" bestFit="1" customWidth="1"/>
    <col min="10" max="11" width="5.7109375" style="9" bestFit="1" customWidth="1"/>
    <col min="12" max="12" width="3.140625" style="9" bestFit="1" customWidth="1"/>
    <col min="13" max="16384" width="9.140625" style="9"/>
  </cols>
  <sheetData>
    <row r="1" spans="1:8" ht="15.75" x14ac:dyDescent="0.2">
      <c r="A1" s="416" t="s">
        <v>297</v>
      </c>
      <c r="B1" s="416"/>
      <c r="C1" s="416"/>
      <c r="D1" s="416"/>
      <c r="E1" s="416"/>
      <c r="F1" s="416"/>
    </row>
    <row r="2" spans="1:8" ht="15.75" x14ac:dyDescent="0.2">
      <c r="A2" s="409" t="s">
        <v>298</v>
      </c>
      <c r="B2" s="409"/>
      <c r="C2" s="409"/>
      <c r="D2" s="409"/>
      <c r="E2" s="409"/>
      <c r="F2" s="409"/>
    </row>
    <row r="3" spans="1:8" ht="15.75" x14ac:dyDescent="0.2">
      <c r="A3" s="252"/>
    </row>
    <row r="4" spans="1:8" ht="16.5" thickBot="1" x14ac:dyDescent="0.25">
      <c r="A4" s="252"/>
      <c r="F4" s="270" t="s">
        <v>339</v>
      </c>
    </row>
    <row r="5" spans="1:8" s="8" customFormat="1" ht="18" x14ac:dyDescent="0.2">
      <c r="A5" s="417" t="s">
        <v>312</v>
      </c>
      <c r="B5" s="418"/>
      <c r="C5" s="418"/>
      <c r="D5" s="418"/>
      <c r="E5" s="418"/>
      <c r="F5" s="419"/>
      <c r="G5" s="35"/>
      <c r="H5" s="261"/>
    </row>
    <row r="6" spans="1:8" s="8" customFormat="1" ht="21.75" customHeight="1" x14ac:dyDescent="0.2">
      <c r="A6" s="420" t="s">
        <v>43</v>
      </c>
      <c r="B6" s="421"/>
      <c r="C6" s="421"/>
      <c r="D6" s="421"/>
      <c r="E6" s="421"/>
      <c r="F6" s="422"/>
      <c r="G6" s="35"/>
      <c r="H6" s="261"/>
    </row>
    <row r="7" spans="1:8" s="4" customFormat="1" ht="10.9" customHeight="1" thickBot="1" x14ac:dyDescent="0.25">
      <c r="A7" s="128"/>
      <c r="B7" s="5"/>
      <c r="C7" s="5"/>
      <c r="D7" s="129"/>
      <c r="E7" s="129"/>
      <c r="F7" s="130"/>
      <c r="G7" s="6"/>
      <c r="H7" s="260"/>
    </row>
    <row r="8" spans="1:8" s="4" customFormat="1" ht="15.75" customHeight="1" thickBot="1" x14ac:dyDescent="0.25">
      <c r="A8" s="410" t="s">
        <v>197</v>
      </c>
      <c r="B8" s="411"/>
      <c r="C8" s="411"/>
      <c r="D8" s="411"/>
      <c r="E8" s="411"/>
      <c r="F8" s="412"/>
      <c r="G8" s="6"/>
      <c r="H8" s="260"/>
    </row>
    <row r="9" spans="1:8" s="4" customFormat="1" ht="15.75" customHeight="1" x14ac:dyDescent="0.2">
      <c r="A9" s="59" t="s">
        <v>196</v>
      </c>
      <c r="B9" s="37"/>
      <c r="C9" s="37"/>
      <c r="D9" s="218"/>
      <c r="E9" s="97" t="s">
        <v>38</v>
      </c>
      <c r="F9" s="38" t="s">
        <v>2</v>
      </c>
      <c r="G9" s="6"/>
      <c r="H9" s="260"/>
    </row>
    <row r="10" spans="1:8" s="11" customFormat="1" ht="15.75" customHeight="1" x14ac:dyDescent="0.2">
      <c r="A10" s="106" t="str">
        <f>A47</f>
        <v>1. Mão-de-obra</v>
      </c>
      <c r="B10" s="107"/>
      <c r="C10" s="108"/>
      <c r="D10" s="108"/>
      <c r="E10" s="215">
        <f>+F155</f>
        <v>0</v>
      </c>
      <c r="F10" s="109">
        <f t="shared" ref="F10:F30" si="0">IFERROR(E10/$E$31,0)</f>
        <v>0</v>
      </c>
      <c r="G10" s="41"/>
      <c r="H10" s="260"/>
    </row>
    <row r="11" spans="1:8" s="4" customFormat="1" ht="15.75" customHeight="1" x14ac:dyDescent="0.2">
      <c r="A11" s="46" t="str">
        <f>A49</f>
        <v>1.1. Coletor Turno Dia</v>
      </c>
      <c r="B11" s="42"/>
      <c r="C11" s="44"/>
      <c r="D11" s="44"/>
      <c r="E11" s="216">
        <f>F60</f>
        <v>0</v>
      </c>
      <c r="F11" s="53">
        <f t="shared" si="0"/>
        <v>0</v>
      </c>
      <c r="G11" s="6"/>
      <c r="H11" s="260"/>
    </row>
    <row r="12" spans="1:8" s="4" customFormat="1" ht="15.75" customHeight="1" x14ac:dyDescent="0.2">
      <c r="A12" s="46" t="str">
        <f>A62</f>
        <v>1.2. Coletor Turno Noite</v>
      </c>
      <c r="B12" s="42"/>
      <c r="C12" s="44"/>
      <c r="D12" s="44"/>
      <c r="E12" s="216">
        <f>F79</f>
        <v>0</v>
      </c>
      <c r="F12" s="53">
        <f t="shared" si="0"/>
        <v>0</v>
      </c>
      <c r="G12" s="6"/>
      <c r="H12" s="260"/>
    </row>
    <row r="13" spans="1:8" s="4" customFormat="1" ht="15.75" customHeight="1" x14ac:dyDescent="0.2">
      <c r="A13" s="46" t="str">
        <f>A81</f>
        <v>1.3. Motorista Turno do Dia</v>
      </c>
      <c r="B13" s="42"/>
      <c r="C13" s="44"/>
      <c r="D13" s="44"/>
      <c r="E13" s="216">
        <f>F94</f>
        <v>0</v>
      </c>
      <c r="F13" s="53">
        <f t="shared" si="0"/>
        <v>0</v>
      </c>
      <c r="G13" s="6"/>
      <c r="H13" s="260"/>
    </row>
    <row r="14" spans="1:8" s="4" customFormat="1" ht="15.75" customHeight="1" x14ac:dyDescent="0.2">
      <c r="A14" s="46" t="str">
        <f>A96</f>
        <v>1.4. Motorista Turno Noite</v>
      </c>
      <c r="B14" s="42"/>
      <c r="C14" s="44"/>
      <c r="D14" s="44"/>
      <c r="E14" s="216">
        <f>F115</f>
        <v>0</v>
      </c>
      <c r="F14" s="53">
        <f t="shared" si="0"/>
        <v>0</v>
      </c>
      <c r="G14" s="6"/>
      <c r="H14" s="260"/>
    </row>
    <row r="15" spans="1:8" s="4" customFormat="1" ht="15.75" customHeight="1" x14ac:dyDescent="0.2">
      <c r="A15" s="46" t="str">
        <f>A117</f>
        <v>1.5. Supervisor</v>
      </c>
      <c r="B15" s="42"/>
      <c r="C15" s="44"/>
      <c r="D15" s="44"/>
      <c r="E15" s="216">
        <f>F130</f>
        <v>0</v>
      </c>
      <c r="F15" s="53">
        <f t="shared" si="0"/>
        <v>0</v>
      </c>
      <c r="G15" s="6"/>
      <c r="H15" s="260"/>
    </row>
    <row r="16" spans="1:8" s="4" customFormat="1" x14ac:dyDescent="0.2">
      <c r="A16" s="46" t="str">
        <f>A132</f>
        <v>1.6. Vale Transporte</v>
      </c>
      <c r="B16" s="42"/>
      <c r="C16" s="44"/>
      <c r="D16" s="44"/>
      <c r="E16" s="216">
        <f>F139</f>
        <v>0</v>
      </c>
      <c r="F16" s="53">
        <f t="shared" si="0"/>
        <v>0</v>
      </c>
      <c r="G16" s="6"/>
      <c r="H16" s="260"/>
    </row>
    <row r="17" spans="1:8" s="4" customFormat="1" ht="15.75" customHeight="1" x14ac:dyDescent="0.2">
      <c r="A17" s="46" t="str">
        <f>A148</f>
        <v>1.7. Auxílio Alimentação (mensal)</v>
      </c>
      <c r="B17" s="42"/>
      <c r="C17" s="44"/>
      <c r="D17" s="44"/>
      <c r="E17" s="216">
        <f>F153</f>
        <v>0</v>
      </c>
      <c r="F17" s="53">
        <f t="shared" si="0"/>
        <v>0</v>
      </c>
      <c r="G17" s="6"/>
      <c r="H17" s="260"/>
    </row>
    <row r="18" spans="1:8" s="11" customFormat="1" ht="15.75" customHeight="1" x14ac:dyDescent="0.2">
      <c r="A18" s="423" t="str">
        <f>A157</f>
        <v>2. Uniformes e Equipamentos de Proteção Individual</v>
      </c>
      <c r="B18" s="424"/>
      <c r="C18" s="424"/>
      <c r="D18" s="108"/>
      <c r="E18" s="215">
        <f>+F191</f>
        <v>0</v>
      </c>
      <c r="F18" s="109">
        <f t="shared" si="0"/>
        <v>0</v>
      </c>
      <c r="G18" s="41"/>
      <c r="H18" s="260"/>
    </row>
    <row r="19" spans="1:8" s="11" customFormat="1" ht="15.75" customHeight="1" x14ac:dyDescent="0.2">
      <c r="A19" s="117" t="str">
        <f>A193</f>
        <v>3. Veículos e Equipamentos</v>
      </c>
      <c r="B19" s="118"/>
      <c r="C19" s="108"/>
      <c r="D19" s="108"/>
      <c r="E19" s="215">
        <f>+F270</f>
        <v>0</v>
      </c>
      <c r="F19" s="109">
        <f t="shared" si="0"/>
        <v>0</v>
      </c>
      <c r="G19" s="41"/>
      <c r="H19" s="260"/>
    </row>
    <row r="20" spans="1:8" s="4" customFormat="1" ht="15.75" customHeight="1" x14ac:dyDescent="0.2">
      <c r="A20" s="60" t="str">
        <f>A195</f>
        <v>3.1. Veículo Coletor Compactador 15 m³</v>
      </c>
      <c r="B20" s="43"/>
      <c r="C20" s="44"/>
      <c r="D20" s="44"/>
      <c r="E20" s="216">
        <f>SUM(E21:E26)</f>
        <v>0</v>
      </c>
      <c r="F20" s="123">
        <f t="shared" si="0"/>
        <v>0</v>
      </c>
      <c r="G20" s="6"/>
      <c r="H20" s="260"/>
    </row>
    <row r="21" spans="1:8" s="4" customFormat="1" ht="15.75" customHeight="1" x14ac:dyDescent="0.2">
      <c r="A21" s="60" t="str">
        <f>A197</f>
        <v>3.1.1. Depreciação</v>
      </c>
      <c r="B21" s="43"/>
      <c r="C21" s="44"/>
      <c r="D21" s="44"/>
      <c r="E21" s="216">
        <f>F211</f>
        <v>0</v>
      </c>
      <c r="F21" s="123">
        <f t="shared" si="0"/>
        <v>0</v>
      </c>
      <c r="G21" s="6"/>
      <c r="H21" s="260"/>
    </row>
    <row r="22" spans="1:8" s="4" customFormat="1" ht="15.75" customHeight="1" x14ac:dyDescent="0.2">
      <c r="A22" s="60" t="str">
        <f>A213</f>
        <v>3.1.2. Remuneração do Capital</v>
      </c>
      <c r="B22" s="43"/>
      <c r="C22" s="44"/>
      <c r="D22" s="44"/>
      <c r="E22" s="216">
        <f>F227</f>
        <v>0</v>
      </c>
      <c r="F22" s="123">
        <f t="shared" si="0"/>
        <v>0</v>
      </c>
      <c r="G22" s="6"/>
      <c r="H22" s="260"/>
    </row>
    <row r="23" spans="1:8" s="4" customFormat="1" ht="15.75" customHeight="1" x14ac:dyDescent="0.2">
      <c r="A23" s="60" t="str">
        <f>A229</f>
        <v>3.1.3. Impostos e Seguros</v>
      </c>
      <c r="B23" s="43"/>
      <c r="C23" s="44"/>
      <c r="D23" s="44"/>
      <c r="E23" s="216">
        <f>F235</f>
        <v>0</v>
      </c>
      <c r="F23" s="123">
        <f t="shared" si="0"/>
        <v>0</v>
      </c>
      <c r="G23" s="6"/>
      <c r="H23" s="260"/>
    </row>
    <row r="24" spans="1:8" s="4" customFormat="1" ht="15.75" customHeight="1" x14ac:dyDescent="0.2">
      <c r="A24" s="60" t="str">
        <f>A237</f>
        <v>3.1.4. Consumos</v>
      </c>
      <c r="B24" s="43"/>
      <c r="C24" s="44"/>
      <c r="D24" s="44"/>
      <c r="E24" s="216">
        <f>F253</f>
        <v>0</v>
      </c>
      <c r="F24" s="123">
        <f t="shared" si="0"/>
        <v>0</v>
      </c>
      <c r="G24" s="6"/>
      <c r="H24" s="260"/>
    </row>
    <row r="25" spans="1:8" s="4" customFormat="1" ht="15.75" customHeight="1" x14ac:dyDescent="0.2">
      <c r="A25" s="60" t="str">
        <f>A255</f>
        <v>3.1.5. Manutenção</v>
      </c>
      <c r="B25" s="43"/>
      <c r="C25" s="44"/>
      <c r="D25" s="44"/>
      <c r="E25" s="216">
        <f>F258</f>
        <v>0</v>
      </c>
      <c r="F25" s="123">
        <f t="shared" si="0"/>
        <v>0</v>
      </c>
      <c r="G25" s="6"/>
      <c r="H25" s="260"/>
    </row>
    <row r="26" spans="1:8" s="4" customFormat="1" ht="15.75" customHeight="1" x14ac:dyDescent="0.2">
      <c r="A26" s="60" t="str">
        <f>A260</f>
        <v>3.1.6. Pneus</v>
      </c>
      <c r="B26" s="43"/>
      <c r="C26" s="44"/>
      <c r="D26" s="44"/>
      <c r="E26" s="216">
        <f>F267</f>
        <v>0</v>
      </c>
      <c r="F26" s="123">
        <f t="shared" si="0"/>
        <v>0</v>
      </c>
      <c r="G26" s="6"/>
      <c r="H26" s="260"/>
    </row>
    <row r="27" spans="1:8" s="11" customFormat="1" ht="15.75" customHeight="1" x14ac:dyDescent="0.2">
      <c r="A27" s="117" t="str">
        <f>A272</f>
        <v>4. Ferramentas e Materiais de Consumo</v>
      </c>
      <c r="B27" s="118"/>
      <c r="C27" s="108"/>
      <c r="D27" s="108"/>
      <c r="E27" s="215">
        <f>+F283</f>
        <v>0</v>
      </c>
      <c r="F27" s="109">
        <f t="shared" si="0"/>
        <v>0</v>
      </c>
      <c r="G27" s="41"/>
      <c r="H27" s="260"/>
    </row>
    <row r="28" spans="1:8" s="11" customFormat="1" ht="15.75" customHeight="1" x14ac:dyDescent="0.2">
      <c r="A28" s="117" t="str">
        <f>A285</f>
        <v>5. Monitoramento da Frota</v>
      </c>
      <c r="B28" s="118"/>
      <c r="C28" s="108"/>
      <c r="D28" s="108"/>
      <c r="E28" s="215">
        <f>+F294</f>
        <v>0</v>
      </c>
      <c r="F28" s="109">
        <f t="shared" si="0"/>
        <v>0</v>
      </c>
      <c r="G28" s="41"/>
      <c r="H28" s="260"/>
    </row>
    <row r="29" spans="1:8" s="11" customFormat="1" ht="15.75" customHeight="1" x14ac:dyDescent="0.2">
      <c r="A29" s="117" t="str">
        <f>A296</f>
        <v>6. Serviço de Pesagem</v>
      </c>
      <c r="B29" s="118"/>
      <c r="C29" s="108"/>
      <c r="D29" s="108"/>
      <c r="E29" s="215">
        <f>+F303</f>
        <v>0</v>
      </c>
      <c r="F29" s="109">
        <f t="shared" si="0"/>
        <v>0</v>
      </c>
      <c r="G29" s="41"/>
      <c r="H29" s="260"/>
    </row>
    <row r="30" spans="1:8" s="11" customFormat="1" ht="15.75" customHeight="1" thickBot="1" x14ac:dyDescent="0.25">
      <c r="A30" s="117" t="str">
        <f>A307</f>
        <v>7. Benefícios e Despesas Indiretas - BDI</v>
      </c>
      <c r="B30" s="118"/>
      <c r="C30" s="108"/>
      <c r="D30" s="108"/>
      <c r="E30" s="217">
        <f>+F313</f>
        <v>0</v>
      </c>
      <c r="F30" s="109">
        <f t="shared" si="0"/>
        <v>0</v>
      </c>
      <c r="G30" s="41"/>
      <c r="H30" s="260"/>
    </row>
    <row r="31" spans="1:8" s="4" customFormat="1" ht="15.75" customHeight="1" thickBot="1" x14ac:dyDescent="0.25">
      <c r="A31" s="39" t="s">
        <v>233</v>
      </c>
      <c r="B31" s="40"/>
      <c r="C31" s="26"/>
      <c r="D31" s="26"/>
      <c r="E31" s="96">
        <f>E10+E18+E19+E27+E28+E29+E30</f>
        <v>0</v>
      </c>
      <c r="F31" s="122">
        <f>F10+F18+F19+F27+F28+F29+F30</f>
        <v>0</v>
      </c>
      <c r="G31" s="6"/>
      <c r="H31" s="260"/>
    </row>
    <row r="32" spans="1:8" ht="13.5" thickBot="1" x14ac:dyDescent="0.25"/>
    <row r="33" spans="1:8" s="4" customFormat="1" ht="15" customHeight="1" thickBot="1" x14ac:dyDescent="0.25">
      <c r="A33" s="410" t="s">
        <v>93</v>
      </c>
      <c r="B33" s="411"/>
      <c r="C33" s="411"/>
      <c r="D33" s="411"/>
      <c r="E33" s="412"/>
      <c r="F33" s="10"/>
      <c r="G33" s="6"/>
      <c r="H33" s="260"/>
    </row>
    <row r="34" spans="1:8" s="4" customFormat="1" ht="15" customHeight="1" thickBot="1" x14ac:dyDescent="0.25">
      <c r="A34" s="413" t="s">
        <v>39</v>
      </c>
      <c r="B34" s="414"/>
      <c r="C34" s="414"/>
      <c r="D34" s="415"/>
      <c r="E34" s="45" t="s">
        <v>40</v>
      </c>
      <c r="F34" s="10"/>
      <c r="G34" s="6"/>
      <c r="H34" s="260"/>
    </row>
    <row r="35" spans="1:8" s="4" customFormat="1" ht="15" customHeight="1" x14ac:dyDescent="0.2">
      <c r="A35" s="68" t="str">
        <f>+A49</f>
        <v>1.1. Coletor Turno Dia</v>
      </c>
      <c r="B35" s="69"/>
      <c r="C35" s="69"/>
      <c r="D35" s="70"/>
      <c r="E35" s="71">
        <f>C59</f>
        <v>15</v>
      </c>
      <c r="F35" s="10"/>
      <c r="G35" s="6"/>
      <c r="H35" s="260"/>
    </row>
    <row r="36" spans="1:8" s="4" customFormat="1" ht="15" customHeight="1" x14ac:dyDescent="0.2">
      <c r="A36" s="62" t="str">
        <f>+A62</f>
        <v>1.2. Coletor Turno Noite</v>
      </c>
      <c r="B36" s="61"/>
      <c r="C36" s="61"/>
      <c r="D36" s="72"/>
      <c r="E36" s="65">
        <f>C78</f>
        <v>3</v>
      </c>
      <c r="F36" s="10"/>
      <c r="G36" s="6"/>
      <c r="H36" s="260"/>
    </row>
    <row r="37" spans="1:8" s="4" customFormat="1" ht="15" customHeight="1" x14ac:dyDescent="0.2">
      <c r="A37" s="62" t="str">
        <f>+A81</f>
        <v>1.3. Motorista Turno do Dia</v>
      </c>
      <c r="B37" s="61"/>
      <c r="C37" s="61"/>
      <c r="D37" s="72"/>
      <c r="E37" s="65">
        <f>C93</f>
        <v>5</v>
      </c>
      <c r="F37" s="10"/>
      <c r="G37" s="6"/>
      <c r="H37" s="260"/>
    </row>
    <row r="38" spans="1:8" s="4" customFormat="1" ht="15" customHeight="1" x14ac:dyDescent="0.2">
      <c r="A38" s="62" t="str">
        <f>+A96</f>
        <v>1.4. Motorista Turno Noite</v>
      </c>
      <c r="B38" s="61"/>
      <c r="C38" s="61"/>
      <c r="D38" s="72"/>
      <c r="E38" s="65">
        <f>C114</f>
        <v>1</v>
      </c>
      <c r="F38" s="10"/>
      <c r="G38" s="6"/>
      <c r="H38" s="260"/>
    </row>
    <row r="39" spans="1:8" s="4" customFormat="1" ht="15" customHeight="1" x14ac:dyDescent="0.2">
      <c r="A39" s="62" t="str">
        <f>+A117</f>
        <v>1.5. Supervisor</v>
      </c>
      <c r="B39" s="61"/>
      <c r="C39" s="61"/>
      <c r="D39" s="72"/>
      <c r="E39" s="65">
        <f>C129</f>
        <v>1</v>
      </c>
      <c r="F39" s="10"/>
      <c r="G39" s="6"/>
      <c r="H39" s="260"/>
    </row>
    <row r="40" spans="1:8" s="4" customFormat="1" ht="15" customHeight="1" thickBot="1" x14ac:dyDescent="0.25">
      <c r="A40" s="66" t="s">
        <v>57</v>
      </c>
      <c r="B40" s="67"/>
      <c r="C40" s="67"/>
      <c r="D40" s="73"/>
      <c r="E40" s="74">
        <f>SUM(E35:E39)</f>
        <v>25</v>
      </c>
      <c r="F40" s="10"/>
      <c r="G40" s="6"/>
      <c r="H40" s="260"/>
    </row>
    <row r="41" spans="1:8" s="4" customFormat="1" ht="15" customHeight="1" thickBot="1" x14ac:dyDescent="0.25">
      <c r="A41" s="110"/>
      <c r="B41" s="111"/>
      <c r="C41" s="54"/>
      <c r="D41" s="54"/>
      <c r="E41" s="112"/>
      <c r="F41" s="10"/>
      <c r="G41" s="6"/>
      <c r="H41" s="260"/>
    </row>
    <row r="42" spans="1:8" s="4" customFormat="1" ht="15" customHeight="1" x14ac:dyDescent="0.2">
      <c r="A42" s="407" t="s">
        <v>55</v>
      </c>
      <c r="B42" s="408"/>
      <c r="C42" s="408"/>
      <c r="D42" s="408"/>
      <c r="E42" s="45" t="s">
        <v>40</v>
      </c>
      <c r="F42" s="9"/>
      <c r="G42" s="6"/>
      <c r="H42" s="260"/>
    </row>
    <row r="43" spans="1:8" s="4" customFormat="1" ht="15" customHeight="1" thickBot="1" x14ac:dyDescent="0.25">
      <c r="A43" s="113" t="str">
        <f>+A195</f>
        <v>3.1. Veículo Coletor Compactador 15 m³</v>
      </c>
      <c r="B43" s="315" t="s">
        <v>326</v>
      </c>
      <c r="C43" s="114"/>
      <c r="D43" s="115"/>
      <c r="E43" s="116">
        <v>4</v>
      </c>
      <c r="F43" s="9"/>
      <c r="G43" s="6"/>
      <c r="H43" s="260"/>
    </row>
    <row r="44" spans="1:8" s="4" customFormat="1" ht="15" customHeight="1" thickBot="1" x14ac:dyDescent="0.25">
      <c r="A44" s="54"/>
      <c r="B44" s="54"/>
      <c r="C44" s="54"/>
      <c r="D44" s="9"/>
      <c r="E44" s="210"/>
      <c r="F44" s="9"/>
      <c r="G44" s="6"/>
      <c r="H44" s="260"/>
    </row>
    <row r="45" spans="1:8" s="11" customFormat="1" ht="15.75" customHeight="1" thickBot="1" x14ac:dyDescent="0.25">
      <c r="A45" s="219" t="s">
        <v>191</v>
      </c>
      <c r="B45" s="220">
        <v>1</v>
      </c>
      <c r="C45" s="34"/>
      <c r="E45" s="269"/>
      <c r="G45" s="41"/>
      <c r="H45" s="260"/>
    </row>
    <row r="46" spans="1:8" s="4" customFormat="1" ht="15.75" customHeight="1" x14ac:dyDescent="0.2">
      <c r="A46" s="54"/>
      <c r="B46" s="54"/>
      <c r="C46" s="54"/>
      <c r="D46" s="9"/>
      <c r="E46" s="63"/>
      <c r="F46" s="9"/>
      <c r="G46" s="6"/>
      <c r="H46" s="260"/>
    </row>
    <row r="47" spans="1:8" ht="13.15" customHeight="1" x14ac:dyDescent="0.2">
      <c r="A47" s="11" t="s">
        <v>47</v>
      </c>
    </row>
    <row r="48" spans="1:8" ht="11.25" customHeight="1" x14ac:dyDescent="0.2"/>
    <row r="49" spans="1:10" ht="13.9" customHeight="1" thickBot="1" x14ac:dyDescent="0.25">
      <c r="A49" s="9" t="s">
        <v>96</v>
      </c>
    </row>
    <row r="50" spans="1:10" ht="13.9" customHeight="1" thickBot="1" x14ac:dyDescent="0.25">
      <c r="A50" s="55" t="s">
        <v>61</v>
      </c>
      <c r="B50" s="56" t="s">
        <v>62</v>
      </c>
      <c r="C50" s="56" t="s">
        <v>40</v>
      </c>
      <c r="D50" s="57" t="s">
        <v>229</v>
      </c>
      <c r="E50" s="57" t="s">
        <v>63</v>
      </c>
      <c r="F50" s="58" t="s">
        <v>64</v>
      </c>
    </row>
    <row r="51" spans="1:10" x14ac:dyDescent="0.2">
      <c r="A51" s="13" t="s">
        <v>208</v>
      </c>
      <c r="B51" s="14" t="s">
        <v>8</v>
      </c>
      <c r="C51" s="14">
        <v>1</v>
      </c>
      <c r="D51" s="79"/>
      <c r="E51" s="15">
        <f>C51*D51</f>
        <v>0</v>
      </c>
      <c r="H51" s="260" t="s">
        <v>327</v>
      </c>
    </row>
    <row r="52" spans="1:10" x14ac:dyDescent="0.2">
      <c r="A52" s="16" t="s">
        <v>34</v>
      </c>
      <c r="B52" s="17" t="s">
        <v>0</v>
      </c>
      <c r="C52" s="307">
        <v>5</v>
      </c>
      <c r="D52" s="18">
        <f>D51/220*2</f>
        <v>0</v>
      </c>
      <c r="E52" s="18">
        <f>C52*D52</f>
        <v>0</v>
      </c>
      <c r="G52" s="10" t="s">
        <v>243</v>
      </c>
    </row>
    <row r="53" spans="1:10" x14ac:dyDescent="0.2">
      <c r="A53" s="16" t="s">
        <v>35</v>
      </c>
      <c r="B53" s="17" t="s">
        <v>0</v>
      </c>
      <c r="C53" s="307"/>
      <c r="D53" s="18">
        <f>D51/220*1.5</f>
        <v>0</v>
      </c>
      <c r="E53" s="18">
        <f>C53*D53</f>
        <v>0</v>
      </c>
      <c r="G53" s="10" t="s">
        <v>245</v>
      </c>
    </row>
    <row r="54" spans="1:10" x14ac:dyDescent="0.2">
      <c r="A54" s="16" t="s">
        <v>212</v>
      </c>
      <c r="B54" s="17" t="s">
        <v>33</v>
      </c>
      <c r="D54" s="18">
        <f>63/302*(SUM(E52:E53))</f>
        <v>0</v>
      </c>
      <c r="E54" s="18">
        <f>D54</f>
        <v>0</v>
      </c>
      <c r="G54" s="10" t="s">
        <v>211</v>
      </c>
    </row>
    <row r="55" spans="1:10" x14ac:dyDescent="0.2">
      <c r="A55" s="16" t="s">
        <v>1</v>
      </c>
      <c r="B55" s="17" t="s">
        <v>2</v>
      </c>
      <c r="C55" s="17">
        <v>40</v>
      </c>
      <c r="D55" s="75">
        <f>D84</f>
        <v>0</v>
      </c>
      <c r="E55" s="18">
        <f>C55*D55/100</f>
        <v>0</v>
      </c>
      <c r="H55" s="260" t="s">
        <v>328</v>
      </c>
    </row>
    <row r="56" spans="1:10" x14ac:dyDescent="0.2">
      <c r="A56" s="98" t="s">
        <v>3</v>
      </c>
      <c r="B56" s="99"/>
      <c r="C56" s="99"/>
      <c r="D56" s="100"/>
      <c r="E56" s="101">
        <f>SUM(E51:E55)</f>
        <v>0</v>
      </c>
    </row>
    <row r="57" spans="1:10" x14ac:dyDescent="0.2">
      <c r="A57" s="16" t="s">
        <v>4</v>
      </c>
      <c r="B57" s="17" t="s">
        <v>2</v>
      </c>
      <c r="C57" s="120">
        <f>'Encargos Sociais'!$C$34*100</f>
        <v>70.595951999999997</v>
      </c>
      <c r="D57" s="18">
        <f>E56</f>
        <v>0</v>
      </c>
      <c r="E57" s="18">
        <f>D57*C57/100</f>
        <v>0</v>
      </c>
    </row>
    <row r="58" spans="1:10" x14ac:dyDescent="0.2">
      <c r="A58" s="98" t="s">
        <v>69</v>
      </c>
      <c r="B58" s="99"/>
      <c r="C58" s="99"/>
      <c r="D58" s="100"/>
      <c r="E58" s="101">
        <f>E56+E57</f>
        <v>0</v>
      </c>
    </row>
    <row r="59" spans="1:10" s="260" customFormat="1" ht="13.5" thickBot="1" x14ac:dyDescent="0.25">
      <c r="A59" s="16" t="s">
        <v>5</v>
      </c>
      <c r="B59" s="17" t="s">
        <v>6</v>
      </c>
      <c r="C59" s="78">
        <v>15</v>
      </c>
      <c r="D59" s="18">
        <f>E58</f>
        <v>0</v>
      </c>
      <c r="E59" s="18">
        <f>C59*D59</f>
        <v>0</v>
      </c>
      <c r="F59" s="10"/>
      <c r="G59" s="6"/>
      <c r="I59" s="9"/>
      <c r="J59" s="9"/>
    </row>
    <row r="60" spans="1:10" s="260" customFormat="1" ht="13.9" customHeight="1" thickBot="1" x14ac:dyDescent="0.25">
      <c r="A60" s="9"/>
      <c r="B60" s="9"/>
      <c r="C60" s="9"/>
      <c r="D60" s="104" t="s">
        <v>190</v>
      </c>
      <c r="E60" s="47">
        <f>$B$45</f>
        <v>1</v>
      </c>
      <c r="F60" s="105">
        <f>E59*E60</f>
        <v>0</v>
      </c>
      <c r="G60" s="6"/>
      <c r="I60" s="9"/>
      <c r="J60" s="9"/>
    </row>
    <row r="61" spans="1:10" s="260" customFormat="1" ht="11.25" customHeight="1" x14ac:dyDescent="0.2">
      <c r="A61" s="9"/>
      <c r="B61" s="9"/>
      <c r="C61" s="9"/>
      <c r="D61" s="10"/>
      <c r="E61" s="10"/>
      <c r="F61" s="10"/>
      <c r="G61" s="10"/>
      <c r="I61" s="9"/>
      <c r="J61" s="9"/>
    </row>
    <row r="62" spans="1:10" s="260" customFormat="1" ht="13.5" thickBot="1" x14ac:dyDescent="0.25">
      <c r="A62" s="9" t="s">
        <v>87</v>
      </c>
      <c r="B62" s="9"/>
      <c r="C62" s="9"/>
      <c r="D62" s="10"/>
      <c r="E62" s="10"/>
      <c r="F62" s="10"/>
      <c r="G62" s="10"/>
      <c r="I62" s="9"/>
      <c r="J62" s="9"/>
    </row>
    <row r="63" spans="1:10" s="260" customFormat="1" ht="13.5" thickBot="1" x14ac:dyDescent="0.25">
      <c r="A63" s="55" t="s">
        <v>61</v>
      </c>
      <c r="B63" s="56" t="s">
        <v>62</v>
      </c>
      <c r="C63" s="56" t="s">
        <v>40</v>
      </c>
      <c r="D63" s="57" t="s">
        <v>229</v>
      </c>
      <c r="E63" s="57" t="s">
        <v>63</v>
      </c>
      <c r="F63" s="58" t="s">
        <v>64</v>
      </c>
      <c r="G63" s="10"/>
      <c r="I63" s="9"/>
      <c r="J63" s="9"/>
    </row>
    <row r="64" spans="1:10" s="260" customFormat="1" x14ac:dyDescent="0.2">
      <c r="A64" s="13" t="s">
        <v>208</v>
      </c>
      <c r="B64" s="14" t="s">
        <v>8</v>
      </c>
      <c r="C64" s="14">
        <v>1</v>
      </c>
      <c r="D64" s="15">
        <f>D51</f>
        <v>0</v>
      </c>
      <c r="E64" s="15">
        <f>C64*D64</f>
        <v>0</v>
      </c>
      <c r="F64" s="10"/>
      <c r="G64" s="10"/>
      <c r="I64" s="9"/>
      <c r="J64" s="9"/>
    </row>
    <row r="65" spans="1:10" s="260" customFormat="1" x14ac:dyDescent="0.2">
      <c r="A65" s="16" t="s">
        <v>7</v>
      </c>
      <c r="B65" s="17" t="s">
        <v>94</v>
      </c>
      <c r="C65" s="307">
        <v>26</v>
      </c>
      <c r="D65" s="18"/>
      <c r="E65" s="18"/>
      <c r="F65" s="10"/>
      <c r="G65" s="10"/>
      <c r="I65" s="9"/>
      <c r="J65" s="9"/>
    </row>
    <row r="66" spans="1:10" s="260" customFormat="1" x14ac:dyDescent="0.2">
      <c r="A66" s="16"/>
      <c r="B66" s="17" t="s">
        <v>99</v>
      </c>
      <c r="C66" s="102">
        <f>C65*8/7</f>
        <v>29.714285714285715</v>
      </c>
      <c r="D66" s="18">
        <f>D64/220*0.2</f>
        <v>0</v>
      </c>
      <c r="E66" s="18">
        <f>C66*D66</f>
        <v>0</v>
      </c>
      <c r="F66" s="10"/>
      <c r="G66" s="10"/>
      <c r="I66" s="9"/>
      <c r="J66" s="9"/>
    </row>
    <row r="67" spans="1:10" s="260" customFormat="1" x14ac:dyDescent="0.2">
      <c r="A67" s="16" t="s">
        <v>34</v>
      </c>
      <c r="B67" s="17" t="s">
        <v>0</v>
      </c>
      <c r="C67" s="307">
        <v>5</v>
      </c>
      <c r="D67" s="18">
        <f>D64/220*2</f>
        <v>0</v>
      </c>
      <c r="E67" s="18">
        <f>C67*D67</f>
        <v>0</v>
      </c>
      <c r="F67" s="10"/>
      <c r="G67" s="10" t="s">
        <v>243</v>
      </c>
      <c r="I67" s="9"/>
      <c r="J67" s="9"/>
    </row>
    <row r="68" spans="1:10" s="260" customFormat="1" x14ac:dyDescent="0.2">
      <c r="A68" s="16" t="s">
        <v>95</v>
      </c>
      <c r="B68" s="17" t="s">
        <v>94</v>
      </c>
      <c r="C68" s="307"/>
      <c r="D68" s="18"/>
      <c r="E68" s="18"/>
      <c r="F68" s="10"/>
      <c r="G68" s="10" t="s">
        <v>244</v>
      </c>
      <c r="I68" s="9"/>
      <c r="J68" s="9"/>
    </row>
    <row r="69" spans="1:10" s="260" customFormat="1" x14ac:dyDescent="0.2">
      <c r="A69" s="16"/>
      <c r="B69" s="17" t="s">
        <v>99</v>
      </c>
      <c r="C69" s="102">
        <f>C68*8/7</f>
        <v>0</v>
      </c>
      <c r="D69" s="18">
        <f>D64/220*2*1.2</f>
        <v>0</v>
      </c>
      <c r="E69" s="18">
        <f>C69*D69</f>
        <v>0</v>
      </c>
      <c r="F69" s="10"/>
      <c r="G69" s="10" t="s">
        <v>244</v>
      </c>
      <c r="I69" s="9"/>
      <c r="J69" s="9"/>
    </row>
    <row r="70" spans="1:10" s="260" customFormat="1" hidden="1" x14ac:dyDescent="0.2">
      <c r="A70" s="267" t="s">
        <v>35</v>
      </c>
      <c r="B70" s="17" t="s">
        <v>0</v>
      </c>
      <c r="C70" s="80"/>
      <c r="D70" s="18">
        <f>D64/180*1.5</f>
        <v>0</v>
      </c>
      <c r="E70" s="18">
        <f>C70*D70</f>
        <v>0</v>
      </c>
      <c r="F70" s="10"/>
      <c r="G70" s="10" t="s">
        <v>245</v>
      </c>
      <c r="I70" s="9"/>
      <c r="J70" s="9"/>
    </row>
    <row r="71" spans="1:10" s="260" customFormat="1" hidden="1" x14ac:dyDescent="0.2">
      <c r="A71" s="267" t="s">
        <v>210</v>
      </c>
      <c r="B71" s="17" t="s">
        <v>94</v>
      </c>
      <c r="C71" s="80"/>
      <c r="D71" s="18"/>
      <c r="E71" s="18"/>
      <c r="F71" s="10"/>
      <c r="G71" s="10" t="s">
        <v>246</v>
      </c>
      <c r="I71" s="9"/>
      <c r="J71" s="9"/>
    </row>
    <row r="72" spans="1:10" s="260" customFormat="1" hidden="1" x14ac:dyDescent="0.2">
      <c r="A72" s="16"/>
      <c r="B72" s="17" t="s">
        <v>99</v>
      </c>
      <c r="C72" s="18">
        <f>C71*8/7</f>
        <v>0</v>
      </c>
      <c r="D72" s="18">
        <f>D64/180*1.5*1.2</f>
        <v>0</v>
      </c>
      <c r="E72" s="18">
        <f>C72*D72</f>
        <v>0</v>
      </c>
      <c r="F72" s="10"/>
      <c r="G72" s="10" t="s">
        <v>246</v>
      </c>
      <c r="I72" s="9"/>
      <c r="J72" s="9"/>
    </row>
    <row r="73" spans="1:10" s="260" customFormat="1" x14ac:dyDescent="0.2">
      <c r="A73" s="16" t="s">
        <v>212</v>
      </c>
      <c r="B73" s="17" t="s">
        <v>33</v>
      </c>
      <c r="C73" s="9"/>
      <c r="D73" s="18">
        <f>63/302*(SUM(E67:E72))</f>
        <v>0</v>
      </c>
      <c r="E73" s="18">
        <f>D73</f>
        <v>0</v>
      </c>
      <c r="F73" s="10"/>
      <c r="G73" s="10" t="s">
        <v>211</v>
      </c>
      <c r="I73" s="9"/>
      <c r="J73" s="9"/>
    </row>
    <row r="74" spans="1:10" s="260" customFormat="1" x14ac:dyDescent="0.2">
      <c r="A74" s="16" t="s">
        <v>1</v>
      </c>
      <c r="B74" s="17" t="s">
        <v>2</v>
      </c>
      <c r="C74" s="17">
        <f>+C55</f>
        <v>40</v>
      </c>
      <c r="D74" s="75">
        <f>D84</f>
        <v>0</v>
      </c>
      <c r="E74" s="18">
        <f>C74*D74/100</f>
        <v>0</v>
      </c>
      <c r="F74" s="10"/>
      <c r="G74" s="10"/>
      <c r="H74" s="260" t="s">
        <v>328</v>
      </c>
      <c r="I74" s="9"/>
      <c r="J74" s="9"/>
    </row>
    <row r="75" spans="1:10" x14ac:dyDescent="0.2">
      <c r="A75" s="98" t="s">
        <v>3</v>
      </c>
      <c r="B75" s="99"/>
      <c r="C75" s="99"/>
      <c r="D75" s="100"/>
      <c r="E75" s="101">
        <f>SUM(E64:E74)</f>
        <v>0</v>
      </c>
    </row>
    <row r="76" spans="1:10" x14ac:dyDescent="0.2">
      <c r="A76" s="16" t="s">
        <v>4</v>
      </c>
      <c r="B76" s="17" t="s">
        <v>2</v>
      </c>
      <c r="C76" s="120">
        <f>'Encargos Sociais'!$C$34*100</f>
        <v>70.595951999999997</v>
      </c>
      <c r="D76" s="18">
        <f>E75</f>
        <v>0</v>
      </c>
      <c r="E76" s="18">
        <f>D76*C76/100</f>
        <v>0</v>
      </c>
    </row>
    <row r="77" spans="1:10" x14ac:dyDescent="0.2">
      <c r="A77" s="98" t="s">
        <v>69</v>
      </c>
      <c r="B77" s="99"/>
      <c r="C77" s="99"/>
      <c r="D77" s="100"/>
      <c r="E77" s="101">
        <f>E75+E76</f>
        <v>0</v>
      </c>
    </row>
    <row r="78" spans="1:10" ht="13.5" thickBot="1" x14ac:dyDescent="0.25">
      <c r="A78" s="16" t="s">
        <v>5</v>
      </c>
      <c r="B78" s="17" t="s">
        <v>6</v>
      </c>
      <c r="C78" s="78">
        <v>3</v>
      </c>
      <c r="D78" s="18">
        <f>E77</f>
        <v>0</v>
      </c>
      <c r="E78" s="18">
        <f>C78*D78</f>
        <v>0</v>
      </c>
    </row>
    <row r="79" spans="1:10" ht="13.5" thickBot="1" x14ac:dyDescent="0.25">
      <c r="D79" s="104" t="s">
        <v>190</v>
      </c>
      <c r="E79" s="47">
        <f>$B$45</f>
        <v>1</v>
      </c>
      <c r="F79" s="105">
        <f>E78*E79</f>
        <v>0</v>
      </c>
    </row>
    <row r="80" spans="1:10" ht="11.25" customHeight="1" x14ac:dyDescent="0.2"/>
    <row r="81" spans="1:8" ht="13.5" thickBot="1" x14ac:dyDescent="0.25">
      <c r="A81" s="9" t="s">
        <v>97</v>
      </c>
    </row>
    <row r="82" spans="1:8" s="12" customFormat="1" ht="13.15" customHeight="1" thickBot="1" x14ac:dyDescent="0.25">
      <c r="A82" s="55" t="s">
        <v>61</v>
      </c>
      <c r="B82" s="56" t="s">
        <v>62</v>
      </c>
      <c r="C82" s="56" t="s">
        <v>40</v>
      </c>
      <c r="D82" s="57" t="s">
        <v>229</v>
      </c>
      <c r="E82" s="57" t="s">
        <v>63</v>
      </c>
      <c r="F82" s="58" t="s">
        <v>64</v>
      </c>
      <c r="G82" s="10"/>
      <c r="H82" s="262"/>
    </row>
    <row r="83" spans="1:8" x14ac:dyDescent="0.2">
      <c r="A83" s="254" t="s">
        <v>282</v>
      </c>
      <c r="B83" s="14" t="s">
        <v>8</v>
      </c>
      <c r="C83" s="14">
        <v>1</v>
      </c>
      <c r="D83" s="79"/>
      <c r="E83" s="15">
        <f>C83*D83</f>
        <v>0</v>
      </c>
      <c r="H83" s="260" t="s">
        <v>327</v>
      </c>
    </row>
    <row r="84" spans="1:8" x14ac:dyDescent="0.2">
      <c r="A84" s="254" t="s">
        <v>283</v>
      </c>
      <c r="B84" s="14" t="s">
        <v>8</v>
      </c>
      <c r="C84" s="14">
        <v>1</v>
      </c>
      <c r="D84" s="79"/>
      <c r="E84" s="15"/>
      <c r="H84" s="260" t="s">
        <v>328</v>
      </c>
    </row>
    <row r="85" spans="1:8" x14ac:dyDescent="0.2">
      <c r="A85" s="16" t="s">
        <v>34</v>
      </c>
      <c r="B85" s="17" t="s">
        <v>0</v>
      </c>
      <c r="C85" s="307">
        <v>5</v>
      </c>
      <c r="D85" s="18">
        <f>D83/220*2</f>
        <v>0</v>
      </c>
      <c r="E85" s="18">
        <f>C85*D85</f>
        <v>0</v>
      </c>
      <c r="G85" s="10" t="s">
        <v>243</v>
      </c>
    </row>
    <row r="86" spans="1:8" hidden="1" x14ac:dyDescent="0.2">
      <c r="A86" s="16" t="s">
        <v>35</v>
      </c>
      <c r="B86" s="17" t="s">
        <v>0</v>
      </c>
      <c r="C86" s="80"/>
      <c r="D86" s="18">
        <f>D83/220*1.5</f>
        <v>0</v>
      </c>
      <c r="E86" s="18">
        <f>C86*D86</f>
        <v>0</v>
      </c>
      <c r="G86" s="10" t="s">
        <v>245</v>
      </c>
    </row>
    <row r="87" spans="1:8" x14ac:dyDescent="0.2">
      <c r="A87" s="16" t="s">
        <v>212</v>
      </c>
      <c r="B87" s="17" t="s">
        <v>33</v>
      </c>
      <c r="D87" s="18">
        <f>63/302*(SUM(E85:E86))</f>
        <v>0</v>
      </c>
      <c r="E87" s="18">
        <f>D87</f>
        <v>0</v>
      </c>
      <c r="G87" s="10" t="s">
        <v>211</v>
      </c>
    </row>
    <row r="88" spans="1:8" hidden="1" x14ac:dyDescent="0.2">
      <c r="A88" s="16" t="s">
        <v>209</v>
      </c>
      <c r="B88" s="17"/>
      <c r="C88" s="82">
        <v>1</v>
      </c>
      <c r="D88" s="18"/>
      <c r="E88" s="18"/>
    </row>
    <row r="89" spans="1:8" x14ac:dyDescent="0.2">
      <c r="A89" s="16" t="s">
        <v>1</v>
      </c>
      <c r="B89" s="17" t="s">
        <v>2</v>
      </c>
      <c r="C89" s="17">
        <v>40</v>
      </c>
      <c r="D89" s="75">
        <f>D84</f>
        <v>0</v>
      </c>
      <c r="E89" s="18">
        <f>C89*D89/100</f>
        <v>0</v>
      </c>
    </row>
    <row r="90" spans="1:8" s="11" customFormat="1" x14ac:dyDescent="0.2">
      <c r="A90" s="88" t="s">
        <v>3</v>
      </c>
      <c r="B90" s="99"/>
      <c r="C90" s="99"/>
      <c r="D90" s="100"/>
      <c r="E90" s="90">
        <f>SUM(E83:E89)</f>
        <v>0</v>
      </c>
      <c r="F90" s="41"/>
      <c r="G90" s="41"/>
      <c r="H90" s="260"/>
    </row>
    <row r="91" spans="1:8" x14ac:dyDescent="0.2">
      <c r="A91" s="16" t="s">
        <v>4</v>
      </c>
      <c r="B91" s="17" t="s">
        <v>2</v>
      </c>
      <c r="C91" s="120">
        <f>'Encargos Sociais'!$C$34*100</f>
        <v>70.595951999999997</v>
      </c>
      <c r="D91" s="18">
        <f>E90</f>
        <v>0</v>
      </c>
      <c r="E91" s="18">
        <f>D91*C91/100</f>
        <v>0</v>
      </c>
    </row>
    <row r="92" spans="1:8" s="11" customFormat="1" x14ac:dyDescent="0.2">
      <c r="A92" s="88" t="s">
        <v>247</v>
      </c>
      <c r="B92" s="223"/>
      <c r="C92" s="223"/>
      <c r="D92" s="224"/>
      <c r="E92" s="90">
        <f>E90+E91</f>
        <v>0</v>
      </c>
      <c r="F92" s="41"/>
      <c r="G92" s="41"/>
      <c r="H92" s="260"/>
    </row>
    <row r="93" spans="1:8" ht="13.5" thickBot="1" x14ac:dyDescent="0.25">
      <c r="A93" s="16" t="s">
        <v>5</v>
      </c>
      <c r="B93" s="17" t="s">
        <v>6</v>
      </c>
      <c r="C93" s="78">
        <v>5</v>
      </c>
      <c r="D93" s="18">
        <f>E92</f>
        <v>0</v>
      </c>
      <c r="E93" s="18">
        <f>C93*D93</f>
        <v>0</v>
      </c>
    </row>
    <row r="94" spans="1:8" ht="13.5" thickBot="1" x14ac:dyDescent="0.25">
      <c r="D94" s="104" t="s">
        <v>190</v>
      </c>
      <c r="E94" s="47">
        <f>$B$45</f>
        <v>1</v>
      </c>
      <c r="F94" s="105">
        <f>E93*E94</f>
        <v>0</v>
      </c>
    </row>
    <row r="95" spans="1:8" ht="11.25" customHeight="1" x14ac:dyDescent="0.2"/>
    <row r="96" spans="1:8" ht="13.5" thickBot="1" x14ac:dyDescent="0.25">
      <c r="A96" s="9" t="s">
        <v>98</v>
      </c>
    </row>
    <row r="97" spans="1:8" ht="13.5" thickBot="1" x14ac:dyDescent="0.25">
      <c r="A97" s="55" t="s">
        <v>61</v>
      </c>
      <c r="B97" s="56" t="s">
        <v>62</v>
      </c>
      <c r="C97" s="56" t="s">
        <v>40</v>
      </c>
      <c r="D97" s="57" t="s">
        <v>229</v>
      </c>
      <c r="E97" s="57" t="s">
        <v>63</v>
      </c>
      <c r="F97" s="58" t="s">
        <v>64</v>
      </c>
    </row>
    <row r="98" spans="1:8" x14ac:dyDescent="0.2">
      <c r="A98" s="254" t="s">
        <v>282</v>
      </c>
      <c r="B98" s="14" t="s">
        <v>8</v>
      </c>
      <c r="C98" s="14">
        <v>1</v>
      </c>
      <c r="D98" s="15">
        <f>D83</f>
        <v>0</v>
      </c>
      <c r="E98" s="15">
        <f>C98*D98</f>
        <v>0</v>
      </c>
    </row>
    <row r="99" spans="1:8" x14ac:dyDescent="0.2">
      <c r="A99" s="254" t="s">
        <v>283</v>
      </c>
      <c r="B99" s="14" t="s">
        <v>8</v>
      </c>
      <c r="C99" s="14">
        <v>1</v>
      </c>
      <c r="D99" s="18">
        <f>D84</f>
        <v>0</v>
      </c>
      <c r="E99" s="18"/>
    </row>
    <row r="100" spans="1:8" x14ac:dyDescent="0.2">
      <c r="A100" s="16" t="s">
        <v>7</v>
      </c>
      <c r="B100" s="17" t="s">
        <v>94</v>
      </c>
      <c r="C100" s="308">
        <v>26</v>
      </c>
      <c r="D100" s="16"/>
      <c r="E100" s="16"/>
    </row>
    <row r="101" spans="1:8" x14ac:dyDescent="0.2">
      <c r="A101" s="16"/>
      <c r="B101" s="17" t="s">
        <v>99</v>
      </c>
      <c r="C101" s="18">
        <f>C100*8/7</f>
        <v>29.714285714285715</v>
      </c>
      <c r="D101" s="18">
        <f>D98/220*0.2</f>
        <v>0</v>
      </c>
      <c r="E101" s="18">
        <f>C101*D101</f>
        <v>0</v>
      </c>
    </row>
    <row r="102" spans="1:8" x14ac:dyDescent="0.2">
      <c r="A102" s="16" t="s">
        <v>34</v>
      </c>
      <c r="B102" s="17" t="s">
        <v>0</v>
      </c>
      <c r="C102" s="307">
        <v>5</v>
      </c>
      <c r="D102" s="18">
        <f>D98/220*2</f>
        <v>0</v>
      </c>
      <c r="E102" s="18">
        <f>C102*D102</f>
        <v>0</v>
      </c>
      <c r="G102" s="10" t="s">
        <v>243</v>
      </c>
    </row>
    <row r="103" spans="1:8" hidden="1" x14ac:dyDescent="0.2">
      <c r="A103" s="16" t="s">
        <v>95</v>
      </c>
      <c r="B103" s="17" t="s">
        <v>94</v>
      </c>
      <c r="C103" s="80"/>
      <c r="D103" s="18"/>
      <c r="E103" s="18"/>
      <c r="G103" s="10" t="s">
        <v>244</v>
      </c>
    </row>
    <row r="104" spans="1:8" hidden="1" x14ac:dyDescent="0.2">
      <c r="A104" s="16"/>
      <c r="B104" s="17" t="s">
        <v>99</v>
      </c>
      <c r="C104" s="18">
        <f>C103*8/7</f>
        <v>0</v>
      </c>
      <c r="D104" s="18">
        <f>D98/220*2*1.2</f>
        <v>0</v>
      </c>
      <c r="E104" s="18">
        <f>C104*D104</f>
        <v>0</v>
      </c>
      <c r="G104" s="10" t="s">
        <v>244</v>
      </c>
    </row>
    <row r="105" spans="1:8" hidden="1" x14ac:dyDescent="0.2">
      <c r="A105" s="16" t="s">
        <v>35</v>
      </c>
      <c r="B105" s="17" t="s">
        <v>0</v>
      </c>
      <c r="C105" s="80"/>
      <c r="D105" s="18">
        <f>D98/180*1.5</f>
        <v>0</v>
      </c>
      <c r="E105" s="18">
        <f>C105*D105</f>
        <v>0</v>
      </c>
      <c r="G105" s="10" t="s">
        <v>245</v>
      </c>
    </row>
    <row r="106" spans="1:8" hidden="1" x14ac:dyDescent="0.2">
      <c r="A106" s="16" t="s">
        <v>210</v>
      </c>
      <c r="B106" s="17" t="s">
        <v>94</v>
      </c>
      <c r="C106" s="80"/>
      <c r="D106" s="18"/>
      <c r="E106" s="18"/>
      <c r="G106" s="10" t="s">
        <v>246</v>
      </c>
    </row>
    <row r="107" spans="1:8" hidden="1" x14ac:dyDescent="0.2">
      <c r="A107" s="16"/>
      <c r="B107" s="17" t="s">
        <v>99</v>
      </c>
      <c r="C107" s="18">
        <f>C106*8/7</f>
        <v>0</v>
      </c>
      <c r="D107" s="18">
        <f>D98/180*1.5*1.2</f>
        <v>0</v>
      </c>
      <c r="E107" s="18">
        <f>C107*D107</f>
        <v>0</v>
      </c>
      <c r="G107" s="10" t="s">
        <v>246</v>
      </c>
    </row>
    <row r="108" spans="1:8" ht="13.15" customHeight="1" x14ac:dyDescent="0.2">
      <c r="A108" s="16" t="s">
        <v>212</v>
      </c>
      <c r="B108" s="17" t="s">
        <v>33</v>
      </c>
      <c r="D108" s="18">
        <f>63/302*(SUM(E102:E107))</f>
        <v>0</v>
      </c>
      <c r="E108" s="18">
        <f>D108</f>
        <v>0</v>
      </c>
      <c r="G108" s="10" t="s">
        <v>211</v>
      </c>
    </row>
    <row r="109" spans="1:8" hidden="1" x14ac:dyDescent="0.2">
      <c r="A109" s="16" t="s">
        <v>209</v>
      </c>
      <c r="B109" s="17"/>
      <c r="C109" s="82">
        <v>1</v>
      </c>
      <c r="D109" s="18"/>
      <c r="E109" s="18"/>
    </row>
    <row r="110" spans="1:8" x14ac:dyDescent="0.2">
      <c r="A110" s="16" t="s">
        <v>1</v>
      </c>
      <c r="B110" s="17" t="s">
        <v>2</v>
      </c>
      <c r="C110" s="75">
        <f>+C89</f>
        <v>40</v>
      </c>
      <c r="D110" s="75">
        <f>D99</f>
        <v>0</v>
      </c>
      <c r="E110" s="18">
        <f>C110*D110/100</f>
        <v>0</v>
      </c>
    </row>
    <row r="111" spans="1:8" s="11" customFormat="1" x14ac:dyDescent="0.2">
      <c r="A111" s="98" t="s">
        <v>3</v>
      </c>
      <c r="B111" s="99"/>
      <c r="C111" s="99"/>
      <c r="D111" s="100"/>
      <c r="E111" s="101">
        <f>SUM(E98:E110)</f>
        <v>0</v>
      </c>
      <c r="F111" s="41"/>
      <c r="G111" s="41"/>
      <c r="H111" s="260"/>
    </row>
    <row r="112" spans="1:8" x14ac:dyDescent="0.2">
      <c r="A112" s="16" t="s">
        <v>4</v>
      </c>
      <c r="B112" s="17" t="s">
        <v>2</v>
      </c>
      <c r="C112" s="120">
        <f>'Encargos Sociais'!$C$34*100</f>
        <v>70.595951999999997</v>
      </c>
      <c r="D112" s="18">
        <f>E111</f>
        <v>0</v>
      </c>
      <c r="E112" s="18">
        <f>D112*C112/100</f>
        <v>0</v>
      </c>
    </row>
    <row r="113" spans="1:8" s="11" customFormat="1" x14ac:dyDescent="0.2">
      <c r="A113" s="98" t="s">
        <v>247</v>
      </c>
      <c r="B113" s="99"/>
      <c r="C113" s="99"/>
      <c r="D113" s="100"/>
      <c r="E113" s="101">
        <f>E111+E112</f>
        <v>0</v>
      </c>
      <c r="F113" s="41"/>
      <c r="G113" s="41"/>
      <c r="H113" s="260"/>
    </row>
    <row r="114" spans="1:8" ht="13.5" thickBot="1" x14ac:dyDescent="0.25">
      <c r="A114" s="16" t="s">
        <v>5</v>
      </c>
      <c r="B114" s="17" t="s">
        <v>6</v>
      </c>
      <c r="C114" s="78">
        <v>1</v>
      </c>
      <c r="D114" s="18">
        <f>E113</f>
        <v>0</v>
      </c>
      <c r="E114" s="18">
        <f>C114*D114</f>
        <v>0</v>
      </c>
    </row>
    <row r="115" spans="1:8" ht="13.5" thickBot="1" x14ac:dyDescent="0.25">
      <c r="D115" s="104" t="s">
        <v>190</v>
      </c>
      <c r="E115" s="47">
        <f>$B$45</f>
        <v>1</v>
      </c>
      <c r="F115" s="105">
        <f>E114*E115</f>
        <v>0</v>
      </c>
    </row>
    <row r="116" spans="1:8" ht="11.25" customHeight="1" x14ac:dyDescent="0.2">
      <c r="G116" s="9"/>
    </row>
    <row r="117" spans="1:8" ht="13.5" thickBot="1" x14ac:dyDescent="0.25">
      <c r="A117" s="7" t="s">
        <v>306</v>
      </c>
    </row>
    <row r="118" spans="1:8" s="12" customFormat="1" ht="13.15" customHeight="1" thickBot="1" x14ac:dyDescent="0.25">
      <c r="A118" s="55" t="s">
        <v>61</v>
      </c>
      <c r="B118" s="56" t="s">
        <v>62</v>
      </c>
      <c r="C118" s="56" t="s">
        <v>40</v>
      </c>
      <c r="D118" s="57" t="s">
        <v>229</v>
      </c>
      <c r="E118" s="57" t="s">
        <v>63</v>
      </c>
      <c r="F118" s="58" t="s">
        <v>64</v>
      </c>
      <c r="G118" s="10"/>
      <c r="H118" s="262"/>
    </row>
    <row r="119" spans="1:8" x14ac:dyDescent="0.2">
      <c r="A119" s="254" t="s">
        <v>282</v>
      </c>
      <c r="B119" s="14" t="s">
        <v>8</v>
      </c>
      <c r="C119" s="14">
        <v>1</v>
      </c>
      <c r="D119" s="79"/>
      <c r="E119" s="15">
        <f>C119*D119</f>
        <v>0</v>
      </c>
      <c r="H119" s="260" t="s">
        <v>327</v>
      </c>
    </row>
    <row r="120" spans="1:8" x14ac:dyDescent="0.2">
      <c r="A120" s="254" t="s">
        <v>283</v>
      </c>
      <c r="B120" s="14" t="s">
        <v>8</v>
      </c>
      <c r="C120" s="14">
        <v>1</v>
      </c>
      <c r="D120" s="79"/>
      <c r="E120" s="15"/>
    </row>
    <row r="121" spans="1:8" x14ac:dyDescent="0.2">
      <c r="A121" s="16" t="s">
        <v>34</v>
      </c>
      <c r="B121" s="17" t="s">
        <v>0</v>
      </c>
      <c r="C121" s="307"/>
      <c r="D121" s="18">
        <f>D119/220*2</f>
        <v>0</v>
      </c>
      <c r="E121" s="18">
        <f>C121*D121</f>
        <v>0</v>
      </c>
      <c r="G121" s="10" t="s">
        <v>243</v>
      </c>
    </row>
    <row r="122" spans="1:8" hidden="1" x14ac:dyDescent="0.2">
      <c r="A122" s="16" t="s">
        <v>35</v>
      </c>
      <c r="B122" s="17" t="s">
        <v>0</v>
      </c>
      <c r="C122" s="80"/>
      <c r="D122" s="18">
        <f>D119/220*1.5</f>
        <v>0</v>
      </c>
      <c r="E122" s="18">
        <f>C122*D122</f>
        <v>0</v>
      </c>
      <c r="G122" s="10" t="s">
        <v>245</v>
      </c>
    </row>
    <row r="123" spans="1:8" x14ac:dyDescent="0.2">
      <c r="A123" s="16" t="s">
        <v>212</v>
      </c>
      <c r="B123" s="17" t="s">
        <v>33</v>
      </c>
      <c r="D123" s="18">
        <f>63/302*(SUM(E121:E122))</f>
        <v>0</v>
      </c>
      <c r="E123" s="18">
        <f>D123</f>
        <v>0</v>
      </c>
      <c r="G123" s="10" t="s">
        <v>211</v>
      </c>
    </row>
    <row r="124" spans="1:8" hidden="1" x14ac:dyDescent="0.2">
      <c r="A124" s="16" t="s">
        <v>209</v>
      </c>
      <c r="B124" s="17"/>
      <c r="C124" s="82">
        <v>1</v>
      </c>
      <c r="D124" s="18"/>
      <c r="E124" s="18"/>
    </row>
    <row r="125" spans="1:8" x14ac:dyDescent="0.2">
      <c r="A125" s="16" t="s">
        <v>1</v>
      </c>
      <c r="B125" s="17" t="s">
        <v>2</v>
      </c>
      <c r="C125" s="17"/>
      <c r="D125" s="75">
        <f>D120</f>
        <v>0</v>
      </c>
      <c r="E125" s="18">
        <f>C125*D125/100</f>
        <v>0</v>
      </c>
    </row>
    <row r="126" spans="1:8" s="11" customFormat="1" x14ac:dyDescent="0.2">
      <c r="A126" s="88" t="s">
        <v>3</v>
      </c>
      <c r="B126" s="99"/>
      <c r="C126" s="99"/>
      <c r="D126" s="100"/>
      <c r="E126" s="90">
        <f>SUM(E119:E125)</f>
        <v>0</v>
      </c>
      <c r="F126" s="41"/>
      <c r="G126" s="41"/>
      <c r="H126" s="260"/>
    </row>
    <row r="127" spans="1:8" x14ac:dyDescent="0.2">
      <c r="A127" s="16" t="s">
        <v>4</v>
      </c>
      <c r="B127" s="17" t="s">
        <v>2</v>
      </c>
      <c r="C127" s="120">
        <f>'Encargos Sociais'!$C$34*100</f>
        <v>70.595951999999997</v>
      </c>
      <c r="D127" s="18">
        <f>E126</f>
        <v>0</v>
      </c>
      <c r="E127" s="18">
        <f>D127*C127/100</f>
        <v>0</v>
      </c>
    </row>
    <row r="128" spans="1:8" s="11" customFormat="1" x14ac:dyDescent="0.2">
      <c r="A128" s="88" t="s">
        <v>247</v>
      </c>
      <c r="B128" s="223"/>
      <c r="C128" s="223"/>
      <c r="D128" s="224"/>
      <c r="E128" s="90">
        <f>E126+E127</f>
        <v>0</v>
      </c>
      <c r="F128" s="41"/>
      <c r="G128" s="41"/>
      <c r="H128" s="260"/>
    </row>
    <row r="129" spans="1:10" ht="13.5" thickBot="1" x14ac:dyDescent="0.25">
      <c r="A129" s="16" t="s">
        <v>5</v>
      </c>
      <c r="B129" s="17" t="s">
        <v>6</v>
      </c>
      <c r="C129" s="78">
        <v>1</v>
      </c>
      <c r="D129" s="18">
        <f>E128</f>
        <v>0</v>
      </c>
      <c r="E129" s="18">
        <f>C129*D129</f>
        <v>0</v>
      </c>
    </row>
    <row r="130" spans="1:10" ht="13.5" thickBot="1" x14ac:dyDescent="0.25">
      <c r="D130" s="104" t="s">
        <v>190</v>
      </c>
      <c r="E130" s="47">
        <f>$B$45</f>
        <v>1</v>
      </c>
      <c r="F130" s="105">
        <f>E129*E130</f>
        <v>0</v>
      </c>
    </row>
    <row r="131" spans="1:10" ht="11.25" customHeight="1" x14ac:dyDescent="0.2">
      <c r="G131" s="9"/>
    </row>
    <row r="132" spans="1:10" ht="13.5" thickBot="1" x14ac:dyDescent="0.25">
      <c r="A132" s="7" t="s">
        <v>310</v>
      </c>
      <c r="B132" s="84"/>
      <c r="D132" s="9"/>
      <c r="E132" s="9"/>
      <c r="G132" s="9"/>
    </row>
    <row r="133" spans="1:10" ht="13.5" thickBot="1" x14ac:dyDescent="0.25">
      <c r="A133" s="55" t="s">
        <v>61</v>
      </c>
      <c r="B133" s="56" t="s">
        <v>62</v>
      </c>
      <c r="C133" s="56" t="s">
        <v>40</v>
      </c>
      <c r="D133" s="57" t="s">
        <v>229</v>
      </c>
      <c r="E133" s="57" t="s">
        <v>63</v>
      </c>
      <c r="F133" s="58" t="s">
        <v>64</v>
      </c>
      <c r="G133" s="264"/>
    </row>
    <row r="134" spans="1:10" x14ac:dyDescent="0.2">
      <c r="A134" s="16" t="s">
        <v>88</v>
      </c>
      <c r="B134" s="17" t="s">
        <v>33</v>
      </c>
      <c r="C134" s="288">
        <v>1</v>
      </c>
      <c r="D134" s="83"/>
      <c r="E134" s="18"/>
      <c r="G134" s="282"/>
      <c r="H134" s="260" t="s">
        <v>327</v>
      </c>
    </row>
    <row r="135" spans="1:10" x14ac:dyDescent="0.2">
      <c r="A135" s="16" t="s">
        <v>89</v>
      </c>
      <c r="B135" s="17" t="s">
        <v>90</v>
      </c>
      <c r="C135" s="19">
        <v>26</v>
      </c>
      <c r="D135" s="18"/>
      <c r="E135" s="18"/>
      <c r="G135" s="9"/>
    </row>
    <row r="136" spans="1:10" x14ac:dyDescent="0.2">
      <c r="A136" s="16" t="s">
        <v>70</v>
      </c>
      <c r="B136" s="17" t="s">
        <v>9</v>
      </c>
      <c r="C136" s="288">
        <f>C59+C78</f>
        <v>18</v>
      </c>
      <c r="D136" s="15">
        <f>D134</f>
        <v>0</v>
      </c>
      <c r="E136" s="18">
        <f>IFERROR(C136*D136,"-")</f>
        <v>0</v>
      </c>
      <c r="G136" s="77"/>
      <c r="H136" s="265"/>
    </row>
    <row r="137" spans="1:10" x14ac:dyDescent="0.2">
      <c r="A137" s="13" t="s">
        <v>44</v>
      </c>
      <c r="B137" s="14" t="s">
        <v>9</v>
      </c>
      <c r="C137" s="288">
        <f>C93+C114</f>
        <v>6</v>
      </c>
      <c r="D137" s="15">
        <f>D134</f>
        <v>0</v>
      </c>
      <c r="E137" s="15">
        <f>IFERROR(C137*D137,"-")</f>
        <v>0</v>
      </c>
      <c r="G137" s="9"/>
    </row>
    <row r="138" spans="1:10" ht="13.5" thickBot="1" x14ac:dyDescent="0.25">
      <c r="A138" s="254" t="s">
        <v>307</v>
      </c>
      <c r="B138" s="14" t="s">
        <v>9</v>
      </c>
      <c r="C138" s="288">
        <f>C129</f>
        <v>1</v>
      </c>
      <c r="D138" s="15">
        <f>D134</f>
        <v>0</v>
      </c>
      <c r="E138" s="15">
        <f>IFERROR(C138*D138,"-")</f>
        <v>0</v>
      </c>
      <c r="G138" s="9"/>
    </row>
    <row r="139" spans="1:10" s="260" customFormat="1" ht="13.5" thickBot="1" x14ac:dyDescent="0.25">
      <c r="A139" s="9"/>
      <c r="B139" s="9"/>
      <c r="C139" s="9"/>
      <c r="D139" s="10"/>
      <c r="E139" s="10"/>
      <c r="F139" s="22">
        <f>SUM(E136:E138)</f>
        <v>0</v>
      </c>
      <c r="G139" s="9"/>
      <c r="I139" s="9"/>
      <c r="J139" s="9"/>
    </row>
    <row r="140" spans="1:10" s="260" customFormat="1" x14ac:dyDescent="0.2">
      <c r="A140" s="9"/>
      <c r="B140" s="9"/>
      <c r="C140" s="9"/>
      <c r="D140" s="10"/>
      <c r="E140" s="10"/>
      <c r="F140" s="10"/>
      <c r="G140" s="9"/>
      <c r="I140" s="9"/>
      <c r="J140" s="9"/>
    </row>
    <row r="141" spans="1:10" s="260" customFormat="1" ht="13.5" hidden="1" thickBot="1" x14ac:dyDescent="0.25">
      <c r="A141" s="9" t="s">
        <v>120</v>
      </c>
      <c r="B141" s="9"/>
      <c r="C141" s="9"/>
      <c r="D141" s="10"/>
      <c r="E141" s="10"/>
      <c r="F141" s="23"/>
      <c r="G141" s="9"/>
      <c r="I141" s="9"/>
      <c r="J141" s="9"/>
    </row>
    <row r="142" spans="1:10" s="260" customFormat="1" ht="13.5" hidden="1" thickBot="1" x14ac:dyDescent="0.25">
      <c r="A142" s="55" t="s">
        <v>61</v>
      </c>
      <c r="B142" s="56" t="s">
        <v>62</v>
      </c>
      <c r="C142" s="56" t="s">
        <v>40</v>
      </c>
      <c r="D142" s="57" t="s">
        <v>229</v>
      </c>
      <c r="E142" s="57" t="s">
        <v>63</v>
      </c>
      <c r="F142" s="58" t="s">
        <v>64</v>
      </c>
      <c r="G142" s="9"/>
      <c r="I142" s="9"/>
      <c r="J142" s="9"/>
    </row>
    <row r="143" spans="1:10" s="260" customFormat="1" hidden="1" x14ac:dyDescent="0.2">
      <c r="A143" s="16" t="str">
        <f>+A136</f>
        <v>Coletor</v>
      </c>
      <c r="B143" s="17" t="s">
        <v>10</v>
      </c>
      <c r="C143" s="87">
        <f>C135*(E35+E36)</f>
        <v>468</v>
      </c>
      <c r="D143" s="81">
        <v>0</v>
      </c>
      <c r="E143" s="47">
        <f>C143*D143</f>
        <v>0</v>
      </c>
      <c r="F143" s="23"/>
      <c r="G143" s="9"/>
      <c r="I143" s="9"/>
      <c r="J143" s="9"/>
    </row>
    <row r="144" spans="1:10" s="260" customFormat="1" hidden="1" x14ac:dyDescent="0.2">
      <c r="A144" s="16" t="str">
        <f>+A137</f>
        <v>Motorista</v>
      </c>
      <c r="B144" s="17" t="s">
        <v>10</v>
      </c>
      <c r="C144" s="87">
        <f>C135*(E37+E38)</f>
        <v>156</v>
      </c>
      <c r="D144" s="81">
        <v>0</v>
      </c>
      <c r="E144" s="47">
        <f>C144*D144</f>
        <v>0</v>
      </c>
      <c r="F144" s="23"/>
      <c r="G144" s="9"/>
      <c r="I144" s="9"/>
      <c r="J144" s="9"/>
    </row>
    <row r="145" spans="1:10" s="260" customFormat="1" ht="13.5" hidden="1" thickBot="1" x14ac:dyDescent="0.25">
      <c r="A145" s="16" t="str">
        <f>+A138</f>
        <v>Supervisor</v>
      </c>
      <c r="B145" s="17" t="s">
        <v>10</v>
      </c>
      <c r="C145" s="87">
        <f>C135*(E39)</f>
        <v>26</v>
      </c>
      <c r="D145" s="81">
        <v>0</v>
      </c>
      <c r="E145" s="47">
        <f>C145*D145</f>
        <v>0</v>
      </c>
      <c r="F145" s="23"/>
      <c r="G145" s="9"/>
      <c r="I145" s="9"/>
      <c r="J145" s="9"/>
    </row>
    <row r="146" spans="1:10" s="260" customFormat="1" ht="13.5" hidden="1" thickBot="1" x14ac:dyDescent="0.25">
      <c r="A146" s="9"/>
      <c r="B146" s="9"/>
      <c r="C146" s="9"/>
      <c r="D146" s="10"/>
      <c r="E146" s="10"/>
      <c r="F146" s="22">
        <f>SUM(E143:E144)</f>
        <v>0</v>
      </c>
      <c r="G146" s="9"/>
      <c r="I146" s="9"/>
      <c r="J146" s="9"/>
    </row>
    <row r="147" spans="1:10" s="260" customFormat="1" hidden="1" x14ac:dyDescent="0.2">
      <c r="A147" s="9"/>
      <c r="B147" s="9"/>
      <c r="C147" s="9"/>
      <c r="D147" s="10"/>
      <c r="E147" s="10"/>
      <c r="F147" s="10"/>
      <c r="G147" s="9"/>
      <c r="I147" s="9"/>
      <c r="J147" s="9"/>
    </row>
    <row r="148" spans="1:10" s="260" customFormat="1" ht="13.5" thickBot="1" x14ac:dyDescent="0.25">
      <c r="A148" s="7" t="s">
        <v>121</v>
      </c>
      <c r="B148" s="9"/>
      <c r="C148" s="9"/>
      <c r="D148" s="10"/>
      <c r="E148" s="10"/>
      <c r="F148" s="23"/>
      <c r="G148" s="9"/>
      <c r="I148" s="9"/>
      <c r="J148" s="9"/>
    </row>
    <row r="149" spans="1:10" s="260" customFormat="1" ht="13.5" thickBot="1" x14ac:dyDescent="0.25">
      <c r="A149" s="55" t="s">
        <v>61</v>
      </c>
      <c r="B149" s="56" t="s">
        <v>62</v>
      </c>
      <c r="C149" s="56" t="s">
        <v>40</v>
      </c>
      <c r="D149" s="57" t="s">
        <v>229</v>
      </c>
      <c r="E149" s="57" t="s">
        <v>63</v>
      </c>
      <c r="F149" s="58" t="s">
        <v>64</v>
      </c>
      <c r="G149" s="9"/>
      <c r="I149" s="9"/>
      <c r="J149" s="9"/>
    </row>
    <row r="150" spans="1:10" s="260" customFormat="1" x14ac:dyDescent="0.2">
      <c r="A150" s="16" t="str">
        <f>+A143</f>
        <v>Coletor</v>
      </c>
      <c r="B150" s="17" t="s">
        <v>10</v>
      </c>
      <c r="C150" s="289">
        <f>E35+E36</f>
        <v>18</v>
      </c>
      <c r="D150" s="81"/>
      <c r="E150" s="47">
        <f>C150*D150</f>
        <v>0</v>
      </c>
      <c r="F150" s="23"/>
      <c r="G150" s="7"/>
      <c r="H150" s="260" t="s">
        <v>327</v>
      </c>
      <c r="I150" s="9"/>
      <c r="J150" s="9"/>
    </row>
    <row r="151" spans="1:10" s="260" customFormat="1" x14ac:dyDescent="0.2">
      <c r="A151" s="16" t="str">
        <f>+A144</f>
        <v>Motorista</v>
      </c>
      <c r="B151" s="17" t="s">
        <v>10</v>
      </c>
      <c r="C151" s="289">
        <f>E37+E38</f>
        <v>6</v>
      </c>
      <c r="D151" s="75">
        <f>D150</f>
        <v>0</v>
      </c>
      <c r="E151" s="47">
        <f>C151*D151</f>
        <v>0</v>
      </c>
      <c r="F151" s="23"/>
      <c r="G151" s="7"/>
      <c r="H151" s="260" t="s">
        <v>327</v>
      </c>
      <c r="I151" s="9"/>
      <c r="J151" s="9"/>
    </row>
    <row r="152" spans="1:10" s="260" customFormat="1" ht="13.5" thickBot="1" x14ac:dyDescent="0.25">
      <c r="A152" s="16" t="str">
        <f>+A145</f>
        <v>Supervisor</v>
      </c>
      <c r="B152" s="17" t="s">
        <v>10</v>
      </c>
      <c r="C152" s="289">
        <f>E39</f>
        <v>1</v>
      </c>
      <c r="D152" s="75">
        <f>D150</f>
        <v>0</v>
      </c>
      <c r="E152" s="47">
        <f>C152*D152</f>
        <v>0</v>
      </c>
      <c r="F152" s="23"/>
      <c r="G152" s="7"/>
      <c r="H152" s="260" t="s">
        <v>327</v>
      </c>
      <c r="I152" s="9"/>
      <c r="J152" s="9"/>
    </row>
    <row r="153" spans="1:10" s="260" customFormat="1" ht="13.5" thickBot="1" x14ac:dyDescent="0.25">
      <c r="A153" s="9"/>
      <c r="B153" s="9"/>
      <c r="C153" s="9"/>
      <c r="D153" s="104" t="s">
        <v>190</v>
      </c>
      <c r="E153" s="47">
        <f>$B$45</f>
        <v>1</v>
      </c>
      <c r="F153" s="22">
        <f>SUM(E150:E152)*E153</f>
        <v>0</v>
      </c>
      <c r="G153" s="9"/>
      <c r="I153" s="9"/>
      <c r="J153" s="9"/>
    </row>
    <row r="154" spans="1:10" s="260" customFormat="1" ht="13.5" thickBot="1" x14ac:dyDescent="0.25">
      <c r="A154" s="9"/>
      <c r="B154" s="9"/>
      <c r="C154" s="9"/>
      <c r="D154" s="10"/>
      <c r="E154" s="10"/>
      <c r="F154" s="10"/>
      <c r="G154" s="9"/>
      <c r="I154" s="9"/>
      <c r="J154" s="9"/>
    </row>
    <row r="155" spans="1:10" s="260" customFormat="1" ht="13.5" thickBot="1" x14ac:dyDescent="0.25">
      <c r="A155" s="24" t="s">
        <v>91</v>
      </c>
      <c r="B155" s="25"/>
      <c r="C155" s="25"/>
      <c r="D155" s="26"/>
      <c r="E155" s="27"/>
      <c r="F155" s="22">
        <f>F153+F146+F139+F130+F115+F94+F79+F60</f>
        <v>0</v>
      </c>
      <c r="G155" s="77">
        <f>((F155*(C310/100))+F155)/D324</f>
        <v>0</v>
      </c>
      <c r="I155" s="9"/>
      <c r="J155" s="9"/>
    </row>
    <row r="157" spans="1:10" x14ac:dyDescent="0.2">
      <c r="A157" s="11" t="s">
        <v>45</v>
      </c>
      <c r="G157" s="9"/>
    </row>
    <row r="158" spans="1:10" ht="11.25" customHeight="1" x14ac:dyDescent="0.2">
      <c r="G158" s="9"/>
    </row>
    <row r="159" spans="1:10" ht="13.9" customHeight="1" thickBot="1" x14ac:dyDescent="0.25">
      <c r="A159" s="9" t="s">
        <v>192</v>
      </c>
      <c r="G159" s="9"/>
    </row>
    <row r="160" spans="1:10" ht="11.25" hidden="1" customHeight="1" thickBot="1" x14ac:dyDescent="0.25">
      <c r="G160" s="9"/>
    </row>
    <row r="161" spans="1:10" ht="27.75" customHeight="1" thickBot="1" x14ac:dyDescent="0.25">
      <c r="A161" s="55" t="s">
        <v>61</v>
      </c>
      <c r="B161" s="56" t="s">
        <v>62</v>
      </c>
      <c r="C161" s="225" t="s">
        <v>248</v>
      </c>
      <c r="D161" s="57" t="s">
        <v>229</v>
      </c>
      <c r="E161" s="57" t="s">
        <v>63</v>
      </c>
      <c r="F161" s="58" t="s">
        <v>64</v>
      </c>
      <c r="G161" s="286"/>
    </row>
    <row r="162" spans="1:10" hidden="1" x14ac:dyDescent="0.2">
      <c r="A162" s="13" t="s">
        <v>65</v>
      </c>
      <c r="B162" s="14" t="s">
        <v>10</v>
      </c>
      <c r="C162" s="86"/>
      <c r="D162" s="79">
        <v>0</v>
      </c>
      <c r="E162" s="15">
        <f t="shared" ref="E162:E173" si="1">IFERROR(D162/C162,0)</f>
        <v>0</v>
      </c>
      <c r="G162" s="9"/>
    </row>
    <row r="163" spans="1:10" ht="13.15" customHeight="1" x14ac:dyDescent="0.2">
      <c r="A163" s="16" t="s">
        <v>28</v>
      </c>
      <c r="B163" s="17" t="s">
        <v>10</v>
      </c>
      <c r="C163" s="17">
        <v>4</v>
      </c>
      <c r="D163" s="79"/>
      <c r="E163" s="15">
        <f t="shared" si="1"/>
        <v>0</v>
      </c>
      <c r="G163" s="316" t="s">
        <v>329</v>
      </c>
      <c r="I163" s="283"/>
    </row>
    <row r="164" spans="1:10" x14ac:dyDescent="0.2">
      <c r="A164" s="16" t="s">
        <v>29</v>
      </c>
      <c r="B164" s="17" t="s">
        <v>10</v>
      </c>
      <c r="C164" s="17">
        <v>3</v>
      </c>
      <c r="D164" s="79"/>
      <c r="E164" s="15">
        <f t="shared" si="1"/>
        <v>0</v>
      </c>
      <c r="G164" s="316" t="s">
        <v>329</v>
      </c>
      <c r="I164" s="283"/>
    </row>
    <row r="165" spans="1:10" ht="13.15" customHeight="1" x14ac:dyDescent="0.2">
      <c r="A165" s="16" t="s">
        <v>30</v>
      </c>
      <c r="B165" s="17" t="s">
        <v>10</v>
      </c>
      <c r="C165" s="17">
        <v>4</v>
      </c>
      <c r="D165" s="79"/>
      <c r="E165" s="15">
        <f t="shared" si="1"/>
        <v>0</v>
      </c>
      <c r="G165" s="316" t="s">
        <v>329</v>
      </c>
      <c r="I165" s="283"/>
    </row>
    <row r="166" spans="1:10" ht="13.9" customHeight="1" x14ac:dyDescent="0.2">
      <c r="A166" s="16" t="s">
        <v>67</v>
      </c>
      <c r="B166" s="17" t="s">
        <v>48</v>
      </c>
      <c r="C166" s="17">
        <v>2</v>
      </c>
      <c r="D166" s="79"/>
      <c r="E166" s="15">
        <f>IFERROR(D166/C166,0)</f>
        <v>0</v>
      </c>
      <c r="G166" s="316" t="s">
        <v>329</v>
      </c>
      <c r="I166" s="283"/>
    </row>
    <row r="167" spans="1:10" ht="13.15" customHeight="1" x14ac:dyDescent="0.2">
      <c r="A167" s="16" t="s">
        <v>92</v>
      </c>
      <c r="B167" s="17" t="s">
        <v>48</v>
      </c>
      <c r="C167" s="17">
        <v>1</v>
      </c>
      <c r="D167" s="79"/>
      <c r="E167" s="15">
        <f t="shared" si="1"/>
        <v>0</v>
      </c>
      <c r="G167" s="316" t="s">
        <v>329</v>
      </c>
      <c r="I167" s="283"/>
    </row>
    <row r="168" spans="1:10" x14ac:dyDescent="0.2">
      <c r="A168" s="16" t="s">
        <v>66</v>
      </c>
      <c r="B168" s="17" t="s">
        <v>10</v>
      </c>
      <c r="C168" s="17">
        <v>6</v>
      </c>
      <c r="D168" s="79"/>
      <c r="E168" s="15">
        <f t="shared" si="1"/>
        <v>0</v>
      </c>
      <c r="G168" s="316" t="s">
        <v>329</v>
      </c>
      <c r="I168" s="283"/>
    </row>
    <row r="169" spans="1:10" s="1" customFormat="1" x14ac:dyDescent="0.2">
      <c r="A169" s="2" t="s">
        <v>11</v>
      </c>
      <c r="B169" s="3" t="s">
        <v>10</v>
      </c>
      <c r="C169" s="17">
        <v>6</v>
      </c>
      <c r="D169" s="79"/>
      <c r="E169" s="15">
        <f t="shared" si="1"/>
        <v>0</v>
      </c>
      <c r="F169" s="36"/>
      <c r="G169" s="316" t="s">
        <v>329</v>
      </c>
      <c r="H169" s="263"/>
      <c r="I169" s="283"/>
    </row>
    <row r="170" spans="1:10" x14ac:dyDescent="0.2">
      <c r="A170" s="16" t="s">
        <v>31</v>
      </c>
      <c r="B170" s="17" t="s">
        <v>48</v>
      </c>
      <c r="C170" s="309">
        <v>0.25</v>
      </c>
      <c r="D170" s="79"/>
      <c r="E170" s="15">
        <f t="shared" si="1"/>
        <v>0</v>
      </c>
      <c r="G170" s="316" t="s">
        <v>329</v>
      </c>
      <c r="I170" s="283"/>
    </row>
    <row r="171" spans="1:10" ht="13.15" customHeight="1" x14ac:dyDescent="0.2">
      <c r="A171" s="16" t="s">
        <v>60</v>
      </c>
      <c r="B171" s="17" t="s">
        <v>49</v>
      </c>
      <c r="C171" s="17">
        <v>1</v>
      </c>
      <c r="D171" s="79"/>
      <c r="E171" s="15">
        <f t="shared" si="1"/>
        <v>0</v>
      </c>
      <c r="G171" s="316" t="s">
        <v>329</v>
      </c>
      <c r="I171" s="283"/>
    </row>
    <row r="172" spans="1:10" ht="13.15" customHeight="1" x14ac:dyDescent="0.2">
      <c r="A172" s="267" t="s">
        <v>304</v>
      </c>
      <c r="B172" s="274" t="s">
        <v>10</v>
      </c>
      <c r="C172" s="309">
        <v>0.25</v>
      </c>
      <c r="D172" s="79"/>
      <c r="E172" s="15">
        <f t="shared" ref="E172" si="2">IFERROR(D172/C172,0)</f>
        <v>0</v>
      </c>
      <c r="G172" s="316" t="s">
        <v>329</v>
      </c>
      <c r="I172" s="283"/>
    </row>
    <row r="173" spans="1:10" hidden="1" x14ac:dyDescent="0.2">
      <c r="A173" s="16" t="s">
        <v>193</v>
      </c>
      <c r="B173" s="17" t="s">
        <v>122</v>
      </c>
      <c r="C173" s="64">
        <v>1</v>
      </c>
      <c r="D173" s="79"/>
      <c r="E173" s="15">
        <f t="shared" si="1"/>
        <v>0</v>
      </c>
      <c r="I173" s="283"/>
    </row>
    <row r="174" spans="1:10" s="260" customFormat="1" ht="13.5" thickBot="1" x14ac:dyDescent="0.25">
      <c r="A174" s="16" t="s">
        <v>5</v>
      </c>
      <c r="B174" s="17" t="s">
        <v>6</v>
      </c>
      <c r="C174" s="64">
        <f>E35+E36</f>
        <v>18</v>
      </c>
      <c r="D174" s="18">
        <f>+SUM(E162:E173)</f>
        <v>0</v>
      </c>
      <c r="E174" s="18">
        <f t="shared" ref="E174" si="3">C174*D174</f>
        <v>0</v>
      </c>
      <c r="F174" s="10"/>
      <c r="G174" s="10"/>
      <c r="I174" s="9"/>
      <c r="J174" s="9"/>
    </row>
    <row r="175" spans="1:10" s="260" customFormat="1" ht="13.5" thickBot="1" x14ac:dyDescent="0.25">
      <c r="A175" s="9"/>
      <c r="B175" s="9"/>
      <c r="C175" s="9"/>
      <c r="D175" s="104" t="s">
        <v>190</v>
      </c>
      <c r="E175" s="47">
        <f>$B$45</f>
        <v>1</v>
      </c>
      <c r="F175" s="105">
        <f>E174*E175</f>
        <v>0</v>
      </c>
      <c r="G175" s="10"/>
      <c r="I175" s="9"/>
      <c r="J175" s="9"/>
    </row>
    <row r="176" spans="1:10" s="260" customFormat="1" ht="11.25" customHeight="1" x14ac:dyDescent="0.2">
      <c r="A176" s="9"/>
      <c r="B176" s="9"/>
      <c r="C176" s="9"/>
      <c r="D176" s="10"/>
      <c r="E176" s="10"/>
      <c r="F176" s="10"/>
      <c r="G176" s="10"/>
      <c r="I176" s="9"/>
      <c r="J176" s="9"/>
    </row>
    <row r="177" spans="1:10" s="260" customFormat="1" ht="13.9" customHeight="1" thickBot="1" x14ac:dyDescent="0.25">
      <c r="A177" s="9" t="s">
        <v>194</v>
      </c>
      <c r="B177" s="9"/>
      <c r="C177" s="9"/>
      <c r="D177" s="10"/>
      <c r="E177" s="10"/>
      <c r="F177" s="10"/>
      <c r="G177" s="10"/>
      <c r="I177" s="9"/>
      <c r="J177" s="9"/>
    </row>
    <row r="178" spans="1:10" s="260" customFormat="1" ht="11.25" hidden="1" customHeight="1" thickBot="1" x14ac:dyDescent="0.25">
      <c r="A178" s="9"/>
      <c r="B178" s="9"/>
      <c r="C178" s="9"/>
      <c r="D178" s="10"/>
      <c r="E178" s="10"/>
      <c r="F178" s="10"/>
      <c r="G178" s="10"/>
      <c r="I178" s="9"/>
      <c r="J178" s="9"/>
    </row>
    <row r="179" spans="1:10" s="260" customFormat="1" ht="24.75" thickBot="1" x14ac:dyDescent="0.25">
      <c r="A179" s="55" t="s">
        <v>61</v>
      </c>
      <c r="B179" s="56" t="s">
        <v>62</v>
      </c>
      <c r="C179" s="225" t="s">
        <v>248</v>
      </c>
      <c r="D179" s="57" t="s">
        <v>229</v>
      </c>
      <c r="E179" s="57" t="s">
        <v>63</v>
      </c>
      <c r="F179" s="58" t="s">
        <v>64</v>
      </c>
      <c r="G179" s="10"/>
      <c r="I179" s="9"/>
      <c r="J179" s="9"/>
    </row>
    <row r="180" spans="1:10" s="260" customFormat="1" hidden="1" x14ac:dyDescent="0.2">
      <c r="A180" s="13" t="s">
        <v>65</v>
      </c>
      <c r="B180" s="14" t="s">
        <v>10</v>
      </c>
      <c r="C180" s="86"/>
      <c r="D180" s="15">
        <f>+D162</f>
        <v>0</v>
      </c>
      <c r="E180" s="15">
        <f>IFERROR(D180/C180,0)</f>
        <v>0</v>
      </c>
      <c r="F180" s="10"/>
      <c r="G180" s="10"/>
      <c r="I180" s="9"/>
      <c r="J180" s="9"/>
    </row>
    <row r="181" spans="1:10" s="260" customFormat="1" x14ac:dyDescent="0.2">
      <c r="A181" s="16" t="s">
        <v>28</v>
      </c>
      <c r="B181" s="17" t="s">
        <v>10</v>
      </c>
      <c r="C181" s="17">
        <v>6</v>
      </c>
      <c r="D181" s="18">
        <f>+D163</f>
        <v>0</v>
      </c>
      <c r="E181" s="15">
        <f t="shared" ref="E181:E187" si="4">IFERROR(D181/C181,0)</f>
        <v>0</v>
      </c>
      <c r="F181" s="10"/>
      <c r="G181" s="10"/>
      <c r="I181" s="9"/>
      <c r="J181" s="9"/>
    </row>
    <row r="182" spans="1:10" s="260" customFormat="1" x14ac:dyDescent="0.2">
      <c r="A182" s="16" t="s">
        <v>29</v>
      </c>
      <c r="B182" s="17" t="s">
        <v>10</v>
      </c>
      <c r="C182" s="17">
        <v>4</v>
      </c>
      <c r="D182" s="18">
        <f>+D164</f>
        <v>0</v>
      </c>
      <c r="E182" s="15">
        <f t="shared" si="4"/>
        <v>0</v>
      </c>
      <c r="F182" s="10"/>
      <c r="G182" s="10"/>
      <c r="I182" s="9"/>
      <c r="J182" s="9"/>
    </row>
    <row r="183" spans="1:10" s="260" customFormat="1" x14ac:dyDescent="0.2">
      <c r="A183" s="16" t="s">
        <v>67</v>
      </c>
      <c r="B183" s="17" t="s">
        <v>48</v>
      </c>
      <c r="C183" s="17">
        <v>6</v>
      </c>
      <c r="D183" s="18">
        <f>+D166</f>
        <v>0</v>
      </c>
      <c r="E183" s="15">
        <f t="shared" si="4"/>
        <v>0</v>
      </c>
      <c r="F183" s="10"/>
      <c r="G183" s="10"/>
      <c r="I183" s="9"/>
      <c r="J183" s="9"/>
    </row>
    <row r="184" spans="1:10" s="260" customFormat="1" x14ac:dyDescent="0.2">
      <c r="A184" s="16" t="s">
        <v>66</v>
      </c>
      <c r="B184" s="17" t="s">
        <v>10</v>
      </c>
      <c r="C184" s="17">
        <v>12</v>
      </c>
      <c r="D184" s="18">
        <f>+D168</f>
        <v>0</v>
      </c>
      <c r="E184" s="15">
        <f t="shared" si="4"/>
        <v>0</v>
      </c>
      <c r="F184" s="10"/>
      <c r="G184" s="9"/>
      <c r="I184" s="9"/>
      <c r="J184" s="9"/>
    </row>
    <row r="185" spans="1:10" s="260" customFormat="1" x14ac:dyDescent="0.2">
      <c r="A185" s="16" t="s">
        <v>60</v>
      </c>
      <c r="B185" s="17" t="s">
        <v>49</v>
      </c>
      <c r="C185" s="17">
        <v>1</v>
      </c>
      <c r="D185" s="18">
        <f>+D171</f>
        <v>0</v>
      </c>
      <c r="E185" s="15">
        <f t="shared" si="4"/>
        <v>0</v>
      </c>
      <c r="F185" s="10"/>
      <c r="G185" s="9"/>
      <c r="I185" s="9"/>
      <c r="J185" s="9"/>
    </row>
    <row r="186" spans="1:10" s="260" customFormat="1" x14ac:dyDescent="0.2">
      <c r="A186" s="267" t="s">
        <v>304</v>
      </c>
      <c r="B186" s="274" t="s">
        <v>10</v>
      </c>
      <c r="C186" s="309">
        <v>0.25</v>
      </c>
      <c r="D186" s="18">
        <f>+D172</f>
        <v>0</v>
      </c>
      <c r="E186" s="15">
        <f t="shared" si="4"/>
        <v>0</v>
      </c>
      <c r="F186" s="10"/>
      <c r="G186" s="9"/>
      <c r="I186" s="9"/>
      <c r="J186" s="9"/>
    </row>
    <row r="187" spans="1:10" s="260" customFormat="1" hidden="1" x14ac:dyDescent="0.2">
      <c r="A187" s="16" t="s">
        <v>193</v>
      </c>
      <c r="B187" s="17" t="s">
        <v>122</v>
      </c>
      <c r="C187" s="64">
        <v>1</v>
      </c>
      <c r="D187" s="18">
        <f>+D173</f>
        <v>0</v>
      </c>
      <c r="E187" s="15">
        <f t="shared" si="4"/>
        <v>0</v>
      </c>
      <c r="F187" s="10"/>
      <c r="G187" s="9"/>
      <c r="I187" s="9"/>
      <c r="J187" s="9"/>
    </row>
    <row r="188" spans="1:10" s="260" customFormat="1" ht="13.5" thickBot="1" x14ac:dyDescent="0.25">
      <c r="A188" s="16" t="s">
        <v>5</v>
      </c>
      <c r="B188" s="17" t="s">
        <v>6</v>
      </c>
      <c r="C188" s="64">
        <f>E37+E38+E39</f>
        <v>7</v>
      </c>
      <c r="D188" s="18">
        <f>+SUM(E180:E187)</f>
        <v>0</v>
      </c>
      <c r="E188" s="18">
        <f t="shared" ref="E188" si="5">C188*D188</f>
        <v>0</v>
      </c>
      <c r="F188" s="10"/>
      <c r="G188" s="9"/>
      <c r="I188" s="9"/>
      <c r="J188" s="9"/>
    </row>
    <row r="189" spans="1:10" s="260" customFormat="1" ht="13.5" thickBot="1" x14ac:dyDescent="0.25">
      <c r="A189" s="9"/>
      <c r="B189" s="9"/>
      <c r="C189" s="9"/>
      <c r="D189" s="104" t="s">
        <v>190</v>
      </c>
      <c r="E189" s="47">
        <f>$B$45</f>
        <v>1</v>
      </c>
      <c r="F189" s="105">
        <f>E188*E189</f>
        <v>0</v>
      </c>
      <c r="G189" s="9"/>
      <c r="I189" s="9"/>
      <c r="J189" s="9"/>
    </row>
    <row r="190" spans="1:10" s="260" customFormat="1" ht="11.25" customHeight="1" thickBot="1" x14ac:dyDescent="0.25">
      <c r="A190" s="9"/>
      <c r="B190" s="9"/>
      <c r="C190" s="9"/>
      <c r="D190" s="10"/>
      <c r="E190" s="10"/>
      <c r="F190" s="10"/>
      <c r="G190" s="9"/>
      <c r="I190" s="9"/>
      <c r="J190" s="9"/>
    </row>
    <row r="191" spans="1:10" ht="13.5" thickBot="1" x14ac:dyDescent="0.25">
      <c r="A191" s="24" t="s">
        <v>195</v>
      </c>
      <c r="B191" s="28"/>
      <c r="C191" s="28"/>
      <c r="D191" s="29"/>
      <c r="E191" s="30"/>
      <c r="F191" s="21">
        <f>+F175+F189</f>
        <v>0</v>
      </c>
      <c r="G191" s="9"/>
    </row>
    <row r="192" spans="1:10" ht="11.25" customHeight="1" x14ac:dyDescent="0.2">
      <c r="G192" s="9"/>
    </row>
    <row r="193" spans="1:19" x14ac:dyDescent="0.2">
      <c r="A193" s="11" t="s">
        <v>53</v>
      </c>
      <c r="G193" s="9"/>
      <c r="M193" s="272"/>
    </row>
    <row r="194" spans="1:19" ht="11.25" customHeight="1" x14ac:dyDescent="0.2">
      <c r="B194" s="92"/>
      <c r="G194" s="9"/>
      <c r="M194" s="272"/>
    </row>
    <row r="195" spans="1:19" x14ac:dyDescent="0.2">
      <c r="A195" s="7" t="s">
        <v>295</v>
      </c>
      <c r="G195" s="9"/>
      <c r="M195" s="272"/>
    </row>
    <row r="196" spans="1:19" ht="11.25" customHeight="1" x14ac:dyDescent="0.2">
      <c r="G196" s="9"/>
      <c r="M196" s="272"/>
    </row>
    <row r="197" spans="1:19" ht="13.5" thickBot="1" x14ac:dyDescent="0.25">
      <c r="A197" s="92" t="s">
        <v>46</v>
      </c>
      <c r="G197" s="9"/>
      <c r="M197" s="272"/>
    </row>
    <row r="198" spans="1:19" ht="13.5" thickBot="1" x14ac:dyDescent="0.25">
      <c r="A198" s="55" t="s">
        <v>61</v>
      </c>
      <c r="B198" s="56" t="s">
        <v>62</v>
      </c>
      <c r="C198" s="56" t="s">
        <v>40</v>
      </c>
      <c r="D198" s="57" t="s">
        <v>229</v>
      </c>
      <c r="E198" s="57" t="s">
        <v>63</v>
      </c>
      <c r="F198" s="58" t="s">
        <v>64</v>
      </c>
      <c r="G198" s="9"/>
      <c r="M198" s="272"/>
    </row>
    <row r="199" spans="1:19" x14ac:dyDescent="0.2">
      <c r="A199" s="254" t="s">
        <v>331</v>
      </c>
      <c r="B199" s="14" t="s">
        <v>10</v>
      </c>
      <c r="C199" s="14">
        <v>1</v>
      </c>
      <c r="D199" s="79"/>
      <c r="E199" s="15">
        <f>C199*D199</f>
        <v>0</v>
      </c>
      <c r="G199" s="316" t="s">
        <v>329</v>
      </c>
      <c r="I199" s="284"/>
      <c r="M199" s="260"/>
      <c r="O199" s="77"/>
      <c r="Q199" s="77"/>
      <c r="R199" s="11"/>
    </row>
    <row r="200" spans="1:19" x14ac:dyDescent="0.2">
      <c r="A200" s="16" t="s">
        <v>100</v>
      </c>
      <c r="B200" s="17" t="s">
        <v>101</v>
      </c>
      <c r="C200" s="17">
        <v>10</v>
      </c>
      <c r="D200" s="75"/>
      <c r="E200" s="18"/>
      <c r="G200" s="9"/>
      <c r="M200" s="260"/>
      <c r="Q200" s="77"/>
      <c r="S200" s="7"/>
    </row>
    <row r="201" spans="1:19" x14ac:dyDescent="0.2">
      <c r="A201" s="16" t="s">
        <v>203</v>
      </c>
      <c r="B201" s="17" t="s">
        <v>101</v>
      </c>
      <c r="C201" s="17">
        <v>0</v>
      </c>
      <c r="D201" s="18"/>
      <c r="E201" s="18"/>
      <c r="F201" s="20"/>
      <c r="M201" s="260"/>
      <c r="Q201" s="77"/>
    </row>
    <row r="202" spans="1:19" x14ac:dyDescent="0.2">
      <c r="A202" s="16" t="s">
        <v>104</v>
      </c>
      <c r="B202" s="17" t="s">
        <v>2</v>
      </c>
      <c r="C202" s="120">
        <f>IFERROR(VLOOKUP(C200,Depreciação!A3:B17,2,FALSE),0)</f>
        <v>65.180000000000007</v>
      </c>
      <c r="D202" s="18">
        <f>E199</f>
        <v>0</v>
      </c>
      <c r="E202" s="18">
        <f>C202*D202/100</f>
        <v>0</v>
      </c>
      <c r="M202" s="260"/>
      <c r="Q202" s="77"/>
      <c r="S202" s="7"/>
    </row>
    <row r="203" spans="1:19" ht="13.5" thickBot="1" x14ac:dyDescent="0.25">
      <c r="A203" s="232" t="s">
        <v>332</v>
      </c>
      <c r="B203" s="233" t="s">
        <v>8</v>
      </c>
      <c r="C203" s="233">
        <f>C200*12</f>
        <v>120</v>
      </c>
      <c r="D203" s="234">
        <f>IF(C201&lt;=C200,E202,0)</f>
        <v>0</v>
      </c>
      <c r="E203" s="234">
        <f>IFERROR(D203/C203,0)</f>
        <v>0</v>
      </c>
      <c r="M203" s="260"/>
      <c r="Q203" s="77"/>
    </row>
    <row r="204" spans="1:19" ht="13.5" thickTop="1" x14ac:dyDescent="0.2">
      <c r="A204" s="13" t="s">
        <v>105</v>
      </c>
      <c r="B204" s="14" t="s">
        <v>10</v>
      </c>
      <c r="C204" s="14">
        <f>C199</f>
        <v>1</v>
      </c>
      <c r="D204" s="79"/>
      <c r="E204" s="15">
        <f>C204*D204</f>
        <v>0</v>
      </c>
      <c r="G204" s="316" t="s">
        <v>329</v>
      </c>
    </row>
    <row r="205" spans="1:19" x14ac:dyDescent="0.2">
      <c r="A205" s="16" t="s">
        <v>102</v>
      </c>
      <c r="B205" s="17" t="s">
        <v>101</v>
      </c>
      <c r="C205" s="17">
        <v>10</v>
      </c>
      <c r="D205" s="18"/>
      <c r="E205" s="18"/>
    </row>
    <row r="206" spans="1:19" x14ac:dyDescent="0.2">
      <c r="A206" s="16" t="s">
        <v>204</v>
      </c>
      <c r="B206" s="17" t="s">
        <v>101</v>
      </c>
      <c r="C206" s="17">
        <v>0</v>
      </c>
      <c r="D206" s="18"/>
      <c r="E206" s="18"/>
      <c r="F206" s="20"/>
      <c r="J206" s="77"/>
    </row>
    <row r="207" spans="1:19" x14ac:dyDescent="0.2">
      <c r="A207" s="16" t="s">
        <v>103</v>
      </c>
      <c r="B207" s="17" t="s">
        <v>2</v>
      </c>
      <c r="C207" s="121">
        <f>IFERROR(VLOOKUP(C205,Depreciação!A3:B17,2,FALSE),0)</f>
        <v>65.180000000000007</v>
      </c>
      <c r="D207" s="18">
        <f>E204</f>
        <v>0</v>
      </c>
      <c r="E207" s="18">
        <f>C207*D207/100</f>
        <v>0</v>
      </c>
    </row>
    <row r="208" spans="1:19" x14ac:dyDescent="0.2">
      <c r="A208" s="88" t="s">
        <v>106</v>
      </c>
      <c r="B208" s="89" t="s">
        <v>8</v>
      </c>
      <c r="C208" s="89">
        <f>C205*12</f>
        <v>120</v>
      </c>
      <c r="D208" s="90">
        <f>IF(C206&lt;=C205,E207,0)</f>
        <v>0</v>
      </c>
      <c r="E208" s="90">
        <f>IFERROR(D208/C208,0)</f>
        <v>0</v>
      </c>
    </row>
    <row r="209" spans="1:10" x14ac:dyDescent="0.2">
      <c r="A209" s="98" t="s">
        <v>251</v>
      </c>
      <c r="B209" s="99"/>
      <c r="C209" s="99"/>
      <c r="D209" s="100"/>
      <c r="E209" s="101">
        <f>E203+E208</f>
        <v>0</v>
      </c>
    </row>
    <row r="210" spans="1:10" ht="13.5" thickBot="1" x14ac:dyDescent="0.25">
      <c r="A210" s="88" t="s">
        <v>252</v>
      </c>
      <c r="B210" s="89" t="s">
        <v>10</v>
      </c>
      <c r="C210" s="290">
        <v>4</v>
      </c>
      <c r="D210" s="90">
        <f>E209</f>
        <v>0</v>
      </c>
      <c r="E210" s="101">
        <f>C210*D210</f>
        <v>0</v>
      </c>
    </row>
    <row r="211" spans="1:10" ht="13.5" thickBot="1" x14ac:dyDescent="0.25">
      <c r="A211" s="230"/>
      <c r="B211" s="230"/>
      <c r="C211" s="230"/>
      <c r="D211" s="104" t="s">
        <v>190</v>
      </c>
      <c r="E211" s="47">
        <f>$B$45</f>
        <v>1</v>
      </c>
      <c r="F211" s="21">
        <f>E210*E211</f>
        <v>0</v>
      </c>
    </row>
    <row r="212" spans="1:10" ht="11.25" customHeight="1" x14ac:dyDescent="0.2"/>
    <row r="213" spans="1:10" ht="13.5" thickBot="1" x14ac:dyDescent="0.25">
      <c r="A213" s="92" t="s">
        <v>111</v>
      </c>
    </row>
    <row r="214" spans="1:10" ht="13.5" thickBot="1" x14ac:dyDescent="0.25">
      <c r="A214" s="55" t="s">
        <v>61</v>
      </c>
      <c r="B214" s="56" t="s">
        <v>62</v>
      </c>
      <c r="C214" s="56" t="s">
        <v>40</v>
      </c>
      <c r="D214" s="57" t="s">
        <v>229</v>
      </c>
      <c r="E214" s="57" t="s">
        <v>63</v>
      </c>
      <c r="F214" s="58" t="s">
        <v>64</v>
      </c>
      <c r="I214" s="77"/>
      <c r="J214" s="77"/>
    </row>
    <row r="215" spans="1:10" x14ac:dyDescent="0.2">
      <c r="A215" s="254" t="s">
        <v>109</v>
      </c>
      <c r="B215" s="14" t="s">
        <v>10</v>
      </c>
      <c r="C215" s="14">
        <v>1</v>
      </c>
      <c r="D215" s="15">
        <f>D199</f>
        <v>0</v>
      </c>
      <c r="E215" s="15">
        <f>C215*D215</f>
        <v>0</v>
      </c>
      <c r="F215" s="20"/>
      <c r="H215" s="265"/>
      <c r="I215" s="77"/>
      <c r="J215" s="77"/>
    </row>
    <row r="216" spans="1:10" x14ac:dyDescent="0.2">
      <c r="A216" s="16" t="s">
        <v>207</v>
      </c>
      <c r="B216" s="17" t="s">
        <v>2</v>
      </c>
      <c r="C216" s="404">
        <v>0.14499999999999999</v>
      </c>
      <c r="D216" s="18"/>
      <c r="E216" s="18"/>
      <c r="F216" s="20"/>
      <c r="I216" s="77"/>
      <c r="J216" s="77"/>
    </row>
    <row r="217" spans="1:10" x14ac:dyDescent="0.2">
      <c r="A217" s="16" t="s">
        <v>205</v>
      </c>
      <c r="B217" s="17" t="s">
        <v>33</v>
      </c>
      <c r="C217" s="126">
        <f>IFERROR(IF(C201&lt;=C200,E199-(C202/(100*C200)*C201)*E199,E199-E202),0)</f>
        <v>0</v>
      </c>
      <c r="D217" s="18"/>
      <c r="E217" s="18"/>
      <c r="F217" s="20"/>
      <c r="I217" s="77"/>
      <c r="J217" s="77"/>
    </row>
    <row r="218" spans="1:10" x14ac:dyDescent="0.2">
      <c r="A218" s="16" t="s">
        <v>114</v>
      </c>
      <c r="B218" s="17" t="s">
        <v>33</v>
      </c>
      <c r="C218" s="75">
        <f>IFERROR(IF(C201&gt;=C200,C217,((((C217)-(E199-E202))*(((C200-C201)+1)/(2*(C200-C201))))+(E199-E202))),0)</f>
        <v>0</v>
      </c>
      <c r="D218" s="18"/>
      <c r="E218" s="18"/>
      <c r="F218" s="20"/>
      <c r="I218" s="77"/>
      <c r="J218" s="77"/>
    </row>
    <row r="219" spans="1:10" ht="13.5" thickBot="1" x14ac:dyDescent="0.25">
      <c r="A219" s="232" t="s">
        <v>115</v>
      </c>
      <c r="B219" s="233" t="s">
        <v>33</v>
      </c>
      <c r="C219" s="233"/>
      <c r="D219" s="235">
        <f>C216*C218/12</f>
        <v>0</v>
      </c>
      <c r="E219" s="234">
        <f>D219</f>
        <v>0</v>
      </c>
      <c r="F219" s="20"/>
      <c r="I219" s="77"/>
      <c r="J219" s="77"/>
    </row>
    <row r="220" spans="1:10" ht="13.5" thickTop="1" x14ac:dyDescent="0.2">
      <c r="A220" s="13" t="s">
        <v>110</v>
      </c>
      <c r="B220" s="14" t="s">
        <v>10</v>
      </c>
      <c r="C220" s="14">
        <f>C204</f>
        <v>1</v>
      </c>
      <c r="D220" s="15">
        <f>D204</f>
        <v>0</v>
      </c>
      <c r="E220" s="15">
        <f>C220*D220</f>
        <v>0</v>
      </c>
      <c r="F220" s="20"/>
      <c r="I220" s="77"/>
      <c r="J220" s="77"/>
    </row>
    <row r="221" spans="1:10" x14ac:dyDescent="0.2">
      <c r="A221" s="16" t="s">
        <v>207</v>
      </c>
      <c r="B221" s="17" t="s">
        <v>2</v>
      </c>
      <c r="C221" s="395">
        <f>C216</f>
        <v>0.14499999999999999</v>
      </c>
      <c r="D221" s="18"/>
      <c r="E221" s="18"/>
      <c r="F221" s="20"/>
      <c r="I221" s="77"/>
      <c r="J221" s="77"/>
    </row>
    <row r="222" spans="1:10" x14ac:dyDescent="0.2">
      <c r="A222" s="16" t="s">
        <v>206</v>
      </c>
      <c r="B222" s="17" t="s">
        <v>33</v>
      </c>
      <c r="C222" s="126">
        <f>IFERROR(IF(C206&lt;=C205,E204-(C207/(100*C205)*C206)*E204,E204-E207),0)</f>
        <v>0</v>
      </c>
      <c r="D222" s="18"/>
      <c r="E222" s="18"/>
      <c r="F222" s="20"/>
      <c r="I222" s="77"/>
      <c r="J222" s="77"/>
    </row>
    <row r="223" spans="1:10" x14ac:dyDescent="0.2">
      <c r="A223" s="16" t="s">
        <v>116</v>
      </c>
      <c r="B223" s="17" t="s">
        <v>33</v>
      </c>
      <c r="C223" s="75">
        <f>IFERROR(IF(C206&gt;=C205,C222,((((C222)-(E204-E207))*(((C205-C206)+1)/(2*(C205-C206))))+(E204-E207))),0)</f>
        <v>0</v>
      </c>
      <c r="D223" s="18"/>
      <c r="E223" s="18"/>
      <c r="F223" s="20"/>
      <c r="I223" s="77"/>
      <c r="J223" s="77"/>
    </row>
    <row r="224" spans="1:10" x14ac:dyDescent="0.2">
      <c r="A224" s="88" t="s">
        <v>113</v>
      </c>
      <c r="B224" s="89" t="s">
        <v>33</v>
      </c>
      <c r="C224" s="89"/>
      <c r="D224" s="95">
        <f>C221*C223/12</f>
        <v>0</v>
      </c>
      <c r="E224" s="90">
        <f>D224</f>
        <v>0</v>
      </c>
      <c r="F224" s="20"/>
      <c r="I224" s="77"/>
      <c r="J224" s="77"/>
    </row>
    <row r="225" spans="1:14" x14ac:dyDescent="0.2">
      <c r="A225" s="98" t="s">
        <v>251</v>
      </c>
      <c r="B225" s="99"/>
      <c r="C225" s="99"/>
      <c r="D225" s="100"/>
      <c r="E225" s="101">
        <f>E219+E224</f>
        <v>0</v>
      </c>
      <c r="F225" s="20"/>
      <c r="I225" s="77"/>
      <c r="J225" s="77"/>
    </row>
    <row r="226" spans="1:14" ht="13.5" thickBot="1" x14ac:dyDescent="0.25">
      <c r="A226" s="88" t="s">
        <v>252</v>
      </c>
      <c r="B226" s="89" t="s">
        <v>10</v>
      </c>
      <c r="C226" s="89">
        <f>C210</f>
        <v>4</v>
      </c>
      <c r="D226" s="90">
        <f>E225</f>
        <v>0</v>
      </c>
      <c r="E226" s="101">
        <f>C226*D226</f>
        <v>0</v>
      </c>
      <c r="F226" s="20"/>
      <c r="I226" s="77"/>
      <c r="J226" s="77"/>
    </row>
    <row r="227" spans="1:14" ht="13.5" thickBot="1" x14ac:dyDescent="0.25">
      <c r="C227" s="19"/>
      <c r="D227" s="104" t="s">
        <v>190</v>
      </c>
      <c r="E227" s="47">
        <f>$B$45</f>
        <v>1</v>
      </c>
      <c r="F227" s="21">
        <f>E226*E227</f>
        <v>0</v>
      </c>
      <c r="I227" s="77"/>
      <c r="J227" s="77"/>
    </row>
    <row r="228" spans="1:14" ht="11.25" customHeight="1" x14ac:dyDescent="0.2">
      <c r="I228" s="77"/>
      <c r="J228" s="77"/>
    </row>
    <row r="229" spans="1:14" ht="13.5" thickBot="1" x14ac:dyDescent="0.25">
      <c r="A229" s="9" t="s">
        <v>50</v>
      </c>
      <c r="I229" s="77"/>
      <c r="J229" s="77"/>
    </row>
    <row r="230" spans="1:14" ht="13.5" thickBot="1" x14ac:dyDescent="0.25">
      <c r="A230" s="55" t="s">
        <v>61</v>
      </c>
      <c r="B230" s="56" t="s">
        <v>62</v>
      </c>
      <c r="C230" s="56" t="s">
        <v>40</v>
      </c>
      <c r="D230" s="57" t="s">
        <v>229</v>
      </c>
      <c r="E230" s="57" t="s">
        <v>63</v>
      </c>
      <c r="F230" s="58" t="s">
        <v>64</v>
      </c>
      <c r="I230" s="77"/>
      <c r="J230" s="77"/>
    </row>
    <row r="231" spans="1:14" x14ac:dyDescent="0.2">
      <c r="A231" s="13" t="s">
        <v>12</v>
      </c>
      <c r="B231" s="14" t="s">
        <v>10</v>
      </c>
      <c r="C231" s="291">
        <f>C210</f>
        <v>4</v>
      </c>
      <c r="D231" s="79">
        <f>D199*0.01</f>
        <v>0</v>
      </c>
      <c r="E231" s="15">
        <f>C231*D231</f>
        <v>0</v>
      </c>
      <c r="G231" s="317" t="s">
        <v>340</v>
      </c>
      <c r="H231" s="284"/>
      <c r="I231" s="10"/>
      <c r="J231" s="77"/>
      <c r="N231" s="287"/>
    </row>
    <row r="232" spans="1:14" x14ac:dyDescent="0.2">
      <c r="A232" s="16" t="s">
        <v>189</v>
      </c>
      <c r="B232" s="17" t="s">
        <v>10</v>
      </c>
      <c r="C232" s="291">
        <f>C210</f>
        <v>4</v>
      </c>
      <c r="D232" s="81"/>
      <c r="E232" s="18">
        <f>C232*D232</f>
        <v>0</v>
      </c>
      <c r="G232" s="317" t="s">
        <v>335</v>
      </c>
      <c r="H232" s="284"/>
      <c r="I232" s="10"/>
      <c r="J232" s="77"/>
      <c r="N232" s="287"/>
    </row>
    <row r="233" spans="1:14" hidden="1" x14ac:dyDescent="0.2">
      <c r="A233" s="16" t="s">
        <v>13</v>
      </c>
      <c r="B233" s="17" t="s">
        <v>10</v>
      </c>
      <c r="C233" s="291">
        <v>4</v>
      </c>
      <c r="D233" s="81"/>
      <c r="E233" s="18">
        <f>C233*D233</f>
        <v>0</v>
      </c>
      <c r="F233" s="31"/>
      <c r="H233" s="284"/>
      <c r="I233" s="10"/>
      <c r="J233" s="77"/>
    </row>
    <row r="234" spans="1:14" ht="13.5" thickBot="1" x14ac:dyDescent="0.25">
      <c r="A234" s="88" t="s">
        <v>14</v>
      </c>
      <c r="B234" s="89" t="s">
        <v>8</v>
      </c>
      <c r="C234" s="89">
        <v>12</v>
      </c>
      <c r="D234" s="90">
        <f>SUM(E231:E233)</f>
        <v>0</v>
      </c>
      <c r="E234" s="90">
        <f>D234/C234</f>
        <v>0</v>
      </c>
      <c r="I234" s="77"/>
      <c r="J234" s="77"/>
    </row>
    <row r="235" spans="1:14" ht="13.5" thickBot="1" x14ac:dyDescent="0.25">
      <c r="D235" s="104" t="s">
        <v>190</v>
      </c>
      <c r="E235" s="47">
        <f>$B$45</f>
        <v>1</v>
      </c>
      <c r="F235" s="105">
        <f>E234*E235</f>
        <v>0</v>
      </c>
      <c r="I235" s="77"/>
      <c r="J235" s="77"/>
    </row>
    <row r="236" spans="1:14" ht="11.25" customHeight="1" x14ac:dyDescent="0.2">
      <c r="I236" s="77"/>
      <c r="J236" s="77"/>
    </row>
    <row r="237" spans="1:14" x14ac:dyDescent="0.2">
      <c r="A237" s="9" t="s">
        <v>51</v>
      </c>
      <c r="B237" s="32"/>
      <c r="D237" s="294"/>
      <c r="E237" s="295"/>
      <c r="F237" s="296"/>
      <c r="H237" s="266"/>
      <c r="I237" s="264"/>
      <c r="J237" s="77"/>
    </row>
    <row r="238" spans="1:14" x14ac:dyDescent="0.2">
      <c r="B238" s="32"/>
      <c r="D238" s="294"/>
      <c r="E238" s="295"/>
      <c r="F238" s="296"/>
      <c r="H238" s="266"/>
      <c r="I238" s="264"/>
      <c r="J238" s="77"/>
    </row>
    <row r="239" spans="1:14" x14ac:dyDescent="0.2">
      <c r="A239" s="88" t="s">
        <v>315</v>
      </c>
      <c r="B239" s="314">
        <f>150*26</f>
        <v>3900</v>
      </c>
      <c r="C239" s="275"/>
      <c r="D239" s="297"/>
      <c r="E239" s="298"/>
      <c r="F239" s="34"/>
      <c r="G239" s="83"/>
      <c r="H239" s="266"/>
      <c r="I239" s="264"/>
      <c r="J239" s="77"/>
    </row>
    <row r="240" spans="1:14" ht="13.5" thickBot="1" x14ac:dyDescent="0.25">
      <c r="B240" s="32"/>
      <c r="I240" s="77"/>
      <c r="J240" s="77"/>
    </row>
    <row r="241" spans="1:10" ht="13.5" thickBot="1" x14ac:dyDescent="0.25">
      <c r="A241" s="55" t="s">
        <v>61</v>
      </c>
      <c r="B241" s="56" t="s">
        <v>62</v>
      </c>
      <c r="C241" s="56" t="s">
        <v>250</v>
      </c>
      <c r="D241" s="57" t="s">
        <v>229</v>
      </c>
      <c r="E241" s="57" t="s">
        <v>63</v>
      </c>
      <c r="F241" s="58" t="s">
        <v>64</v>
      </c>
      <c r="I241" s="77"/>
      <c r="J241" s="77"/>
    </row>
    <row r="242" spans="1:10" x14ac:dyDescent="0.2">
      <c r="A242" s="13" t="s">
        <v>15</v>
      </c>
      <c r="B242" s="14" t="s">
        <v>16</v>
      </c>
      <c r="C242" s="310">
        <v>2.5</v>
      </c>
      <c r="D242" s="79"/>
      <c r="E242" s="15"/>
      <c r="G242" s="316" t="s">
        <v>329</v>
      </c>
      <c r="H242" s="284"/>
      <c r="I242" s="10"/>
      <c r="J242" s="77"/>
    </row>
    <row r="243" spans="1:10" x14ac:dyDescent="0.2">
      <c r="A243" s="16" t="s">
        <v>17</v>
      </c>
      <c r="B243" s="17" t="s">
        <v>18</v>
      </c>
      <c r="C243" s="85">
        <f>B239</f>
        <v>3900</v>
      </c>
      <c r="D243" s="229">
        <f>IFERROR(+D242/C242,"-")</f>
        <v>0</v>
      </c>
      <c r="E243" s="18">
        <f>IFERROR(C243*D243,"-")</f>
        <v>0</v>
      </c>
      <c r="H243" s="284"/>
      <c r="I243" s="10"/>
      <c r="J243" s="77"/>
    </row>
    <row r="244" spans="1:10" x14ac:dyDescent="0.2">
      <c r="A244" s="267" t="s">
        <v>230</v>
      </c>
      <c r="B244" s="17" t="s">
        <v>19</v>
      </c>
      <c r="C244" s="311">
        <v>1</v>
      </c>
      <c r="D244" s="81"/>
      <c r="E244" s="18"/>
      <c r="G244" s="316" t="s">
        <v>329</v>
      </c>
      <c r="H244" s="284"/>
      <c r="I244" s="10"/>
      <c r="J244" s="77"/>
    </row>
    <row r="245" spans="1:10" x14ac:dyDescent="0.2">
      <c r="A245" s="16" t="s">
        <v>20</v>
      </c>
      <c r="B245" s="17" t="s">
        <v>18</v>
      </c>
      <c r="C245" s="85">
        <f>C243</f>
        <v>3900</v>
      </c>
      <c r="D245" s="226">
        <f>+C244*D244/1000</f>
        <v>0</v>
      </c>
      <c r="E245" s="18">
        <f>C245*D245</f>
        <v>0</v>
      </c>
      <c r="G245" s="94"/>
      <c r="J245" s="77"/>
    </row>
    <row r="246" spans="1:10" x14ac:dyDescent="0.2">
      <c r="A246" s="16" t="s">
        <v>231</v>
      </c>
      <c r="B246" s="17" t="s">
        <v>19</v>
      </c>
      <c r="C246" s="311">
        <v>0.6</v>
      </c>
      <c r="D246" s="81"/>
      <c r="E246" s="18"/>
      <c r="G246" s="316" t="s">
        <v>329</v>
      </c>
      <c r="H246" s="284"/>
      <c r="I246" s="10"/>
      <c r="J246" s="77"/>
    </row>
    <row r="247" spans="1:10" x14ac:dyDescent="0.2">
      <c r="A247" s="16" t="s">
        <v>21</v>
      </c>
      <c r="B247" s="17" t="s">
        <v>18</v>
      </c>
      <c r="C247" s="85">
        <f>C243</f>
        <v>3900</v>
      </c>
      <c r="D247" s="226">
        <f>+C246*D246/1000</f>
        <v>0</v>
      </c>
      <c r="E247" s="18">
        <f>C247*D247</f>
        <v>0</v>
      </c>
      <c r="G247" s="94"/>
      <c r="J247" s="77"/>
    </row>
    <row r="248" spans="1:10" x14ac:dyDescent="0.2">
      <c r="A248" s="16" t="s">
        <v>232</v>
      </c>
      <c r="B248" s="17" t="s">
        <v>19</v>
      </c>
      <c r="C248" s="311">
        <v>1.5</v>
      </c>
      <c r="D248" s="81"/>
      <c r="E248" s="18"/>
      <c r="G248" s="316" t="s">
        <v>329</v>
      </c>
      <c r="H248" s="284"/>
      <c r="I248" s="10"/>
      <c r="J248" s="77"/>
    </row>
    <row r="249" spans="1:10" x14ac:dyDescent="0.2">
      <c r="A249" s="16" t="s">
        <v>22</v>
      </c>
      <c r="B249" s="17" t="s">
        <v>18</v>
      </c>
      <c r="C249" s="85">
        <f>C243</f>
        <v>3900</v>
      </c>
      <c r="D249" s="226">
        <f>+C248*D248/1000</f>
        <v>0</v>
      </c>
      <c r="E249" s="18">
        <f>C249*D249</f>
        <v>0</v>
      </c>
      <c r="G249" s="94"/>
      <c r="J249" s="77"/>
    </row>
    <row r="250" spans="1:10" x14ac:dyDescent="0.2">
      <c r="A250" s="16" t="s">
        <v>23</v>
      </c>
      <c r="B250" s="17" t="s">
        <v>24</v>
      </c>
      <c r="C250" s="311">
        <v>1</v>
      </c>
      <c r="D250" s="81"/>
      <c r="E250" s="18"/>
      <c r="G250" s="316" t="s">
        <v>329</v>
      </c>
      <c r="H250" s="284"/>
      <c r="I250" s="10">
        <f>948/20</f>
        <v>47.4</v>
      </c>
      <c r="J250" s="77"/>
    </row>
    <row r="251" spans="1:10" x14ac:dyDescent="0.2">
      <c r="A251" s="16" t="s">
        <v>25</v>
      </c>
      <c r="B251" s="17" t="s">
        <v>18</v>
      </c>
      <c r="C251" s="85">
        <f>C243</f>
        <v>3900</v>
      </c>
      <c r="D251" s="226">
        <f>+C250*D250/1000</f>
        <v>0</v>
      </c>
      <c r="E251" s="18">
        <f>C251*D251</f>
        <v>0</v>
      </c>
      <c r="G251" s="94"/>
      <c r="I251" s="77"/>
      <c r="J251" s="77"/>
    </row>
    <row r="252" spans="1:10" ht="13.5" thickBot="1" x14ac:dyDescent="0.25">
      <c r="A252" s="88" t="s">
        <v>249</v>
      </c>
      <c r="B252" s="89" t="s">
        <v>118</v>
      </c>
      <c r="C252" s="227"/>
      <c r="D252" s="228">
        <f>IFERROR(D243+D245+D247+D249+D251,0)</f>
        <v>0</v>
      </c>
      <c r="E252" s="18"/>
      <c r="G252" s="94"/>
      <c r="I252" s="77"/>
      <c r="J252" s="77"/>
    </row>
    <row r="253" spans="1:10" ht="13.5" thickBot="1" x14ac:dyDescent="0.25">
      <c r="F253" s="21">
        <f>SUM(E242:E251)</f>
        <v>0</v>
      </c>
      <c r="I253" s="77"/>
      <c r="J253" s="77"/>
    </row>
    <row r="254" spans="1:10" ht="11.25" customHeight="1" x14ac:dyDescent="0.2">
      <c r="I254" s="77"/>
      <c r="J254" s="77"/>
    </row>
    <row r="255" spans="1:10" ht="13.5" thickBot="1" x14ac:dyDescent="0.25">
      <c r="A255" s="9" t="s">
        <v>52</v>
      </c>
      <c r="I255" s="77"/>
      <c r="J255" s="77"/>
    </row>
    <row r="256" spans="1:10" ht="13.5" thickBot="1" x14ac:dyDescent="0.25">
      <c r="A256" s="55" t="s">
        <v>61</v>
      </c>
      <c r="B256" s="56" t="s">
        <v>62</v>
      </c>
      <c r="C256" s="56" t="s">
        <v>40</v>
      </c>
      <c r="D256" s="57" t="s">
        <v>229</v>
      </c>
      <c r="E256" s="57" t="s">
        <v>63</v>
      </c>
      <c r="F256" s="58" t="s">
        <v>64</v>
      </c>
      <c r="H256" s="265"/>
      <c r="I256" s="77"/>
      <c r="J256" s="77"/>
    </row>
    <row r="257" spans="1:11" ht="13.5" thickBot="1" x14ac:dyDescent="0.25">
      <c r="A257" s="13" t="s">
        <v>117</v>
      </c>
      <c r="B257" s="14" t="s">
        <v>118</v>
      </c>
      <c r="C257" s="85">
        <f>C243</f>
        <v>3900</v>
      </c>
      <c r="D257" s="79"/>
      <c r="E257" s="15">
        <f>C257*D257</f>
        <v>0</v>
      </c>
      <c r="H257" s="265"/>
      <c r="I257" s="317"/>
      <c r="J257" s="322"/>
      <c r="K257" s="323"/>
    </row>
    <row r="258" spans="1:11" ht="13.5" thickBot="1" x14ac:dyDescent="0.25">
      <c r="F258" s="21">
        <f>E257</f>
        <v>0</v>
      </c>
      <c r="H258" s="265"/>
      <c r="I258" s="317"/>
      <c r="J258" s="322"/>
      <c r="K258" s="323"/>
    </row>
    <row r="259" spans="1:11" ht="11.25" customHeight="1" x14ac:dyDescent="0.2">
      <c r="H259" s="268"/>
      <c r="I259" s="317"/>
      <c r="J259" s="322"/>
      <c r="K259" s="323"/>
    </row>
    <row r="260" spans="1:11" ht="13.5" thickBot="1" x14ac:dyDescent="0.25">
      <c r="A260" s="9" t="s">
        <v>59</v>
      </c>
      <c r="I260" s="77"/>
      <c r="J260" s="77"/>
    </row>
    <row r="261" spans="1:11" ht="13.5" thickBot="1" x14ac:dyDescent="0.25">
      <c r="A261" s="55" t="s">
        <v>61</v>
      </c>
      <c r="B261" s="56" t="s">
        <v>62</v>
      </c>
      <c r="C261" s="56" t="s">
        <v>40</v>
      </c>
      <c r="D261" s="57" t="s">
        <v>229</v>
      </c>
      <c r="E261" s="57" t="s">
        <v>63</v>
      </c>
      <c r="F261" s="58" t="s">
        <v>64</v>
      </c>
      <c r="I261" s="77"/>
      <c r="J261" s="77"/>
    </row>
    <row r="262" spans="1:11" x14ac:dyDescent="0.2">
      <c r="A262" s="254" t="s">
        <v>330</v>
      </c>
      <c r="B262" s="14" t="s">
        <v>10</v>
      </c>
      <c r="C262" s="14">
        <v>6</v>
      </c>
      <c r="D262" s="79"/>
      <c r="E262" s="15">
        <f>C262*D262</f>
        <v>0</v>
      </c>
      <c r="G262" s="316" t="s">
        <v>329</v>
      </c>
      <c r="H262" s="284"/>
      <c r="I262" s="10">
        <f>10107.61/6</f>
        <v>1684.6016666666667</v>
      </c>
      <c r="J262" s="77"/>
    </row>
    <row r="263" spans="1:11" x14ac:dyDescent="0.2">
      <c r="A263" s="13" t="s">
        <v>119</v>
      </c>
      <c r="B263" s="14" t="s">
        <v>10</v>
      </c>
      <c r="C263" s="14">
        <v>1</v>
      </c>
      <c r="D263" s="91"/>
      <c r="E263" s="15"/>
      <c r="I263" s="77"/>
      <c r="J263" s="77"/>
    </row>
    <row r="264" spans="1:11" x14ac:dyDescent="0.2">
      <c r="A264" s="13" t="s">
        <v>68</v>
      </c>
      <c r="B264" s="14" t="s">
        <v>10</v>
      </c>
      <c r="C264" s="15">
        <f>C262*C263</f>
        <v>6</v>
      </c>
      <c r="D264" s="79"/>
      <c r="E264" s="15">
        <f>C264*D264</f>
        <v>0</v>
      </c>
      <c r="G264" s="316" t="s">
        <v>329</v>
      </c>
      <c r="H264" s="284"/>
      <c r="I264" s="10"/>
      <c r="J264" s="77"/>
    </row>
    <row r="265" spans="1:11" x14ac:dyDescent="0.2">
      <c r="A265" s="267" t="s">
        <v>296</v>
      </c>
      <c r="B265" s="17" t="s">
        <v>26</v>
      </c>
      <c r="C265" s="312">
        <v>100000</v>
      </c>
      <c r="D265" s="18">
        <f>E262+E264</f>
        <v>0</v>
      </c>
      <c r="E265" s="18">
        <f>IFERROR(D265/C265,"-")</f>
        <v>0</v>
      </c>
      <c r="I265" s="77"/>
      <c r="J265" s="77"/>
    </row>
    <row r="266" spans="1:11" ht="13.5" thickBot="1" x14ac:dyDescent="0.25">
      <c r="A266" s="16" t="s">
        <v>54</v>
      </c>
      <c r="B266" s="17" t="s">
        <v>18</v>
      </c>
      <c r="C266" s="85">
        <f>B239</f>
        <v>3900</v>
      </c>
      <c r="D266" s="18">
        <f>E265</f>
        <v>0</v>
      </c>
      <c r="E266" s="18">
        <f>IFERROR(C266*D266,0)</f>
        <v>0</v>
      </c>
      <c r="I266" s="77"/>
      <c r="J266" s="77"/>
    </row>
    <row r="267" spans="1:11" ht="13.5" thickBot="1" x14ac:dyDescent="0.25">
      <c r="F267" s="21">
        <f>E266</f>
        <v>0</v>
      </c>
      <c r="I267" s="77"/>
      <c r="J267" s="77"/>
    </row>
    <row r="268" spans="1:11" ht="11.25" customHeight="1" x14ac:dyDescent="0.2">
      <c r="I268" s="77"/>
      <c r="J268" s="77"/>
    </row>
    <row r="269" spans="1:11" ht="11.25" customHeight="1" thickBot="1" x14ac:dyDescent="0.25">
      <c r="G269" s="9"/>
    </row>
    <row r="270" spans="1:11" ht="13.5" thickBot="1" x14ac:dyDescent="0.25">
      <c r="A270" s="24" t="s">
        <v>218</v>
      </c>
      <c r="B270" s="25"/>
      <c r="C270" s="25"/>
      <c r="D270" s="26"/>
      <c r="E270" s="27"/>
      <c r="F270" s="21">
        <f>+SUM(F199:F269)</f>
        <v>0</v>
      </c>
      <c r="G270" s="9"/>
    </row>
    <row r="271" spans="1:11" s="260" customFormat="1" ht="11.25" customHeight="1" x14ac:dyDescent="0.2">
      <c r="A271" s="9"/>
      <c r="B271" s="9"/>
      <c r="C271" s="9"/>
      <c r="D271" s="10"/>
      <c r="E271" s="10"/>
      <c r="F271" s="10"/>
      <c r="G271" s="9"/>
      <c r="I271" s="9"/>
      <c r="J271" s="9"/>
    </row>
    <row r="272" spans="1:11" s="260" customFormat="1" x14ac:dyDescent="0.2">
      <c r="A272" s="11" t="s">
        <v>71</v>
      </c>
      <c r="B272" s="11"/>
      <c r="C272" s="11"/>
      <c r="D272" s="34"/>
      <c r="E272" s="34"/>
      <c r="F272" s="33"/>
      <c r="G272" s="9"/>
      <c r="I272" s="9"/>
      <c r="J272" s="9"/>
    </row>
    <row r="273" spans="1:10" s="260" customFormat="1" ht="11.25" customHeight="1" thickBot="1" x14ac:dyDescent="0.25">
      <c r="A273" s="9"/>
      <c r="B273" s="9"/>
      <c r="C273" s="9"/>
      <c r="D273" s="10"/>
      <c r="E273" s="10"/>
      <c r="F273" s="10"/>
      <c r="G273" s="9"/>
      <c r="I273" s="9"/>
      <c r="J273" s="9"/>
    </row>
    <row r="274" spans="1:10" s="260" customFormat="1" ht="13.5" thickBot="1" x14ac:dyDescent="0.25">
      <c r="A274" s="55" t="s">
        <v>61</v>
      </c>
      <c r="B274" s="56" t="s">
        <v>62</v>
      </c>
      <c r="C274" s="56" t="s">
        <v>40</v>
      </c>
      <c r="D274" s="57" t="s">
        <v>229</v>
      </c>
      <c r="E274" s="57" t="s">
        <v>63</v>
      </c>
      <c r="F274" s="58" t="s">
        <v>64</v>
      </c>
      <c r="G274" s="9"/>
      <c r="I274" s="9"/>
      <c r="J274" s="9"/>
    </row>
    <row r="275" spans="1:10" s="260" customFormat="1" x14ac:dyDescent="0.2">
      <c r="A275" s="267" t="s">
        <v>320</v>
      </c>
      <c r="B275" s="17" t="s">
        <v>10</v>
      </c>
      <c r="C275" s="309">
        <v>0.16666666666666666</v>
      </c>
      <c r="D275" s="79"/>
      <c r="E275" s="18">
        <f t="shared" ref="E275:E280" si="6">C275*D275*4</f>
        <v>0</v>
      </c>
      <c r="F275" s="50"/>
      <c r="G275" s="9"/>
      <c r="H275" s="284"/>
      <c r="I275" s="10"/>
      <c r="J275" s="9"/>
    </row>
    <row r="276" spans="1:10" s="260" customFormat="1" x14ac:dyDescent="0.2">
      <c r="A276" s="267" t="s">
        <v>321</v>
      </c>
      <c r="B276" s="17" t="s">
        <v>10</v>
      </c>
      <c r="C276" s="309">
        <v>0.16666666666666666</v>
      </c>
      <c r="D276" s="79"/>
      <c r="E276" s="18">
        <f t="shared" si="6"/>
        <v>0</v>
      </c>
      <c r="F276" s="50"/>
      <c r="G276" s="9"/>
      <c r="H276" s="284"/>
      <c r="I276" s="10"/>
      <c r="J276" s="9"/>
    </row>
    <row r="277" spans="1:10" s="260" customFormat="1" x14ac:dyDescent="0.2">
      <c r="A277" s="267" t="s">
        <v>322</v>
      </c>
      <c r="B277" s="17" t="s">
        <v>10</v>
      </c>
      <c r="C277" s="309">
        <v>0.33333333333333331</v>
      </c>
      <c r="D277" s="79"/>
      <c r="E277" s="18">
        <f t="shared" si="6"/>
        <v>0</v>
      </c>
      <c r="F277" s="50"/>
      <c r="G277" s="9"/>
      <c r="H277" s="284"/>
      <c r="I277" s="10"/>
      <c r="J277" s="9"/>
    </row>
    <row r="278" spans="1:10" s="260" customFormat="1" x14ac:dyDescent="0.2">
      <c r="A278" s="267" t="s">
        <v>323</v>
      </c>
      <c r="B278" s="17" t="s">
        <v>10</v>
      </c>
      <c r="C278" s="309">
        <v>0.16666666666666666</v>
      </c>
      <c r="D278" s="79"/>
      <c r="E278" s="18">
        <f t="shared" si="6"/>
        <v>0</v>
      </c>
      <c r="F278" s="50"/>
      <c r="G278" s="9"/>
      <c r="H278" s="284"/>
      <c r="I278" s="10"/>
      <c r="J278" s="9"/>
    </row>
    <row r="279" spans="1:10" s="260" customFormat="1" hidden="1" x14ac:dyDescent="0.2">
      <c r="A279" s="267" t="s">
        <v>325</v>
      </c>
      <c r="B279" s="17" t="s">
        <v>56</v>
      </c>
      <c r="C279" s="309">
        <v>8.3333333333333329E-2</v>
      </c>
      <c r="D279" s="79"/>
      <c r="E279" s="18">
        <f t="shared" si="6"/>
        <v>0</v>
      </c>
      <c r="F279" s="50"/>
      <c r="G279" s="9"/>
      <c r="I279" s="9"/>
      <c r="J279" s="9"/>
    </row>
    <row r="280" spans="1:10" s="260" customFormat="1" ht="13.5" thickBot="1" x14ac:dyDescent="0.25">
      <c r="A280" s="267" t="s">
        <v>324</v>
      </c>
      <c r="B280" s="17" t="s">
        <v>56</v>
      </c>
      <c r="C280" s="309">
        <v>8.3333333333333329E-2</v>
      </c>
      <c r="D280" s="79"/>
      <c r="E280" s="18">
        <f t="shared" si="6"/>
        <v>0</v>
      </c>
      <c r="F280" s="50"/>
      <c r="G280" s="9"/>
      <c r="I280" s="9"/>
      <c r="J280" s="9"/>
    </row>
    <row r="281" spans="1:10" s="260" customFormat="1" ht="13.5" thickBot="1" x14ac:dyDescent="0.25">
      <c r="A281" s="11"/>
      <c r="B281" s="11"/>
      <c r="C281" s="11"/>
      <c r="D281" s="11"/>
      <c r="E281" s="34"/>
      <c r="F281" s="21">
        <f>SUM(E275:E280)</f>
        <v>0</v>
      </c>
      <c r="G281" s="9"/>
      <c r="I281" s="9"/>
      <c r="J281" s="9"/>
    </row>
    <row r="282" spans="1:10" s="260" customFormat="1" ht="11.25" customHeight="1" thickBot="1" x14ac:dyDescent="0.25">
      <c r="A282" s="9"/>
      <c r="B282" s="9"/>
      <c r="C282" s="9"/>
      <c r="D282" s="10"/>
      <c r="E282" s="10"/>
      <c r="F282" s="10"/>
      <c r="G282" s="9"/>
      <c r="I282" s="9"/>
      <c r="J282" s="9"/>
    </row>
    <row r="283" spans="1:10" s="260" customFormat="1" ht="13.5" thickBot="1" x14ac:dyDescent="0.25">
      <c r="A283" s="24" t="s">
        <v>219</v>
      </c>
      <c r="B283" s="25"/>
      <c r="C283" s="25"/>
      <c r="D283" s="26"/>
      <c r="E283" s="27"/>
      <c r="F283" s="21">
        <f>+F281</f>
        <v>0</v>
      </c>
      <c r="G283" s="9"/>
      <c r="I283" s="9"/>
      <c r="J283" s="9"/>
    </row>
    <row r="284" spans="1:10" s="260" customFormat="1" ht="11.25" customHeight="1" x14ac:dyDescent="0.2">
      <c r="A284" s="9"/>
      <c r="B284" s="9"/>
      <c r="C284" s="9"/>
      <c r="D284" s="10"/>
      <c r="E284" s="10"/>
      <c r="F284" s="10"/>
      <c r="G284" s="9"/>
      <c r="I284" s="9"/>
      <c r="J284" s="9"/>
    </row>
    <row r="285" spans="1:10" s="260" customFormat="1" x14ac:dyDescent="0.2">
      <c r="A285" s="11" t="s">
        <v>72</v>
      </c>
      <c r="B285" s="11"/>
      <c r="C285" s="11"/>
      <c r="D285" s="34"/>
      <c r="E285" s="34"/>
      <c r="F285" s="33"/>
      <c r="G285" s="10"/>
      <c r="I285" s="9"/>
      <c r="J285" s="9"/>
    </row>
    <row r="286" spans="1:10" s="260" customFormat="1" ht="11.25" customHeight="1" thickBot="1" x14ac:dyDescent="0.25">
      <c r="A286" s="9"/>
      <c r="B286" s="9"/>
      <c r="C286" s="9"/>
      <c r="D286" s="10"/>
      <c r="E286" s="10"/>
      <c r="F286" s="10"/>
      <c r="G286" s="10"/>
      <c r="I286" s="9"/>
      <c r="J286" s="9"/>
    </row>
    <row r="287" spans="1:10" s="260" customFormat="1" ht="13.5" thickBot="1" x14ac:dyDescent="0.25">
      <c r="A287" s="55" t="s">
        <v>61</v>
      </c>
      <c r="B287" s="56" t="s">
        <v>62</v>
      </c>
      <c r="C287" s="56" t="s">
        <v>40</v>
      </c>
      <c r="D287" s="57" t="s">
        <v>229</v>
      </c>
      <c r="E287" s="57" t="s">
        <v>63</v>
      </c>
      <c r="F287" s="58" t="s">
        <v>64</v>
      </c>
      <c r="G287" s="10"/>
      <c r="I287" s="9"/>
      <c r="J287" s="9"/>
    </row>
    <row r="288" spans="1:10" x14ac:dyDescent="0.2">
      <c r="A288" s="16" t="s">
        <v>216</v>
      </c>
      <c r="B288" s="49" t="s">
        <v>56</v>
      </c>
      <c r="C288" s="64">
        <f>C210</f>
        <v>4</v>
      </c>
      <c r="D288" s="320"/>
      <c r="E288" s="319">
        <f>+D288*C288</f>
        <v>0</v>
      </c>
      <c r="F288" s="50"/>
      <c r="H288" s="284"/>
      <c r="I288" s="10"/>
    </row>
    <row r="289" spans="1:10" x14ac:dyDescent="0.2">
      <c r="A289" s="16" t="s">
        <v>58</v>
      </c>
      <c r="B289" s="49" t="s">
        <v>8</v>
      </c>
      <c r="C289" s="17">
        <v>120</v>
      </c>
      <c r="D289" s="319">
        <f>SUM(E288:E288)</f>
        <v>0</v>
      </c>
      <c r="E289" s="319">
        <f>+D289/C289</f>
        <v>0</v>
      </c>
      <c r="F289" s="50"/>
      <c r="H289" s="284"/>
    </row>
    <row r="290" spans="1:10" x14ac:dyDescent="0.2">
      <c r="A290" s="16" t="s">
        <v>217</v>
      </c>
      <c r="B290" s="17" t="s">
        <v>10</v>
      </c>
      <c r="C290" s="64">
        <f>+C288</f>
        <v>4</v>
      </c>
      <c r="D290" s="320"/>
      <c r="E290" s="319">
        <f>C290*D290</f>
        <v>0</v>
      </c>
      <c r="F290" s="50"/>
      <c r="H290" s="284"/>
      <c r="I290" s="10"/>
    </row>
    <row r="291" spans="1:10" ht="13.5" thickBot="1" x14ac:dyDescent="0.25">
      <c r="A291" s="16" t="s">
        <v>37</v>
      </c>
      <c r="B291" s="49" t="s">
        <v>8</v>
      </c>
      <c r="C291" s="17">
        <v>1</v>
      </c>
      <c r="D291" s="319">
        <f>+E290</f>
        <v>0</v>
      </c>
      <c r="E291" s="319">
        <f>+D291/C291</f>
        <v>0</v>
      </c>
      <c r="F291" s="50"/>
    </row>
    <row r="292" spans="1:10" ht="13.5" thickBot="1" x14ac:dyDescent="0.25">
      <c r="A292" s="12"/>
      <c r="B292" s="12"/>
      <c r="C292" s="12"/>
      <c r="D292" s="104" t="s">
        <v>190</v>
      </c>
      <c r="E292" s="47">
        <f>$B$45</f>
        <v>1</v>
      </c>
      <c r="F292" s="21">
        <f>(E289+E291)*E292</f>
        <v>0</v>
      </c>
    </row>
    <row r="293" spans="1:10" s="48" customFormat="1" ht="11.25" customHeight="1" thickBot="1" x14ac:dyDescent="0.25">
      <c r="A293" s="9"/>
      <c r="B293" s="9"/>
      <c r="C293" s="9"/>
      <c r="D293" s="10"/>
      <c r="E293" s="10"/>
      <c r="F293" s="10"/>
      <c r="G293" s="76"/>
      <c r="H293" s="260"/>
    </row>
    <row r="294" spans="1:10" ht="13.5" thickBot="1" x14ac:dyDescent="0.25">
      <c r="A294" s="24" t="s">
        <v>215</v>
      </c>
      <c r="B294" s="25"/>
      <c r="C294" s="25"/>
      <c r="D294" s="26"/>
      <c r="E294" s="27"/>
      <c r="F294" s="21">
        <f>+F292</f>
        <v>0</v>
      </c>
    </row>
    <row r="295" spans="1:10" ht="11.25" customHeight="1" x14ac:dyDescent="0.2"/>
    <row r="296" spans="1:10" s="260" customFormat="1" x14ac:dyDescent="0.2">
      <c r="A296" s="11" t="s">
        <v>308</v>
      </c>
      <c r="B296" s="11"/>
      <c r="C296" s="11"/>
      <c r="D296" s="34"/>
      <c r="E296" s="34"/>
      <c r="F296" s="33"/>
      <c r="G296" s="10"/>
      <c r="I296" s="9"/>
      <c r="J296" s="9"/>
    </row>
    <row r="297" spans="1:10" s="260" customFormat="1" ht="11.25" customHeight="1" thickBot="1" x14ac:dyDescent="0.25">
      <c r="A297" s="9"/>
      <c r="B297" s="9"/>
      <c r="C297" s="9"/>
      <c r="D297" s="10"/>
      <c r="E297" s="10"/>
      <c r="F297" s="10"/>
      <c r="G297" s="10"/>
      <c r="I297" s="9"/>
      <c r="J297" s="9"/>
    </row>
    <row r="298" spans="1:10" s="260" customFormat="1" ht="13.5" thickBot="1" x14ac:dyDescent="0.25">
      <c r="A298" s="55" t="s">
        <v>61</v>
      </c>
      <c r="B298" s="56" t="s">
        <v>62</v>
      </c>
      <c r="C298" s="56" t="s">
        <v>40</v>
      </c>
      <c r="D298" s="57" t="s">
        <v>229</v>
      </c>
      <c r="E298" s="57" t="s">
        <v>63</v>
      </c>
      <c r="F298" s="58" t="s">
        <v>64</v>
      </c>
      <c r="G298" s="10"/>
      <c r="I298" s="9"/>
      <c r="J298" s="9"/>
    </row>
    <row r="299" spans="1:10" x14ac:dyDescent="0.2">
      <c r="A299" s="267" t="s">
        <v>300</v>
      </c>
      <c r="B299" s="49" t="s">
        <v>302</v>
      </c>
      <c r="C299" s="64">
        <v>4</v>
      </c>
      <c r="D299" s="81"/>
      <c r="E299" s="18"/>
      <c r="F299" s="50"/>
      <c r="H299" s="284"/>
      <c r="I299" s="10"/>
    </row>
    <row r="300" spans="1:10" ht="13.5" thickBot="1" x14ac:dyDescent="0.25">
      <c r="A300" s="267" t="s">
        <v>301</v>
      </c>
      <c r="B300" s="49" t="s">
        <v>8</v>
      </c>
      <c r="C300" s="17">
        <f>C299*C135</f>
        <v>104</v>
      </c>
      <c r="D300" s="75">
        <f>C300*D299</f>
        <v>0</v>
      </c>
      <c r="E300" s="319">
        <f>D300</f>
        <v>0</v>
      </c>
      <c r="F300" s="50"/>
    </row>
    <row r="301" spans="1:10" ht="13.5" thickBot="1" x14ac:dyDescent="0.25">
      <c r="A301" s="12"/>
      <c r="B301" s="12"/>
      <c r="C301" s="12"/>
      <c r="D301" s="273"/>
      <c r="E301" s="54"/>
      <c r="F301" s="21">
        <f>(E300)</f>
        <v>0</v>
      </c>
    </row>
    <row r="302" spans="1:10" s="48" customFormat="1" ht="11.25" customHeight="1" thickBot="1" x14ac:dyDescent="0.25">
      <c r="A302" s="9"/>
      <c r="B302" s="9"/>
      <c r="C302" s="9"/>
      <c r="D302" s="10"/>
      <c r="E302" s="10"/>
      <c r="F302" s="10"/>
      <c r="G302" s="76"/>
      <c r="H302" s="260"/>
    </row>
    <row r="303" spans="1:10" ht="13.5" thickBot="1" x14ac:dyDescent="0.25">
      <c r="A303" s="24" t="s">
        <v>303</v>
      </c>
      <c r="B303" s="25"/>
      <c r="C303" s="25"/>
      <c r="D303" s="26"/>
      <c r="E303" s="27"/>
      <c r="F303" s="21">
        <f>+F301</f>
        <v>0</v>
      </c>
    </row>
    <row r="304" spans="1:10" ht="11.25" customHeight="1" thickBot="1" x14ac:dyDescent="0.25"/>
    <row r="305" spans="1:8" ht="17.25" customHeight="1" thickBot="1" x14ac:dyDescent="0.25">
      <c r="A305" s="24" t="s">
        <v>220</v>
      </c>
      <c r="B305" s="28"/>
      <c r="C305" s="28"/>
      <c r="D305" s="29"/>
      <c r="E305" s="30"/>
      <c r="F305" s="22">
        <f>+F155+F191+F270+F283+F294+F303</f>
        <v>0</v>
      </c>
    </row>
    <row r="306" spans="1:8" ht="11.25" customHeight="1" x14ac:dyDescent="0.2"/>
    <row r="307" spans="1:8" s="7" customFormat="1" x14ac:dyDescent="0.2">
      <c r="A307" s="11" t="s">
        <v>309</v>
      </c>
      <c r="D307" s="317"/>
      <c r="E307" s="317"/>
      <c r="F307" s="317"/>
      <c r="G307" s="317"/>
      <c r="H307" s="260"/>
    </row>
    <row r="308" spans="1:8" ht="11.25" customHeight="1" thickBot="1" x14ac:dyDescent="0.25"/>
    <row r="309" spans="1:8" ht="13.5" thickBot="1" x14ac:dyDescent="0.25">
      <c r="A309" s="55" t="s">
        <v>61</v>
      </c>
      <c r="B309" s="56" t="s">
        <v>62</v>
      </c>
      <c r="C309" s="56" t="s">
        <v>40</v>
      </c>
      <c r="D309" s="57" t="s">
        <v>229</v>
      </c>
      <c r="E309" s="57" t="s">
        <v>63</v>
      </c>
      <c r="F309" s="58" t="s">
        <v>64</v>
      </c>
    </row>
    <row r="310" spans="1:8" ht="13.5" thickBot="1" x14ac:dyDescent="0.25">
      <c r="A310" s="13" t="s">
        <v>36</v>
      </c>
      <c r="B310" s="14" t="s">
        <v>2</v>
      </c>
      <c r="C310" s="120">
        <f>BDI!C19*100</f>
        <v>25.509999999999998</v>
      </c>
      <c r="D310" s="15">
        <f>+F305</f>
        <v>0</v>
      </c>
      <c r="E310" s="15">
        <f>C310*D310/100</f>
        <v>0</v>
      </c>
    </row>
    <row r="311" spans="1:8" ht="13.5" thickBot="1" x14ac:dyDescent="0.25">
      <c r="F311" s="21">
        <f>+E310</f>
        <v>0</v>
      </c>
    </row>
    <row r="312" spans="1:8" ht="11.25" customHeight="1" thickBot="1" x14ac:dyDescent="0.25"/>
    <row r="313" spans="1:8" ht="13.5" thickBot="1" x14ac:dyDescent="0.25">
      <c r="A313" s="24" t="s">
        <v>234</v>
      </c>
      <c r="B313" s="28"/>
      <c r="C313" s="28"/>
      <c r="D313" s="29"/>
      <c r="E313" s="30"/>
      <c r="F313" s="22">
        <f>F311</f>
        <v>0</v>
      </c>
    </row>
    <row r="314" spans="1:8" ht="13.5" thickBot="1" x14ac:dyDescent="0.25">
      <c r="A314" s="11"/>
      <c r="B314" s="11"/>
      <c r="C314" s="11"/>
      <c r="D314" s="34"/>
      <c r="E314" s="34"/>
      <c r="F314" s="33"/>
    </row>
    <row r="315" spans="1:8" ht="51" hidden="1" customHeight="1" thickBot="1" x14ac:dyDescent="0.25"/>
    <row r="316" spans="1:8" ht="24.75" customHeight="1" thickBot="1" x14ac:dyDescent="0.25">
      <c r="A316" s="24" t="s">
        <v>299</v>
      </c>
      <c r="B316" s="28"/>
      <c r="C316" s="28"/>
      <c r="D316" s="29"/>
      <c r="E316" s="30"/>
      <c r="F316" s="22">
        <f>F305+F313</f>
        <v>0</v>
      </c>
      <c r="G316" s="10">
        <f>F316*12</f>
        <v>0</v>
      </c>
    </row>
    <row r="317" spans="1:8" ht="12.6" customHeight="1" x14ac:dyDescent="0.2">
      <c r="A317" s="51"/>
      <c r="B317" s="51"/>
      <c r="C317" s="51"/>
      <c r="D317" s="52"/>
      <c r="E317" s="52"/>
      <c r="F317" s="52"/>
    </row>
    <row r="318" spans="1:8" s="7" customFormat="1" x14ac:dyDescent="0.2">
      <c r="A318" s="11" t="s">
        <v>334</v>
      </c>
      <c r="B318" s="11"/>
      <c r="C318" s="11"/>
      <c r="D318" s="34"/>
      <c r="E318" s="34"/>
      <c r="F318" s="34"/>
      <c r="G318" s="317"/>
      <c r="H318" s="260"/>
    </row>
    <row r="319" spans="1:8" ht="12.6" customHeight="1" thickBot="1" x14ac:dyDescent="0.25">
      <c r="A319" s="51"/>
      <c r="B319" s="51"/>
      <c r="C319" s="51"/>
      <c r="D319" s="52"/>
      <c r="E319" s="52"/>
      <c r="F319" s="52"/>
    </row>
    <row r="320" spans="1:8" ht="13.5" thickBot="1" x14ac:dyDescent="0.25">
      <c r="A320" s="24" t="s">
        <v>333</v>
      </c>
      <c r="B320" s="318">
        <v>0.03</v>
      </c>
      <c r="C320" s="28"/>
      <c r="D320" s="29"/>
      <c r="E320" s="30"/>
      <c r="F320" s="22">
        <f>(F316/(1-B320))*B320</f>
        <v>0</v>
      </c>
    </row>
    <row r="321" spans="1:15" ht="12.6" customHeight="1" thickBot="1" x14ac:dyDescent="0.25">
      <c r="A321" s="51"/>
      <c r="B321" s="51"/>
      <c r="C321" s="51"/>
      <c r="D321" s="52"/>
      <c r="E321" s="52"/>
      <c r="F321" s="52"/>
    </row>
    <row r="322" spans="1:15" ht="24.75" customHeight="1" thickBot="1" x14ac:dyDescent="0.25">
      <c r="A322" s="24" t="s">
        <v>336</v>
      </c>
      <c r="B322" s="28"/>
      <c r="C322" s="28"/>
      <c r="D322" s="29"/>
      <c r="E322" s="30"/>
      <c r="F322" s="22">
        <f>ROUND(F316+F320,2)</f>
        <v>0</v>
      </c>
      <c r="G322" s="10">
        <f>F322*12</f>
        <v>0</v>
      </c>
    </row>
    <row r="323" spans="1:15" ht="12.6" customHeight="1" x14ac:dyDescent="0.2">
      <c r="A323" s="51"/>
      <c r="B323" s="51"/>
      <c r="C323" s="51"/>
      <c r="D323" s="52"/>
      <c r="E323" s="52"/>
      <c r="F323" s="52"/>
    </row>
    <row r="324" spans="1:15" x14ac:dyDescent="0.2">
      <c r="A324" s="271" t="s">
        <v>337</v>
      </c>
      <c r="B324" s="211"/>
      <c r="C324" s="211"/>
      <c r="D324" s="313">
        <f>10800/12</f>
        <v>900</v>
      </c>
      <c r="E324" s="212" t="s">
        <v>27</v>
      </c>
      <c r="I324" s="260" t="s">
        <v>294</v>
      </c>
    </row>
    <row r="325" spans="1:15" ht="13.5" thickBot="1" x14ac:dyDescent="0.25"/>
    <row r="326" spans="1:15" ht="25.5" customHeight="1" thickBot="1" x14ac:dyDescent="0.25">
      <c r="A326" s="24" t="s">
        <v>338</v>
      </c>
      <c r="B326" s="25"/>
      <c r="C326" s="25"/>
      <c r="D326" s="26"/>
      <c r="E326" s="213" t="s">
        <v>32</v>
      </c>
      <c r="F326" s="214">
        <f>ROUND(IFERROR(F322/D324,"-"),2)</f>
        <v>0</v>
      </c>
      <c r="G326" s="10" t="s">
        <v>200</v>
      </c>
      <c r="O326" s="285"/>
    </row>
    <row r="327" spans="1:15" ht="12.6" customHeight="1" x14ac:dyDescent="0.2">
      <c r="A327" s="11"/>
      <c r="B327" s="11"/>
      <c r="C327" s="11"/>
      <c r="D327" s="34"/>
      <c r="E327" s="34"/>
      <c r="F327" s="34"/>
    </row>
    <row r="328" spans="1:15" x14ac:dyDescent="0.2">
      <c r="A328" s="11" t="s">
        <v>305</v>
      </c>
      <c r="B328" s="11"/>
      <c r="C328" s="11"/>
      <c r="D328" s="34"/>
      <c r="E328" s="34"/>
      <c r="F328" s="34"/>
    </row>
    <row r="329" spans="1:15" x14ac:dyDescent="0.2">
      <c r="A329" s="406" t="s">
        <v>311</v>
      </c>
      <c r="B329" s="406"/>
      <c r="C329" s="406"/>
      <c r="D329" s="406"/>
      <c r="E329" s="406"/>
      <c r="F329" s="406"/>
    </row>
    <row r="335" spans="1:15" x14ac:dyDescent="0.2">
      <c r="D335" s="10">
        <f>D324*12</f>
        <v>10800</v>
      </c>
    </row>
    <row r="363" spans="1:10" s="260" customFormat="1" ht="9" customHeight="1" x14ac:dyDescent="0.2">
      <c r="A363" s="9"/>
      <c r="B363" s="9"/>
      <c r="C363" s="9"/>
      <c r="D363" s="9"/>
      <c r="E363" s="9"/>
      <c r="F363" s="9"/>
      <c r="G363" s="9"/>
      <c r="I363" s="9"/>
      <c r="J363" s="9"/>
    </row>
  </sheetData>
  <mergeCells count="10">
    <mergeCell ref="A1:F1"/>
    <mergeCell ref="A5:F5"/>
    <mergeCell ref="A6:F6"/>
    <mergeCell ref="A8:F8"/>
    <mergeCell ref="A18:C18"/>
    <mergeCell ref="A329:F329"/>
    <mergeCell ref="A42:D42"/>
    <mergeCell ref="A2:F2"/>
    <mergeCell ref="A33:E33"/>
    <mergeCell ref="A34:D34"/>
  </mergeCells>
  <hyperlinks>
    <hyperlink ref="A213" location="AbaRemun" display="3.1.2. Remuneração do Capital" xr:uid="{00000000-0004-0000-0100-000000000000}"/>
    <hyperlink ref="A197" location="AbaDeprec" display="3.1.1. Depreciação" xr:uid="{00000000-0004-0000-0100-000001000000}"/>
  </hyperlinks>
  <pageMargins left="0.59055118110236227" right="0.39370078740157483" top="0.59055118110236227" bottom="0.59055118110236227" header="0.31496062992125984" footer="0.31496062992125984"/>
  <pageSetup paperSize="9" scale="81" fitToHeight="0" orientation="portrait" blackAndWhite="1" r:id="rId1"/>
  <headerFooter alignWithMargins="0">
    <oddFooter>&amp;R&amp;P de &amp;N</oddFooter>
  </headerFooter>
  <ignoredErrors>
    <ignoredError sqref="E290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0A43B-88B6-4306-8D08-D62EA6460A63}">
  <sheetPr>
    <pageSetUpPr fitToPage="1"/>
  </sheetPr>
  <dimension ref="A1:N370"/>
  <sheetViews>
    <sheetView view="pageBreakPreview" topLeftCell="A302" zoomScaleNormal="100" zoomScaleSheetLayoutView="100" workbookViewId="0">
      <selection activeCell="F324" sqref="F324"/>
    </sheetView>
  </sheetViews>
  <sheetFormatPr defaultRowHeight="12.75" x14ac:dyDescent="0.2"/>
  <cols>
    <col min="1" max="1" width="44.5703125" style="7" customWidth="1"/>
    <col min="2" max="2" width="16" style="7" bestFit="1" customWidth="1"/>
    <col min="3" max="3" width="11.85546875" style="7" customWidth="1"/>
    <col min="4" max="4" width="14.7109375" style="317" customWidth="1"/>
    <col min="5" max="5" width="15.42578125" style="317" customWidth="1"/>
    <col min="6" max="6" width="13.28515625" style="317" customWidth="1"/>
    <col min="7" max="7" width="37.5703125" style="317" customWidth="1"/>
    <col min="8" max="8" width="27" style="260" bestFit="1" customWidth="1"/>
    <col min="9" max="9" width="9.28515625" style="7" bestFit="1" customWidth="1"/>
    <col min="10" max="10" width="14.28515625" style="7" bestFit="1" customWidth="1"/>
    <col min="11" max="11" width="5.7109375" style="7" bestFit="1" customWidth="1"/>
    <col min="12" max="12" width="3.140625" style="7" bestFit="1" customWidth="1"/>
    <col min="13" max="16384" width="9.140625" style="7"/>
  </cols>
  <sheetData>
    <row r="1" spans="1:8" ht="15.75" x14ac:dyDescent="0.2">
      <c r="A1" s="416" t="s">
        <v>297</v>
      </c>
      <c r="B1" s="416"/>
      <c r="C1" s="416"/>
      <c r="D1" s="416"/>
      <c r="E1" s="416"/>
      <c r="F1" s="416"/>
    </row>
    <row r="2" spans="1:8" ht="15.75" x14ac:dyDescent="0.2">
      <c r="A2" s="409" t="s">
        <v>298</v>
      </c>
      <c r="B2" s="409"/>
      <c r="C2" s="409"/>
      <c r="D2" s="409"/>
      <c r="E2" s="409"/>
      <c r="F2" s="409"/>
    </row>
    <row r="3" spans="1:8" ht="15.75" x14ac:dyDescent="0.2">
      <c r="A3" s="252"/>
    </row>
    <row r="4" spans="1:8" ht="16.5" thickBot="1" x14ac:dyDescent="0.25">
      <c r="A4" s="252"/>
      <c r="F4" s="270" t="s">
        <v>339</v>
      </c>
    </row>
    <row r="5" spans="1:8" s="8" customFormat="1" ht="18" x14ac:dyDescent="0.2">
      <c r="A5" s="417" t="s">
        <v>341</v>
      </c>
      <c r="B5" s="418"/>
      <c r="C5" s="418"/>
      <c r="D5" s="418"/>
      <c r="E5" s="418"/>
      <c r="F5" s="419"/>
      <c r="G5" s="35"/>
      <c r="H5" s="261"/>
    </row>
    <row r="6" spans="1:8" s="8" customFormat="1" ht="21.75" customHeight="1" x14ac:dyDescent="0.2">
      <c r="A6" s="420" t="s">
        <v>43</v>
      </c>
      <c r="B6" s="421"/>
      <c r="C6" s="421"/>
      <c r="D6" s="421"/>
      <c r="E6" s="421"/>
      <c r="F6" s="422"/>
      <c r="G6" s="35"/>
      <c r="H6" s="261"/>
    </row>
    <row r="7" spans="1:8" s="4" customFormat="1" ht="10.9" customHeight="1" thickBot="1" x14ac:dyDescent="0.25">
      <c r="A7" s="128"/>
      <c r="B7" s="5"/>
      <c r="C7" s="5"/>
      <c r="D7" s="129"/>
      <c r="E7" s="129"/>
      <c r="F7" s="130"/>
      <c r="G7" s="6"/>
      <c r="H7" s="260"/>
    </row>
    <row r="8" spans="1:8" s="4" customFormat="1" ht="15.75" customHeight="1" thickBot="1" x14ac:dyDescent="0.25">
      <c r="A8" s="410" t="s">
        <v>197</v>
      </c>
      <c r="B8" s="411"/>
      <c r="C8" s="411"/>
      <c r="D8" s="411"/>
      <c r="E8" s="411"/>
      <c r="F8" s="412"/>
      <c r="G8" s="6"/>
      <c r="H8" s="260"/>
    </row>
    <row r="9" spans="1:8" s="4" customFormat="1" ht="15.75" customHeight="1" x14ac:dyDescent="0.2">
      <c r="A9" s="59" t="s">
        <v>196</v>
      </c>
      <c r="B9" s="37"/>
      <c r="C9" s="37"/>
      <c r="D9" s="218"/>
      <c r="E9" s="97" t="s">
        <v>38</v>
      </c>
      <c r="F9" s="38" t="s">
        <v>2</v>
      </c>
      <c r="G9" s="6"/>
      <c r="H9" s="260"/>
    </row>
    <row r="10" spans="1:8" s="11" customFormat="1" ht="15.75" customHeight="1" x14ac:dyDescent="0.2">
      <c r="A10" s="106" t="str">
        <f>A47</f>
        <v>1. Mão-de-obra</v>
      </c>
      <c r="B10" s="107"/>
      <c r="C10" s="108"/>
      <c r="D10" s="108"/>
      <c r="E10" s="215">
        <f>+F155</f>
        <v>0</v>
      </c>
      <c r="F10" s="109">
        <f t="shared" ref="F10:F30" si="0">IFERROR(E10/$E$31,0)</f>
        <v>0</v>
      </c>
      <c r="G10" s="41"/>
      <c r="H10" s="260"/>
    </row>
    <row r="11" spans="1:8" s="4" customFormat="1" ht="15.75" hidden="1" customHeight="1" x14ac:dyDescent="0.2">
      <c r="A11" s="46" t="str">
        <f>A49</f>
        <v>1.1. Coletor Turno Dia</v>
      </c>
      <c r="B11" s="42"/>
      <c r="C11" s="44"/>
      <c r="D11" s="44"/>
      <c r="E11" s="216">
        <f>F60</f>
        <v>0</v>
      </c>
      <c r="F11" s="53">
        <f t="shared" si="0"/>
        <v>0</v>
      </c>
      <c r="G11" s="6"/>
      <c r="H11" s="260"/>
    </row>
    <row r="12" spans="1:8" s="4" customFormat="1" ht="15.75" hidden="1" customHeight="1" x14ac:dyDescent="0.2">
      <c r="A12" s="46" t="str">
        <f>A62</f>
        <v>1.2. Coletor Turno Noite</v>
      </c>
      <c r="B12" s="42"/>
      <c r="C12" s="44"/>
      <c r="D12" s="44"/>
      <c r="E12" s="216">
        <f>F79</f>
        <v>0</v>
      </c>
      <c r="F12" s="53">
        <f t="shared" si="0"/>
        <v>0</v>
      </c>
      <c r="G12" s="6"/>
      <c r="H12" s="260"/>
    </row>
    <row r="13" spans="1:8" s="4" customFormat="1" ht="15.75" customHeight="1" x14ac:dyDescent="0.2">
      <c r="A13" s="46" t="str">
        <f>A81</f>
        <v>1.3. Motorista Turno do Dia</v>
      </c>
      <c r="B13" s="42"/>
      <c r="C13" s="44"/>
      <c r="D13" s="44"/>
      <c r="E13" s="216">
        <f>F94</f>
        <v>0</v>
      </c>
      <c r="F13" s="53">
        <f t="shared" si="0"/>
        <v>0</v>
      </c>
      <c r="G13" s="6"/>
      <c r="H13" s="260"/>
    </row>
    <row r="14" spans="1:8" s="4" customFormat="1" ht="15.75" hidden="1" customHeight="1" x14ac:dyDescent="0.2">
      <c r="A14" s="46" t="str">
        <f>A96</f>
        <v>1.4. Motorista Turno Noite</v>
      </c>
      <c r="B14" s="42"/>
      <c r="C14" s="44"/>
      <c r="D14" s="44"/>
      <c r="E14" s="216">
        <f>F115</f>
        <v>0</v>
      </c>
      <c r="F14" s="53">
        <f t="shared" si="0"/>
        <v>0</v>
      </c>
      <c r="G14" s="6"/>
      <c r="H14" s="260"/>
    </row>
    <row r="15" spans="1:8" s="4" customFormat="1" ht="15.75" hidden="1" customHeight="1" x14ac:dyDescent="0.2">
      <c r="A15" s="46" t="str">
        <f>A117</f>
        <v>1.5. Supervisor</v>
      </c>
      <c r="B15" s="42"/>
      <c r="C15" s="44"/>
      <c r="D15" s="44"/>
      <c r="E15" s="216">
        <f>F130</f>
        <v>0</v>
      </c>
      <c r="F15" s="53">
        <f t="shared" si="0"/>
        <v>0</v>
      </c>
      <c r="G15" s="6"/>
      <c r="H15" s="260"/>
    </row>
    <row r="16" spans="1:8" s="4" customFormat="1" x14ac:dyDescent="0.2">
      <c r="A16" s="46" t="str">
        <f>A132</f>
        <v>1.6. Vale Transporte</v>
      </c>
      <c r="B16" s="42"/>
      <c r="C16" s="44"/>
      <c r="D16" s="44"/>
      <c r="E16" s="216">
        <f>F139</f>
        <v>0</v>
      </c>
      <c r="F16" s="53">
        <f t="shared" si="0"/>
        <v>0</v>
      </c>
      <c r="G16" s="6"/>
      <c r="H16" s="260"/>
    </row>
    <row r="17" spans="1:8" s="4" customFormat="1" ht="15.75" customHeight="1" x14ac:dyDescent="0.2">
      <c r="A17" s="46" t="str">
        <f>A148</f>
        <v>1.7. Auxílio Alimentação (mensal)</v>
      </c>
      <c r="B17" s="42"/>
      <c r="C17" s="44"/>
      <c r="D17" s="44"/>
      <c r="E17" s="216">
        <f>F153</f>
        <v>0</v>
      </c>
      <c r="F17" s="53">
        <f t="shared" si="0"/>
        <v>0</v>
      </c>
      <c r="G17" s="6"/>
      <c r="H17" s="260"/>
    </row>
    <row r="18" spans="1:8" s="11" customFormat="1" ht="15.75" customHeight="1" x14ac:dyDescent="0.2">
      <c r="A18" s="423" t="str">
        <f>A157</f>
        <v>2. Uniformes e Equipamentos de Proteção Individual</v>
      </c>
      <c r="B18" s="424"/>
      <c r="C18" s="424"/>
      <c r="D18" s="108"/>
      <c r="E18" s="215">
        <f>+F190</f>
        <v>0</v>
      </c>
      <c r="F18" s="109">
        <f t="shared" si="0"/>
        <v>0</v>
      </c>
      <c r="G18" s="41"/>
      <c r="H18" s="260"/>
    </row>
    <row r="19" spans="1:8" s="11" customFormat="1" ht="15.75" customHeight="1" x14ac:dyDescent="0.2">
      <c r="A19" s="117" t="str">
        <f>A192</f>
        <v>3. Veículos e Equipamentos</v>
      </c>
      <c r="B19" s="118"/>
      <c r="C19" s="108"/>
      <c r="D19" s="108"/>
      <c r="E19" s="215">
        <f>+F269</f>
        <v>0</v>
      </c>
      <c r="F19" s="109">
        <f t="shared" si="0"/>
        <v>0</v>
      </c>
      <c r="G19" s="41"/>
      <c r="H19" s="260"/>
    </row>
    <row r="20" spans="1:8" s="4" customFormat="1" ht="15.75" customHeight="1" x14ac:dyDescent="0.2">
      <c r="A20" s="60" t="str">
        <f>A194</f>
        <v>3.1. Veículo Coletor Compactador 15 m³</v>
      </c>
      <c r="B20" s="43"/>
      <c r="C20" s="44"/>
      <c r="D20" s="44"/>
      <c r="E20" s="216">
        <f>SUM(E21:E26)</f>
        <v>0</v>
      </c>
      <c r="F20" s="324">
        <f t="shared" si="0"/>
        <v>0</v>
      </c>
      <c r="G20" s="6"/>
      <c r="H20" s="260"/>
    </row>
    <row r="21" spans="1:8" s="4" customFormat="1" ht="12.75" hidden="1" customHeight="1" x14ac:dyDescent="0.2">
      <c r="A21" s="60" t="str">
        <f>A196</f>
        <v>3.1.1. Depreciação</v>
      </c>
      <c r="B21" s="43"/>
      <c r="C21" s="44"/>
      <c r="D21" s="44"/>
      <c r="E21" s="216">
        <f>F210</f>
        <v>0</v>
      </c>
      <c r="F21" s="324">
        <f t="shared" si="0"/>
        <v>0</v>
      </c>
      <c r="G21" s="6"/>
      <c r="H21" s="260"/>
    </row>
    <row r="22" spans="1:8" s="4" customFormat="1" ht="12.75" hidden="1" customHeight="1" x14ac:dyDescent="0.2">
      <c r="A22" s="60" t="str">
        <f>A212</f>
        <v>3.1.2. Remuneração do Capital</v>
      </c>
      <c r="B22" s="43"/>
      <c r="C22" s="44"/>
      <c r="D22" s="44"/>
      <c r="E22" s="216">
        <f>F226</f>
        <v>0</v>
      </c>
      <c r="F22" s="324">
        <f t="shared" si="0"/>
        <v>0</v>
      </c>
      <c r="G22" s="6"/>
      <c r="H22" s="260"/>
    </row>
    <row r="23" spans="1:8" s="4" customFormat="1" ht="12.75" hidden="1" customHeight="1" x14ac:dyDescent="0.2">
      <c r="A23" s="60" t="str">
        <f>A228</f>
        <v>3.1.3. Impostos e Seguros</v>
      </c>
      <c r="B23" s="43"/>
      <c r="C23" s="44"/>
      <c r="D23" s="44"/>
      <c r="E23" s="216">
        <f>F234</f>
        <v>0</v>
      </c>
      <c r="F23" s="324">
        <f t="shared" si="0"/>
        <v>0</v>
      </c>
      <c r="G23" s="6"/>
      <c r="H23" s="260"/>
    </row>
    <row r="24" spans="1:8" s="4" customFormat="1" ht="15.75" customHeight="1" x14ac:dyDescent="0.2">
      <c r="A24" s="60" t="str">
        <f>A236</f>
        <v>3.1.4. Consumos</v>
      </c>
      <c r="B24" s="43"/>
      <c r="C24" s="44"/>
      <c r="D24" s="44"/>
      <c r="E24" s="216">
        <f>F252</f>
        <v>0</v>
      </c>
      <c r="F24" s="324">
        <f t="shared" si="0"/>
        <v>0</v>
      </c>
      <c r="G24" s="6"/>
      <c r="H24" s="260"/>
    </row>
    <row r="25" spans="1:8" s="4" customFormat="1" ht="15.75" customHeight="1" x14ac:dyDescent="0.2">
      <c r="A25" s="60" t="str">
        <f>A254</f>
        <v>3.1.5. Manutenção</v>
      </c>
      <c r="B25" s="43"/>
      <c r="C25" s="44"/>
      <c r="D25" s="44"/>
      <c r="E25" s="216">
        <f>F257</f>
        <v>0</v>
      </c>
      <c r="F25" s="324">
        <f t="shared" si="0"/>
        <v>0</v>
      </c>
      <c r="G25" s="6"/>
      <c r="H25" s="260"/>
    </row>
    <row r="26" spans="1:8" s="4" customFormat="1" ht="15.75" customHeight="1" x14ac:dyDescent="0.2">
      <c r="A26" s="60" t="str">
        <f>A259</f>
        <v>3.1.6. Pneus</v>
      </c>
      <c r="B26" s="43"/>
      <c r="C26" s="44"/>
      <c r="D26" s="44"/>
      <c r="E26" s="216">
        <f>F266</f>
        <v>0</v>
      </c>
      <c r="F26" s="324">
        <f t="shared" si="0"/>
        <v>0</v>
      </c>
      <c r="G26" s="6"/>
      <c r="H26" s="260"/>
    </row>
    <row r="27" spans="1:8" s="11" customFormat="1" ht="15.75" hidden="1" customHeight="1" x14ac:dyDescent="0.2">
      <c r="A27" s="117" t="str">
        <f>A271</f>
        <v>4. Ferramentas e Materiais de Consumo</v>
      </c>
      <c r="B27" s="118"/>
      <c r="C27" s="108"/>
      <c r="D27" s="108"/>
      <c r="E27" s="215">
        <f>+F281</f>
        <v>0</v>
      </c>
      <c r="F27" s="109">
        <f t="shared" si="0"/>
        <v>0</v>
      </c>
      <c r="G27" s="41"/>
      <c r="H27" s="260"/>
    </row>
    <row r="28" spans="1:8" s="11" customFormat="1" ht="15.75" hidden="1" customHeight="1" x14ac:dyDescent="0.2">
      <c r="A28" s="117" t="str">
        <f>A283</f>
        <v>5. Monitoramento da Frota</v>
      </c>
      <c r="B28" s="118"/>
      <c r="C28" s="108"/>
      <c r="D28" s="108"/>
      <c r="E28" s="215">
        <f>+F292</f>
        <v>0</v>
      </c>
      <c r="F28" s="109">
        <f t="shared" si="0"/>
        <v>0</v>
      </c>
      <c r="G28" s="41"/>
      <c r="H28" s="260"/>
    </row>
    <row r="29" spans="1:8" s="11" customFormat="1" ht="15.75" hidden="1" customHeight="1" x14ac:dyDescent="0.2">
      <c r="A29" s="117" t="str">
        <f>A294</f>
        <v>6. Serviço de Pesagem</v>
      </c>
      <c r="B29" s="118"/>
      <c r="C29" s="108"/>
      <c r="D29" s="108"/>
      <c r="E29" s="215">
        <f>+F301</f>
        <v>0</v>
      </c>
      <c r="F29" s="109">
        <f t="shared" si="0"/>
        <v>0</v>
      </c>
      <c r="G29" s="41"/>
      <c r="H29" s="260"/>
    </row>
    <row r="30" spans="1:8" s="11" customFormat="1" ht="15.75" customHeight="1" thickBot="1" x14ac:dyDescent="0.25">
      <c r="A30" s="117" t="str">
        <f>A305</f>
        <v>7. Benefícios e Despesas Indiretas - BDI</v>
      </c>
      <c r="B30" s="118"/>
      <c r="C30" s="108"/>
      <c r="D30" s="108"/>
      <c r="E30" s="217">
        <f>+F311</f>
        <v>0</v>
      </c>
      <c r="F30" s="109">
        <f t="shared" si="0"/>
        <v>0</v>
      </c>
      <c r="G30" s="41"/>
      <c r="H30" s="260"/>
    </row>
    <row r="31" spans="1:8" s="4" customFormat="1" ht="15.75" customHeight="1" thickBot="1" x14ac:dyDescent="0.25">
      <c r="A31" s="39" t="s">
        <v>233</v>
      </c>
      <c r="B31" s="40"/>
      <c r="C31" s="26"/>
      <c r="D31" s="26"/>
      <c r="E31" s="96">
        <f>E10+E18+E19+E27+E28+E29+E30</f>
        <v>0</v>
      </c>
      <c r="F31" s="122">
        <f>F10+F18+F19+F27+F28+F29+F30</f>
        <v>0</v>
      </c>
      <c r="G31" s="6"/>
      <c r="H31" s="260"/>
    </row>
    <row r="32" spans="1:8" ht="13.5" thickBot="1" x14ac:dyDescent="0.25"/>
    <row r="33" spans="1:8" s="4" customFormat="1" ht="15" customHeight="1" thickBot="1" x14ac:dyDescent="0.25">
      <c r="A33" s="410" t="s">
        <v>93</v>
      </c>
      <c r="B33" s="411"/>
      <c r="C33" s="411"/>
      <c r="D33" s="411"/>
      <c r="E33" s="412"/>
      <c r="F33" s="317"/>
      <c r="G33" s="6"/>
      <c r="H33" s="260"/>
    </row>
    <row r="34" spans="1:8" s="4" customFormat="1" ht="15" customHeight="1" thickBot="1" x14ac:dyDescent="0.25">
      <c r="A34" s="413" t="s">
        <v>39</v>
      </c>
      <c r="B34" s="414"/>
      <c r="C34" s="414"/>
      <c r="D34" s="415"/>
      <c r="E34" s="45" t="s">
        <v>40</v>
      </c>
      <c r="F34" s="317"/>
      <c r="G34" s="6"/>
      <c r="H34" s="260"/>
    </row>
    <row r="35" spans="1:8" s="4" customFormat="1" ht="15" hidden="1" customHeight="1" x14ac:dyDescent="0.2">
      <c r="A35" s="325" t="str">
        <f>+A49</f>
        <v>1.1. Coletor Turno Dia</v>
      </c>
      <c r="B35" s="326"/>
      <c r="C35" s="326"/>
      <c r="D35" s="70"/>
      <c r="E35" s="327">
        <f>C59</f>
        <v>0</v>
      </c>
      <c r="F35" s="317"/>
      <c r="G35" s="6"/>
      <c r="H35" s="260"/>
    </row>
    <row r="36" spans="1:8" s="4" customFormat="1" ht="15" hidden="1" customHeight="1" x14ac:dyDescent="0.2">
      <c r="A36" s="328" t="str">
        <f>+A62</f>
        <v>1.2. Coletor Turno Noite</v>
      </c>
      <c r="B36" s="329"/>
      <c r="C36" s="329"/>
      <c r="D36" s="72"/>
      <c r="E36" s="330">
        <f>C78</f>
        <v>0</v>
      </c>
      <c r="F36" s="317"/>
      <c r="G36" s="6"/>
      <c r="H36" s="260"/>
    </row>
    <row r="37" spans="1:8" s="4" customFormat="1" ht="15" customHeight="1" x14ac:dyDescent="0.2">
      <c r="A37" s="328" t="str">
        <f>+A81</f>
        <v>1.3. Motorista Turno do Dia</v>
      </c>
      <c r="B37" s="329"/>
      <c r="C37" s="329"/>
      <c r="D37" s="72"/>
      <c r="E37" s="330">
        <f>C93</f>
        <v>1</v>
      </c>
      <c r="F37" s="317"/>
      <c r="G37" s="6"/>
      <c r="H37" s="260"/>
    </row>
    <row r="38" spans="1:8" s="4" customFormat="1" ht="15" hidden="1" customHeight="1" x14ac:dyDescent="0.2">
      <c r="A38" s="328" t="str">
        <f>+A96</f>
        <v>1.4. Motorista Turno Noite</v>
      </c>
      <c r="B38" s="329"/>
      <c r="C38" s="329"/>
      <c r="D38" s="72"/>
      <c r="E38" s="330">
        <f>C114</f>
        <v>0</v>
      </c>
      <c r="F38" s="317"/>
      <c r="G38" s="6"/>
      <c r="H38" s="260"/>
    </row>
    <row r="39" spans="1:8" s="4" customFormat="1" ht="15" hidden="1" customHeight="1" x14ac:dyDescent="0.2">
      <c r="A39" s="328" t="str">
        <f>+A117</f>
        <v>1.5. Supervisor</v>
      </c>
      <c r="B39" s="329"/>
      <c r="C39" s="329"/>
      <c r="D39" s="72"/>
      <c r="E39" s="330">
        <f>C129</f>
        <v>0</v>
      </c>
      <c r="F39" s="317"/>
      <c r="G39" s="6"/>
      <c r="H39" s="260"/>
    </row>
    <row r="40" spans="1:8" s="4" customFormat="1" ht="15" customHeight="1" thickBot="1" x14ac:dyDescent="0.25">
      <c r="A40" s="66" t="s">
        <v>57</v>
      </c>
      <c r="B40" s="67"/>
      <c r="C40" s="67"/>
      <c r="D40" s="73"/>
      <c r="E40" s="74">
        <f>SUM(E35:E39)</f>
        <v>1</v>
      </c>
      <c r="F40" s="317"/>
      <c r="G40" s="6"/>
      <c r="H40" s="260"/>
    </row>
    <row r="41" spans="1:8" s="4" customFormat="1" ht="15" customHeight="1" thickBot="1" x14ac:dyDescent="0.25">
      <c r="A41" s="110"/>
      <c r="B41" s="111"/>
      <c r="C41" s="296"/>
      <c r="D41" s="296"/>
      <c r="E41" s="331"/>
      <c r="F41" s="317"/>
      <c r="G41" s="6"/>
      <c r="H41" s="260"/>
    </row>
    <row r="42" spans="1:8" s="4" customFormat="1" ht="15" customHeight="1" x14ac:dyDescent="0.2">
      <c r="A42" s="407" t="s">
        <v>55</v>
      </c>
      <c r="B42" s="408"/>
      <c r="C42" s="408"/>
      <c r="D42" s="408"/>
      <c r="E42" s="45" t="s">
        <v>40</v>
      </c>
      <c r="F42" s="7"/>
      <c r="G42" s="6"/>
      <c r="H42" s="260"/>
    </row>
    <row r="43" spans="1:8" s="4" customFormat="1" ht="15" customHeight="1" thickBot="1" x14ac:dyDescent="0.25">
      <c r="A43" s="332" t="str">
        <f>+A194</f>
        <v>3.1. Veículo Coletor Compactador 15 m³</v>
      </c>
      <c r="B43" s="315"/>
      <c r="C43" s="315"/>
      <c r="D43" s="333"/>
      <c r="E43" s="334">
        <v>0</v>
      </c>
      <c r="F43" s="7"/>
      <c r="G43" s="6"/>
      <c r="H43" s="260"/>
    </row>
    <row r="44" spans="1:8" s="4" customFormat="1" ht="15" customHeight="1" thickBot="1" x14ac:dyDescent="0.25">
      <c r="A44" s="296"/>
      <c r="B44" s="296"/>
      <c r="C44" s="296"/>
      <c r="D44" s="7"/>
      <c r="E44" s="335"/>
      <c r="F44" s="7"/>
      <c r="G44" s="6"/>
      <c r="H44" s="260"/>
    </row>
    <row r="45" spans="1:8" s="11" customFormat="1" ht="15.75" customHeight="1" thickBot="1" x14ac:dyDescent="0.25">
      <c r="A45" s="219" t="s">
        <v>191</v>
      </c>
      <c r="B45" s="220">
        <v>1</v>
      </c>
      <c r="C45" s="34"/>
      <c r="E45" s="269"/>
      <c r="G45" s="41"/>
      <c r="H45" s="260"/>
    </row>
    <row r="46" spans="1:8" s="4" customFormat="1" x14ac:dyDescent="0.2">
      <c r="A46" s="296"/>
      <c r="B46" s="296"/>
      <c r="C46" s="296"/>
      <c r="D46" s="7"/>
      <c r="E46" s="336"/>
      <c r="F46" s="7"/>
      <c r="G46" s="6"/>
      <c r="H46" s="260"/>
    </row>
    <row r="47" spans="1:8" x14ac:dyDescent="0.2">
      <c r="A47" s="11" t="s">
        <v>47</v>
      </c>
    </row>
    <row r="49" spans="1:10" hidden="1" x14ac:dyDescent="0.2">
      <c r="A49" s="7" t="s">
        <v>96</v>
      </c>
    </row>
    <row r="50" spans="1:10" ht="13.5" hidden="1" thickBot="1" x14ac:dyDescent="0.25">
      <c r="A50" s="55" t="s">
        <v>61</v>
      </c>
      <c r="B50" s="56" t="s">
        <v>62</v>
      </c>
      <c r="C50" s="56" t="s">
        <v>40</v>
      </c>
      <c r="D50" s="57" t="s">
        <v>229</v>
      </c>
      <c r="E50" s="57" t="s">
        <v>63</v>
      </c>
      <c r="F50" s="58" t="s">
        <v>64</v>
      </c>
    </row>
    <row r="51" spans="1:10" hidden="1" x14ac:dyDescent="0.2">
      <c r="A51" s="254" t="s">
        <v>208</v>
      </c>
      <c r="B51" s="337" t="s">
        <v>8</v>
      </c>
      <c r="C51" s="337">
        <v>1</v>
      </c>
      <c r="D51" s="338"/>
      <c r="E51" s="339">
        <f>C51*D51</f>
        <v>0</v>
      </c>
      <c r="H51" s="260" t="s">
        <v>342</v>
      </c>
    </row>
    <row r="52" spans="1:10" hidden="1" x14ac:dyDescent="0.2">
      <c r="A52" s="267" t="s">
        <v>34</v>
      </c>
      <c r="B52" s="274" t="s">
        <v>0</v>
      </c>
      <c r="C52" s="340"/>
      <c r="D52" s="319">
        <f>D51/180*2</f>
        <v>0</v>
      </c>
      <c r="E52" s="319">
        <f>C52*D52</f>
        <v>0</v>
      </c>
      <c r="G52" s="317" t="s">
        <v>243</v>
      </c>
    </row>
    <row r="53" spans="1:10" hidden="1" x14ac:dyDescent="0.2">
      <c r="A53" s="267" t="s">
        <v>35</v>
      </c>
      <c r="B53" s="274" t="s">
        <v>0</v>
      </c>
      <c r="C53" s="340"/>
      <c r="D53" s="319">
        <f>D51/180*1.5</f>
        <v>0</v>
      </c>
      <c r="E53" s="319">
        <f>C53*D53</f>
        <v>0</v>
      </c>
      <c r="G53" s="317" t="s">
        <v>245</v>
      </c>
    </row>
    <row r="54" spans="1:10" hidden="1" x14ac:dyDescent="0.2">
      <c r="A54" s="267" t="s">
        <v>212</v>
      </c>
      <c r="B54" s="274" t="s">
        <v>33</v>
      </c>
      <c r="D54" s="319">
        <f>63/302*(SUM(E52:E53))</f>
        <v>0</v>
      </c>
      <c r="E54" s="319">
        <f>D54</f>
        <v>0</v>
      </c>
      <c r="G54" s="317" t="s">
        <v>211</v>
      </c>
    </row>
    <row r="55" spans="1:10" hidden="1" x14ac:dyDescent="0.2">
      <c r="A55" s="267" t="s">
        <v>1</v>
      </c>
      <c r="B55" s="274" t="s">
        <v>2</v>
      </c>
      <c r="C55" s="274">
        <v>40</v>
      </c>
      <c r="D55" s="341">
        <v>1100</v>
      </c>
      <c r="E55" s="319">
        <f>C55*D55/100</f>
        <v>440</v>
      </c>
      <c r="H55" s="260" t="s">
        <v>343</v>
      </c>
    </row>
    <row r="56" spans="1:10" hidden="1" x14ac:dyDescent="0.2">
      <c r="A56" s="98" t="s">
        <v>3</v>
      </c>
      <c r="B56" s="99"/>
      <c r="C56" s="99"/>
      <c r="D56" s="100"/>
      <c r="E56" s="101">
        <f>SUM(E51:E55)</f>
        <v>440</v>
      </c>
    </row>
    <row r="57" spans="1:10" hidden="1" x14ac:dyDescent="0.2">
      <c r="A57" s="267" t="s">
        <v>4</v>
      </c>
      <c r="B57" s="274" t="s">
        <v>2</v>
      </c>
      <c r="C57" s="342">
        <f>'[1]2.Encargos Sociais'!$C$37*100</f>
        <v>70.595951999999997</v>
      </c>
      <c r="D57" s="319">
        <f>E56</f>
        <v>440</v>
      </c>
      <c r="E57" s="319">
        <f>D57*C57/100</f>
        <v>310.6221888</v>
      </c>
    </row>
    <row r="58" spans="1:10" hidden="1" x14ac:dyDescent="0.2">
      <c r="A58" s="98" t="s">
        <v>69</v>
      </c>
      <c r="B58" s="99"/>
      <c r="C58" s="99"/>
      <c r="D58" s="100"/>
      <c r="E58" s="101">
        <f>E56+E57</f>
        <v>750.6221888</v>
      </c>
    </row>
    <row r="59" spans="1:10" s="260" customFormat="1" hidden="1" x14ac:dyDescent="0.2">
      <c r="A59" s="267" t="s">
        <v>5</v>
      </c>
      <c r="B59" s="274" t="s">
        <v>6</v>
      </c>
      <c r="C59" s="343"/>
      <c r="D59" s="319">
        <f>E58</f>
        <v>750.6221888</v>
      </c>
      <c r="E59" s="319">
        <f>C59*D59</f>
        <v>0</v>
      </c>
      <c r="F59" s="317"/>
      <c r="G59" s="6"/>
      <c r="I59" s="7"/>
      <c r="J59" s="7"/>
    </row>
    <row r="60" spans="1:10" s="260" customFormat="1" ht="13.5" hidden="1" thickBot="1" x14ac:dyDescent="0.25">
      <c r="A60" s="7"/>
      <c r="B60" s="7"/>
      <c r="C60" s="7"/>
      <c r="D60" s="270" t="s">
        <v>190</v>
      </c>
      <c r="E60" s="344">
        <f>$B$45</f>
        <v>1</v>
      </c>
      <c r="F60" s="105">
        <f>E59*E60</f>
        <v>0</v>
      </c>
      <c r="G60" s="6"/>
      <c r="I60" s="7"/>
      <c r="J60" s="7"/>
    </row>
    <row r="61" spans="1:10" s="260" customFormat="1" hidden="1" x14ac:dyDescent="0.2">
      <c r="A61" s="7"/>
      <c r="B61" s="7"/>
      <c r="C61" s="7"/>
      <c r="D61" s="317"/>
      <c r="E61" s="317"/>
      <c r="F61" s="317"/>
      <c r="G61" s="317"/>
      <c r="I61" s="7"/>
      <c r="J61" s="7"/>
    </row>
    <row r="62" spans="1:10" s="260" customFormat="1" hidden="1" x14ac:dyDescent="0.2">
      <c r="A62" s="7" t="s">
        <v>87</v>
      </c>
      <c r="B62" s="7"/>
      <c r="C62" s="7"/>
      <c r="D62" s="317"/>
      <c r="E62" s="317"/>
      <c r="F62" s="317"/>
      <c r="G62" s="317"/>
      <c r="I62" s="7"/>
      <c r="J62" s="7"/>
    </row>
    <row r="63" spans="1:10" s="260" customFormat="1" ht="13.5" hidden="1" thickBot="1" x14ac:dyDescent="0.25">
      <c r="A63" s="55" t="s">
        <v>61</v>
      </c>
      <c r="B63" s="56" t="s">
        <v>62</v>
      </c>
      <c r="C63" s="56" t="s">
        <v>40</v>
      </c>
      <c r="D63" s="57" t="s">
        <v>229</v>
      </c>
      <c r="E63" s="57" t="s">
        <v>63</v>
      </c>
      <c r="F63" s="58" t="s">
        <v>64</v>
      </c>
      <c r="G63" s="317"/>
      <c r="I63" s="7"/>
      <c r="J63" s="7"/>
    </row>
    <row r="64" spans="1:10" s="260" customFormat="1" hidden="1" x14ac:dyDescent="0.2">
      <c r="A64" s="254" t="s">
        <v>208</v>
      </c>
      <c r="B64" s="337" t="s">
        <v>8</v>
      </c>
      <c r="C64" s="337">
        <v>1</v>
      </c>
      <c r="D64" s="339">
        <f>D51</f>
        <v>0</v>
      </c>
      <c r="E64" s="339">
        <f>C64*D64</f>
        <v>0</v>
      </c>
      <c r="F64" s="317"/>
      <c r="G64" s="317"/>
      <c r="I64" s="7"/>
      <c r="J64" s="7"/>
    </row>
    <row r="65" spans="1:10" s="260" customFormat="1" hidden="1" x14ac:dyDescent="0.2">
      <c r="A65" s="267" t="s">
        <v>7</v>
      </c>
      <c r="B65" s="274" t="s">
        <v>94</v>
      </c>
      <c r="C65" s="340"/>
      <c r="D65" s="319"/>
      <c r="E65" s="319"/>
      <c r="F65" s="317"/>
      <c r="G65" s="317"/>
      <c r="I65" s="7"/>
      <c r="J65" s="7"/>
    </row>
    <row r="66" spans="1:10" s="260" customFormat="1" hidden="1" x14ac:dyDescent="0.2">
      <c r="A66" s="267"/>
      <c r="B66" s="274" t="s">
        <v>99</v>
      </c>
      <c r="C66" s="345">
        <f>C65*8/7</f>
        <v>0</v>
      </c>
      <c r="D66" s="319">
        <f>D64/180*0.2</f>
        <v>0</v>
      </c>
      <c r="E66" s="319">
        <f>C66*D66</f>
        <v>0</v>
      </c>
      <c r="F66" s="317"/>
      <c r="G66" s="317"/>
      <c r="I66" s="7"/>
      <c r="J66" s="7"/>
    </row>
    <row r="67" spans="1:10" s="260" customFormat="1" hidden="1" x14ac:dyDescent="0.2">
      <c r="A67" s="267" t="s">
        <v>34</v>
      </c>
      <c r="B67" s="274" t="s">
        <v>0</v>
      </c>
      <c r="C67" s="340"/>
      <c r="D67" s="319">
        <f>D64/180*2</f>
        <v>0</v>
      </c>
      <c r="E67" s="319">
        <f>C67*D67</f>
        <v>0</v>
      </c>
      <c r="F67" s="317"/>
      <c r="G67" s="317" t="s">
        <v>243</v>
      </c>
      <c r="I67" s="7"/>
      <c r="J67" s="7"/>
    </row>
    <row r="68" spans="1:10" s="260" customFormat="1" hidden="1" x14ac:dyDescent="0.2">
      <c r="A68" s="267" t="s">
        <v>95</v>
      </c>
      <c r="B68" s="274" t="s">
        <v>94</v>
      </c>
      <c r="C68" s="340"/>
      <c r="D68" s="319"/>
      <c r="E68" s="319"/>
      <c r="F68" s="317"/>
      <c r="G68" s="317" t="s">
        <v>244</v>
      </c>
      <c r="I68" s="7"/>
      <c r="J68" s="7"/>
    </row>
    <row r="69" spans="1:10" s="260" customFormat="1" hidden="1" x14ac:dyDescent="0.2">
      <c r="A69" s="267"/>
      <c r="B69" s="274" t="s">
        <v>99</v>
      </c>
      <c r="C69" s="345">
        <f>C68*8/7</f>
        <v>0</v>
      </c>
      <c r="D69" s="319">
        <f>D64/180*2*1.2</f>
        <v>0</v>
      </c>
      <c r="E69" s="319">
        <f>C69*D69</f>
        <v>0</v>
      </c>
      <c r="F69" s="317"/>
      <c r="G69" s="317" t="s">
        <v>244</v>
      </c>
      <c r="I69" s="7"/>
      <c r="J69" s="7"/>
    </row>
    <row r="70" spans="1:10" s="260" customFormat="1" hidden="1" x14ac:dyDescent="0.2">
      <c r="A70" s="267" t="s">
        <v>35</v>
      </c>
      <c r="B70" s="274" t="s">
        <v>0</v>
      </c>
      <c r="C70" s="340"/>
      <c r="D70" s="319">
        <f>D64/180*1.5</f>
        <v>0</v>
      </c>
      <c r="E70" s="319">
        <f>C70*D70</f>
        <v>0</v>
      </c>
      <c r="F70" s="317"/>
      <c r="G70" s="317" t="s">
        <v>245</v>
      </c>
      <c r="I70" s="7"/>
      <c r="J70" s="7"/>
    </row>
    <row r="71" spans="1:10" s="260" customFormat="1" hidden="1" x14ac:dyDescent="0.2">
      <c r="A71" s="267" t="s">
        <v>210</v>
      </c>
      <c r="B71" s="274" t="s">
        <v>94</v>
      </c>
      <c r="C71" s="340"/>
      <c r="D71" s="319"/>
      <c r="E71" s="319"/>
      <c r="F71" s="317"/>
      <c r="G71" s="317" t="s">
        <v>246</v>
      </c>
      <c r="I71" s="7"/>
      <c r="J71" s="7"/>
    </row>
    <row r="72" spans="1:10" s="260" customFormat="1" hidden="1" x14ac:dyDescent="0.2">
      <c r="A72" s="267"/>
      <c r="B72" s="274" t="s">
        <v>99</v>
      </c>
      <c r="C72" s="319">
        <f>C71*8/7</f>
        <v>0</v>
      </c>
      <c r="D72" s="319">
        <f>D64/180*1.5*1.2</f>
        <v>0</v>
      </c>
      <c r="E72" s="319">
        <f>C72*D72</f>
        <v>0</v>
      </c>
      <c r="F72" s="317"/>
      <c r="G72" s="317" t="s">
        <v>246</v>
      </c>
      <c r="I72" s="7"/>
      <c r="J72" s="7"/>
    </row>
    <row r="73" spans="1:10" s="260" customFormat="1" hidden="1" x14ac:dyDescent="0.2">
      <c r="A73" s="267" t="s">
        <v>212</v>
      </c>
      <c r="B73" s="274" t="s">
        <v>33</v>
      </c>
      <c r="C73" s="7"/>
      <c r="D73" s="319">
        <f>63/302*(SUM(E67:E72))</f>
        <v>0</v>
      </c>
      <c r="E73" s="319">
        <f>D73</f>
        <v>0</v>
      </c>
      <c r="F73" s="317"/>
      <c r="G73" s="317" t="s">
        <v>211</v>
      </c>
      <c r="I73" s="7"/>
      <c r="J73" s="7"/>
    </row>
    <row r="74" spans="1:10" s="260" customFormat="1" hidden="1" x14ac:dyDescent="0.2">
      <c r="A74" s="267" t="s">
        <v>1</v>
      </c>
      <c r="B74" s="274" t="s">
        <v>2</v>
      </c>
      <c r="C74" s="274">
        <f>+C55</f>
        <v>40</v>
      </c>
      <c r="D74" s="341">
        <v>1100</v>
      </c>
      <c r="E74" s="319">
        <f>C74*D74/100</f>
        <v>440</v>
      </c>
      <c r="F74" s="317"/>
      <c r="G74" s="317"/>
      <c r="H74" s="260" t="s">
        <v>343</v>
      </c>
      <c r="I74" s="7"/>
      <c r="J74" s="7"/>
    </row>
    <row r="75" spans="1:10" hidden="1" x14ac:dyDescent="0.2">
      <c r="A75" s="98" t="s">
        <v>3</v>
      </c>
      <c r="B75" s="99"/>
      <c r="C75" s="99"/>
      <c r="D75" s="100"/>
      <c r="E75" s="101">
        <f>SUM(E64:E74)</f>
        <v>440</v>
      </c>
    </row>
    <row r="76" spans="1:10" hidden="1" x14ac:dyDescent="0.2">
      <c r="A76" s="267" t="s">
        <v>4</v>
      </c>
      <c r="B76" s="274" t="s">
        <v>2</v>
      </c>
      <c r="C76" s="342">
        <f>'[1]2.Encargos Sociais'!$C$37*100</f>
        <v>70.595951999999997</v>
      </c>
      <c r="D76" s="319">
        <f>E75</f>
        <v>440</v>
      </c>
      <c r="E76" s="319">
        <f>D76*C76/100</f>
        <v>310.6221888</v>
      </c>
    </row>
    <row r="77" spans="1:10" hidden="1" x14ac:dyDescent="0.2">
      <c r="A77" s="98" t="s">
        <v>69</v>
      </c>
      <c r="B77" s="99"/>
      <c r="C77" s="99"/>
      <c r="D77" s="100"/>
      <c r="E77" s="101">
        <f>E75+E76</f>
        <v>750.6221888</v>
      </c>
    </row>
    <row r="78" spans="1:10" hidden="1" x14ac:dyDescent="0.2">
      <c r="A78" s="267" t="s">
        <v>5</v>
      </c>
      <c r="B78" s="274" t="s">
        <v>6</v>
      </c>
      <c r="C78" s="343">
        <v>0</v>
      </c>
      <c r="D78" s="319">
        <f>E77</f>
        <v>750.6221888</v>
      </c>
      <c r="E78" s="319">
        <f>C78*D78</f>
        <v>0</v>
      </c>
    </row>
    <row r="79" spans="1:10" ht="13.5" hidden="1" thickBot="1" x14ac:dyDescent="0.25">
      <c r="D79" s="270" t="s">
        <v>190</v>
      </c>
      <c r="E79" s="344">
        <f>$B$45</f>
        <v>1</v>
      </c>
      <c r="F79" s="105">
        <f>E78*E79</f>
        <v>0</v>
      </c>
    </row>
    <row r="80" spans="1:10" hidden="1" x14ac:dyDescent="0.2"/>
    <row r="81" spans="1:8" ht="13.5" thickBot="1" x14ac:dyDescent="0.25">
      <c r="A81" s="7" t="s">
        <v>97</v>
      </c>
    </row>
    <row r="82" spans="1:8" s="12" customFormat="1" ht="13.5" thickBot="1" x14ac:dyDescent="0.25">
      <c r="A82" s="55" t="s">
        <v>61</v>
      </c>
      <c r="B82" s="56" t="s">
        <v>62</v>
      </c>
      <c r="C82" s="56" t="s">
        <v>40</v>
      </c>
      <c r="D82" s="57" t="s">
        <v>229</v>
      </c>
      <c r="E82" s="57" t="s">
        <v>63</v>
      </c>
      <c r="F82" s="58" t="s">
        <v>64</v>
      </c>
      <c r="G82" s="317"/>
      <c r="H82" s="262"/>
    </row>
    <row r="83" spans="1:8" x14ac:dyDescent="0.2">
      <c r="A83" s="254" t="s">
        <v>282</v>
      </c>
      <c r="B83" s="337" t="s">
        <v>8</v>
      </c>
      <c r="C83" s="337">
        <v>1</v>
      </c>
      <c r="D83" s="338"/>
      <c r="E83" s="339">
        <f>C83*D83</f>
        <v>0</v>
      </c>
      <c r="H83" s="260" t="s">
        <v>327</v>
      </c>
    </row>
    <row r="84" spans="1:8" x14ac:dyDescent="0.2">
      <c r="A84" s="254" t="s">
        <v>283</v>
      </c>
      <c r="B84" s="337" t="s">
        <v>8</v>
      </c>
      <c r="C84" s="337">
        <v>1</v>
      </c>
      <c r="D84" s="338"/>
      <c r="E84" s="339"/>
      <c r="H84" s="260" t="s">
        <v>328</v>
      </c>
    </row>
    <row r="85" spans="1:8" x14ac:dyDescent="0.2">
      <c r="A85" s="267" t="s">
        <v>34</v>
      </c>
      <c r="B85" s="274" t="s">
        <v>0</v>
      </c>
      <c r="C85" s="346">
        <v>5</v>
      </c>
      <c r="D85" s="319">
        <f>D83/180*2</f>
        <v>0</v>
      </c>
      <c r="E85" s="319">
        <f>C85*D85</f>
        <v>0</v>
      </c>
      <c r="G85" s="317" t="s">
        <v>243</v>
      </c>
    </row>
    <row r="86" spans="1:8" hidden="1" x14ac:dyDescent="0.2">
      <c r="A86" s="267" t="s">
        <v>35</v>
      </c>
      <c r="B86" s="274" t="s">
        <v>0</v>
      </c>
      <c r="C86" s="346"/>
      <c r="D86" s="319">
        <f>D83/220*1.5</f>
        <v>0</v>
      </c>
      <c r="E86" s="319">
        <f>C86*D86</f>
        <v>0</v>
      </c>
      <c r="G86" s="317" t="s">
        <v>245</v>
      </c>
    </row>
    <row r="87" spans="1:8" x14ac:dyDescent="0.2">
      <c r="A87" s="267" t="s">
        <v>212</v>
      </c>
      <c r="B87" s="274" t="s">
        <v>33</v>
      </c>
      <c r="D87" s="319">
        <f>63/302*(SUM(E85:E86))</f>
        <v>0</v>
      </c>
      <c r="E87" s="319">
        <f>D87</f>
        <v>0</v>
      </c>
      <c r="G87" s="317" t="s">
        <v>211</v>
      </c>
    </row>
    <row r="88" spans="1:8" hidden="1" x14ac:dyDescent="0.2">
      <c r="A88" s="267" t="s">
        <v>209</v>
      </c>
      <c r="B88" s="274"/>
      <c r="C88" s="347"/>
      <c r="D88" s="319"/>
      <c r="E88" s="319"/>
    </row>
    <row r="89" spans="1:8" x14ac:dyDescent="0.2">
      <c r="A89" s="267" t="s">
        <v>1</v>
      </c>
      <c r="B89" s="274" t="s">
        <v>2</v>
      </c>
      <c r="C89" s="274">
        <v>40</v>
      </c>
      <c r="D89" s="341">
        <f>D84</f>
        <v>0</v>
      </c>
      <c r="E89" s="319">
        <f>C89*D89/100</f>
        <v>0</v>
      </c>
    </row>
    <row r="90" spans="1:8" s="11" customFormat="1" x14ac:dyDescent="0.2">
      <c r="A90" s="88" t="s">
        <v>3</v>
      </c>
      <c r="B90" s="99"/>
      <c r="C90" s="99"/>
      <c r="D90" s="100"/>
      <c r="E90" s="90">
        <f>SUM(E83:E89)</f>
        <v>0</v>
      </c>
      <c r="F90" s="41"/>
      <c r="G90" s="41"/>
      <c r="H90" s="260"/>
    </row>
    <row r="91" spans="1:8" x14ac:dyDescent="0.2">
      <c r="A91" s="267" t="s">
        <v>4</v>
      </c>
      <c r="B91" s="274" t="s">
        <v>2</v>
      </c>
      <c r="C91" s="342">
        <f>'Encargos Sociais'!$C$34*100</f>
        <v>70.595951999999997</v>
      </c>
      <c r="D91" s="319">
        <f>E90</f>
        <v>0</v>
      </c>
      <c r="E91" s="319">
        <f>D91*C91/100</f>
        <v>0</v>
      </c>
    </row>
    <row r="92" spans="1:8" s="11" customFormat="1" x14ac:dyDescent="0.2">
      <c r="A92" s="88" t="s">
        <v>247</v>
      </c>
      <c r="B92" s="223"/>
      <c r="C92" s="223"/>
      <c r="D92" s="224"/>
      <c r="E92" s="90">
        <f>E90+E91</f>
        <v>0</v>
      </c>
      <c r="F92" s="41"/>
      <c r="G92" s="41"/>
      <c r="H92" s="260"/>
    </row>
    <row r="93" spans="1:8" ht="13.5" thickBot="1" x14ac:dyDescent="0.25">
      <c r="A93" s="267" t="s">
        <v>5</v>
      </c>
      <c r="B93" s="274" t="s">
        <v>6</v>
      </c>
      <c r="C93" s="343">
        <v>1</v>
      </c>
      <c r="D93" s="319">
        <f>E92</f>
        <v>0</v>
      </c>
      <c r="E93" s="319">
        <f>C93*D93</f>
        <v>0</v>
      </c>
    </row>
    <row r="94" spans="1:8" ht="13.5" thickBot="1" x14ac:dyDescent="0.25">
      <c r="D94" s="270" t="s">
        <v>190</v>
      </c>
      <c r="E94" s="344">
        <f>$B$45</f>
        <v>1</v>
      </c>
      <c r="F94" s="105">
        <f>E93*E94</f>
        <v>0</v>
      </c>
    </row>
    <row r="96" spans="1:8" hidden="1" x14ac:dyDescent="0.2">
      <c r="A96" s="7" t="s">
        <v>98</v>
      </c>
    </row>
    <row r="97" spans="1:8" ht="13.5" hidden="1" thickBot="1" x14ac:dyDescent="0.25">
      <c r="A97" s="55" t="s">
        <v>61</v>
      </c>
      <c r="B97" s="56" t="s">
        <v>62</v>
      </c>
      <c r="C97" s="56" t="s">
        <v>40</v>
      </c>
      <c r="D97" s="57" t="s">
        <v>229</v>
      </c>
      <c r="E97" s="57" t="s">
        <v>63</v>
      </c>
      <c r="F97" s="58" t="s">
        <v>64</v>
      </c>
    </row>
    <row r="98" spans="1:8" hidden="1" x14ac:dyDescent="0.2">
      <c r="A98" s="254" t="s">
        <v>282</v>
      </c>
      <c r="B98" s="337" t="s">
        <v>8</v>
      </c>
      <c r="C98" s="337">
        <v>1</v>
      </c>
      <c r="D98" s="339">
        <f>D83</f>
        <v>0</v>
      </c>
      <c r="E98" s="339">
        <f>C98*D98</f>
        <v>0</v>
      </c>
    </row>
    <row r="99" spans="1:8" hidden="1" x14ac:dyDescent="0.2">
      <c r="A99" s="254" t="s">
        <v>283</v>
      </c>
      <c r="B99" s="337" t="s">
        <v>8</v>
      </c>
      <c r="C99" s="337">
        <v>1</v>
      </c>
      <c r="D99" s="319">
        <f>D84</f>
        <v>0</v>
      </c>
      <c r="E99" s="319"/>
    </row>
    <row r="100" spans="1:8" hidden="1" x14ac:dyDescent="0.2">
      <c r="A100" s="267" t="s">
        <v>7</v>
      </c>
      <c r="B100" s="274" t="s">
        <v>94</v>
      </c>
      <c r="C100" s="340">
        <v>26</v>
      </c>
      <c r="D100" s="267"/>
      <c r="E100" s="267"/>
    </row>
    <row r="101" spans="1:8" hidden="1" x14ac:dyDescent="0.2">
      <c r="A101" s="267"/>
      <c r="B101" s="274" t="s">
        <v>99</v>
      </c>
      <c r="C101" s="319">
        <f>C100*8/7</f>
        <v>29.714285714285715</v>
      </c>
      <c r="D101" s="319">
        <f>D98/180*0.2</f>
        <v>0</v>
      </c>
      <c r="E101" s="319">
        <f>C101*D101</f>
        <v>0</v>
      </c>
    </row>
    <row r="102" spans="1:8" hidden="1" x14ac:dyDescent="0.2">
      <c r="A102" s="267" t="s">
        <v>34</v>
      </c>
      <c r="B102" s="274" t="s">
        <v>0</v>
      </c>
      <c r="C102" s="340">
        <v>5</v>
      </c>
      <c r="D102" s="319">
        <f>D98/180*2</f>
        <v>0</v>
      </c>
      <c r="E102" s="319">
        <f>C102*D102</f>
        <v>0</v>
      </c>
      <c r="G102" s="317" t="s">
        <v>243</v>
      </c>
    </row>
    <row r="103" spans="1:8" hidden="1" x14ac:dyDescent="0.2">
      <c r="A103" s="267" t="s">
        <v>95</v>
      </c>
      <c r="B103" s="274" t="s">
        <v>94</v>
      </c>
      <c r="C103" s="340">
        <v>1</v>
      </c>
      <c r="D103" s="319"/>
      <c r="E103" s="319"/>
      <c r="G103" s="317" t="s">
        <v>244</v>
      </c>
    </row>
    <row r="104" spans="1:8" hidden="1" x14ac:dyDescent="0.2">
      <c r="A104" s="267"/>
      <c r="B104" s="274" t="s">
        <v>99</v>
      </c>
      <c r="C104" s="319">
        <f>C103*8/7</f>
        <v>1.1428571428571428</v>
      </c>
      <c r="D104" s="319">
        <f>D98/180*2*1.2</f>
        <v>0</v>
      </c>
      <c r="E104" s="319">
        <f>C104*D104</f>
        <v>0</v>
      </c>
      <c r="G104" s="317" t="s">
        <v>244</v>
      </c>
    </row>
    <row r="105" spans="1:8" hidden="1" x14ac:dyDescent="0.2">
      <c r="A105" s="267" t="s">
        <v>35</v>
      </c>
      <c r="B105" s="274" t="s">
        <v>0</v>
      </c>
      <c r="C105" s="340"/>
      <c r="D105" s="319">
        <f>D98/180*1.5</f>
        <v>0</v>
      </c>
      <c r="E105" s="319">
        <f>C105*D105</f>
        <v>0</v>
      </c>
      <c r="G105" s="317" t="s">
        <v>245</v>
      </c>
    </row>
    <row r="106" spans="1:8" hidden="1" x14ac:dyDescent="0.2">
      <c r="A106" s="267" t="s">
        <v>210</v>
      </c>
      <c r="B106" s="274" t="s">
        <v>94</v>
      </c>
      <c r="C106" s="340"/>
      <c r="D106" s="319"/>
      <c r="E106" s="319"/>
      <c r="G106" s="317" t="s">
        <v>246</v>
      </c>
    </row>
    <row r="107" spans="1:8" hidden="1" x14ac:dyDescent="0.2">
      <c r="A107" s="267"/>
      <c r="B107" s="274" t="s">
        <v>99</v>
      </c>
      <c r="C107" s="319">
        <f>C106*8/7</f>
        <v>0</v>
      </c>
      <c r="D107" s="319">
        <f>D98/180*1.5*1.2</f>
        <v>0</v>
      </c>
      <c r="E107" s="319">
        <f>C107*D107</f>
        <v>0</v>
      </c>
      <c r="G107" s="317" t="s">
        <v>246</v>
      </c>
    </row>
    <row r="108" spans="1:8" hidden="1" x14ac:dyDescent="0.2">
      <c r="A108" s="267" t="s">
        <v>212</v>
      </c>
      <c r="B108" s="274" t="s">
        <v>33</v>
      </c>
      <c r="D108" s="319">
        <f>63/302*(SUM(E102:E107))</f>
        <v>0</v>
      </c>
      <c r="E108" s="319">
        <f>D108</f>
        <v>0</v>
      </c>
      <c r="G108" s="317" t="s">
        <v>211</v>
      </c>
    </row>
    <row r="109" spans="1:8" hidden="1" x14ac:dyDescent="0.2">
      <c r="A109" s="267" t="s">
        <v>209</v>
      </c>
      <c r="B109" s="274"/>
      <c r="C109" s="347">
        <v>1</v>
      </c>
      <c r="D109" s="319"/>
      <c r="E109" s="319"/>
    </row>
    <row r="110" spans="1:8" hidden="1" x14ac:dyDescent="0.2">
      <c r="A110" s="267" t="s">
        <v>1</v>
      </c>
      <c r="B110" s="274" t="s">
        <v>2</v>
      </c>
      <c r="C110" s="341">
        <f>+C89</f>
        <v>40</v>
      </c>
      <c r="D110" s="341">
        <f>D99</f>
        <v>0</v>
      </c>
      <c r="E110" s="319">
        <f>C110*D110/100</f>
        <v>0</v>
      </c>
    </row>
    <row r="111" spans="1:8" s="11" customFormat="1" hidden="1" x14ac:dyDescent="0.2">
      <c r="A111" s="98" t="s">
        <v>3</v>
      </c>
      <c r="B111" s="99"/>
      <c r="C111" s="99"/>
      <c r="D111" s="100"/>
      <c r="E111" s="101">
        <f>SUM(E98:E110)</f>
        <v>0</v>
      </c>
      <c r="F111" s="41"/>
      <c r="G111" s="41"/>
      <c r="H111" s="260"/>
    </row>
    <row r="112" spans="1:8" hidden="1" x14ac:dyDescent="0.2">
      <c r="A112" s="267" t="s">
        <v>4</v>
      </c>
      <c r="B112" s="274" t="s">
        <v>2</v>
      </c>
      <c r="C112" s="342">
        <f>'[1]2.Encargos Sociais'!$C$37*100</f>
        <v>70.595951999999997</v>
      </c>
      <c r="D112" s="319">
        <f>E111</f>
        <v>0</v>
      </c>
      <c r="E112" s="319">
        <f>D112*C112/100</f>
        <v>0</v>
      </c>
    </row>
    <row r="113" spans="1:8" s="11" customFormat="1" hidden="1" x14ac:dyDescent="0.2">
      <c r="A113" s="98" t="s">
        <v>247</v>
      </c>
      <c r="B113" s="99"/>
      <c r="C113" s="99"/>
      <c r="D113" s="100"/>
      <c r="E113" s="101">
        <f>E111+E112</f>
        <v>0</v>
      </c>
      <c r="F113" s="41"/>
      <c r="G113" s="41"/>
      <c r="H113" s="260"/>
    </row>
    <row r="114" spans="1:8" hidden="1" x14ac:dyDescent="0.2">
      <c r="A114" s="267" t="s">
        <v>5</v>
      </c>
      <c r="B114" s="274" t="s">
        <v>6</v>
      </c>
      <c r="C114" s="343">
        <v>0</v>
      </c>
      <c r="D114" s="319">
        <f>E113</f>
        <v>0</v>
      </c>
      <c r="E114" s="319">
        <f>C114*D114</f>
        <v>0</v>
      </c>
    </row>
    <row r="115" spans="1:8" ht="13.5" hidden="1" thickBot="1" x14ac:dyDescent="0.25">
      <c r="D115" s="270" t="s">
        <v>190</v>
      </c>
      <c r="E115" s="344">
        <f>$B$45</f>
        <v>1</v>
      </c>
      <c r="F115" s="105">
        <f>E114*E115</f>
        <v>0</v>
      </c>
    </row>
    <row r="116" spans="1:8" hidden="1" x14ac:dyDescent="0.2">
      <c r="G116" s="7"/>
    </row>
    <row r="117" spans="1:8" hidden="1" x14ac:dyDescent="0.2">
      <c r="A117" s="7" t="s">
        <v>306</v>
      </c>
    </row>
    <row r="118" spans="1:8" s="12" customFormat="1" ht="13.5" hidden="1" thickBot="1" x14ac:dyDescent="0.25">
      <c r="A118" s="55" t="s">
        <v>61</v>
      </c>
      <c r="B118" s="56" t="s">
        <v>62</v>
      </c>
      <c r="C118" s="56" t="s">
        <v>40</v>
      </c>
      <c r="D118" s="57" t="s">
        <v>229</v>
      </c>
      <c r="E118" s="57" t="s">
        <v>63</v>
      </c>
      <c r="F118" s="58" t="s">
        <v>64</v>
      </c>
      <c r="G118" s="317"/>
      <c r="H118" s="262"/>
    </row>
    <row r="119" spans="1:8" hidden="1" x14ac:dyDescent="0.2">
      <c r="A119" s="254" t="s">
        <v>282</v>
      </c>
      <c r="B119" s="337" t="s">
        <v>8</v>
      </c>
      <c r="C119" s="337">
        <v>1</v>
      </c>
      <c r="D119" s="338"/>
      <c r="E119" s="339">
        <f>C119*D119</f>
        <v>0</v>
      </c>
      <c r="H119" s="260" t="s">
        <v>342</v>
      </c>
    </row>
    <row r="120" spans="1:8" hidden="1" x14ac:dyDescent="0.2">
      <c r="A120" s="254" t="s">
        <v>283</v>
      </c>
      <c r="B120" s="337" t="s">
        <v>8</v>
      </c>
      <c r="C120" s="337">
        <v>1</v>
      </c>
      <c r="D120" s="338"/>
      <c r="E120" s="339"/>
    </row>
    <row r="121" spans="1:8" hidden="1" x14ac:dyDescent="0.2">
      <c r="A121" s="267" t="s">
        <v>34</v>
      </c>
      <c r="B121" s="274" t="s">
        <v>0</v>
      </c>
      <c r="C121" s="340"/>
      <c r="D121" s="319">
        <f>D119/180*2</f>
        <v>0</v>
      </c>
      <c r="E121" s="319">
        <f>C121*D121</f>
        <v>0</v>
      </c>
      <c r="G121" s="317" t="s">
        <v>243</v>
      </c>
    </row>
    <row r="122" spans="1:8" hidden="1" x14ac:dyDescent="0.2">
      <c r="A122" s="267" t="s">
        <v>35</v>
      </c>
      <c r="B122" s="274" t="s">
        <v>0</v>
      </c>
      <c r="C122" s="340"/>
      <c r="D122" s="319">
        <f>D119/220*1.5</f>
        <v>0</v>
      </c>
      <c r="E122" s="319">
        <f>C122*D122</f>
        <v>0</v>
      </c>
      <c r="G122" s="317" t="s">
        <v>245</v>
      </c>
    </row>
    <row r="123" spans="1:8" hidden="1" x14ac:dyDescent="0.2">
      <c r="A123" s="267" t="s">
        <v>212</v>
      </c>
      <c r="B123" s="274" t="s">
        <v>33</v>
      </c>
      <c r="D123" s="319">
        <f>63/302*(SUM(E121:E122))</f>
        <v>0</v>
      </c>
      <c r="E123" s="319">
        <f>D123</f>
        <v>0</v>
      </c>
      <c r="G123" s="317" t="s">
        <v>211</v>
      </c>
    </row>
    <row r="124" spans="1:8" hidden="1" x14ac:dyDescent="0.2">
      <c r="A124" s="267" t="s">
        <v>209</v>
      </c>
      <c r="B124" s="274"/>
      <c r="C124" s="347">
        <v>1</v>
      </c>
      <c r="D124" s="319"/>
      <c r="E124" s="319"/>
    </row>
    <row r="125" spans="1:8" hidden="1" x14ac:dyDescent="0.2">
      <c r="A125" s="267" t="s">
        <v>1</v>
      </c>
      <c r="B125" s="274" t="s">
        <v>2</v>
      </c>
      <c r="C125" s="343">
        <v>40</v>
      </c>
      <c r="D125" s="341">
        <f>D120</f>
        <v>0</v>
      </c>
      <c r="E125" s="319">
        <f>C125*D125/100</f>
        <v>0</v>
      </c>
    </row>
    <row r="126" spans="1:8" s="11" customFormat="1" hidden="1" x14ac:dyDescent="0.2">
      <c r="A126" s="88" t="s">
        <v>3</v>
      </c>
      <c r="B126" s="99"/>
      <c r="C126" s="99"/>
      <c r="D126" s="100"/>
      <c r="E126" s="90">
        <f>SUM(E119:E125)</f>
        <v>0</v>
      </c>
      <c r="F126" s="41"/>
      <c r="G126" s="41"/>
      <c r="H126" s="260"/>
    </row>
    <row r="127" spans="1:8" hidden="1" x14ac:dyDescent="0.2">
      <c r="A127" s="267" t="s">
        <v>4</v>
      </c>
      <c r="B127" s="274" t="s">
        <v>2</v>
      </c>
      <c r="C127" s="342">
        <f>'[1]2.Encargos Sociais'!$C$37*100</f>
        <v>70.595951999999997</v>
      </c>
      <c r="D127" s="319">
        <f>E126</f>
        <v>0</v>
      </c>
      <c r="E127" s="319">
        <f>D127*C127/100</f>
        <v>0</v>
      </c>
    </row>
    <row r="128" spans="1:8" s="11" customFormat="1" hidden="1" x14ac:dyDescent="0.2">
      <c r="A128" s="88" t="s">
        <v>247</v>
      </c>
      <c r="B128" s="223"/>
      <c r="C128" s="223"/>
      <c r="D128" s="224"/>
      <c r="E128" s="90">
        <f>E126+E127</f>
        <v>0</v>
      </c>
      <c r="F128" s="41"/>
      <c r="G128" s="41"/>
      <c r="H128" s="260"/>
    </row>
    <row r="129" spans="1:10" hidden="1" x14ac:dyDescent="0.2">
      <c r="A129" s="267" t="s">
        <v>5</v>
      </c>
      <c r="B129" s="274" t="s">
        <v>6</v>
      </c>
      <c r="C129" s="343">
        <v>0</v>
      </c>
      <c r="D129" s="319">
        <f>E128</f>
        <v>0</v>
      </c>
      <c r="E129" s="319">
        <f>C129*D129</f>
        <v>0</v>
      </c>
    </row>
    <row r="130" spans="1:10" ht="13.5" hidden="1" thickBot="1" x14ac:dyDescent="0.25">
      <c r="D130" s="270" t="s">
        <v>190</v>
      </c>
      <c r="E130" s="344">
        <f>$B$45</f>
        <v>1</v>
      </c>
      <c r="F130" s="105">
        <f>E129*E130</f>
        <v>0</v>
      </c>
    </row>
    <row r="131" spans="1:10" hidden="1" x14ac:dyDescent="0.2">
      <c r="G131" s="7"/>
    </row>
    <row r="132" spans="1:10" ht="13.5" thickBot="1" x14ac:dyDescent="0.25">
      <c r="A132" s="7" t="s">
        <v>310</v>
      </c>
      <c r="B132" s="348"/>
      <c r="D132" s="7"/>
      <c r="E132" s="7"/>
      <c r="G132" s="7"/>
    </row>
    <row r="133" spans="1:10" ht="13.5" thickBot="1" x14ac:dyDescent="0.25">
      <c r="A133" s="55" t="s">
        <v>61</v>
      </c>
      <c r="B133" s="56" t="s">
        <v>62</v>
      </c>
      <c r="C133" s="56" t="s">
        <v>40</v>
      </c>
      <c r="D133" s="57" t="s">
        <v>229</v>
      </c>
      <c r="E133" s="57" t="s">
        <v>63</v>
      </c>
      <c r="F133" s="58" t="s">
        <v>64</v>
      </c>
      <c r="G133" s="282"/>
    </row>
    <row r="134" spans="1:10" x14ac:dyDescent="0.2">
      <c r="A134" s="267" t="s">
        <v>88</v>
      </c>
      <c r="B134" s="274" t="s">
        <v>33</v>
      </c>
      <c r="C134" s="349">
        <v>1</v>
      </c>
      <c r="D134" s="350"/>
      <c r="E134" s="319"/>
      <c r="G134" s="282"/>
      <c r="H134" s="260" t="s">
        <v>327</v>
      </c>
    </row>
    <row r="135" spans="1:10" x14ac:dyDescent="0.2">
      <c r="A135" s="267" t="s">
        <v>89</v>
      </c>
      <c r="B135" s="274" t="s">
        <v>90</v>
      </c>
      <c r="C135" s="351">
        <v>26</v>
      </c>
      <c r="D135" s="319"/>
      <c r="E135" s="319"/>
      <c r="G135" s="7"/>
    </row>
    <row r="136" spans="1:10" hidden="1" x14ac:dyDescent="0.2">
      <c r="A136" s="267" t="s">
        <v>70</v>
      </c>
      <c r="B136" s="274" t="s">
        <v>9</v>
      </c>
      <c r="C136" s="349">
        <f>$C$135*2*(C59+C78)</f>
        <v>0</v>
      </c>
      <c r="D136" s="339">
        <f>IFERROR((($C$135*2*$D$134)-(E51*0.06*$C$135/26))/($C$135*2),"-")</f>
        <v>0</v>
      </c>
      <c r="E136" s="319">
        <f>IFERROR(C136*D136,"-")</f>
        <v>0</v>
      </c>
      <c r="G136" s="322"/>
      <c r="H136" s="265"/>
    </row>
    <row r="137" spans="1:10" ht="13.5" thickBot="1" x14ac:dyDescent="0.25">
      <c r="A137" s="254" t="s">
        <v>44</v>
      </c>
      <c r="B137" s="337" t="s">
        <v>9</v>
      </c>
      <c r="C137" s="349">
        <f>$C$135*C134*(C93+C114)</f>
        <v>26</v>
      </c>
      <c r="D137" s="339">
        <f>IFERROR((($C$135*C134*$D$134)-(E83*0*$C$135/26))/($C$135*C134),"-")</f>
        <v>0</v>
      </c>
      <c r="E137" s="339">
        <f>IFERROR(C137*D137,"-")</f>
        <v>0</v>
      </c>
      <c r="G137" s="7"/>
    </row>
    <row r="138" spans="1:10" ht="13.5" hidden="1" thickBot="1" x14ac:dyDescent="0.25">
      <c r="A138" s="254" t="s">
        <v>307</v>
      </c>
      <c r="B138" s="337" t="s">
        <v>9</v>
      </c>
      <c r="C138" s="349">
        <f>$C$135*2*(C129)</f>
        <v>0</v>
      </c>
      <c r="D138" s="339">
        <f>IFERROR((($C$135*2*$D$134)-(E119*0.06*$C$135/26))/($C$135*2),"-")</f>
        <v>0</v>
      </c>
      <c r="E138" s="339">
        <f>IFERROR(C138*D138,"-")</f>
        <v>0</v>
      </c>
      <c r="G138" s="7"/>
    </row>
    <row r="139" spans="1:10" s="260" customFormat="1" ht="13.5" thickBot="1" x14ac:dyDescent="0.25">
      <c r="A139" s="7"/>
      <c r="B139" s="7"/>
      <c r="C139" s="7"/>
      <c r="D139" s="317"/>
      <c r="E139" s="317"/>
      <c r="F139" s="22">
        <f>SUM(E136:E138)</f>
        <v>0</v>
      </c>
      <c r="G139" s="7"/>
      <c r="I139" s="7"/>
      <c r="J139" s="7"/>
    </row>
    <row r="140" spans="1:10" s="260" customFormat="1" x14ac:dyDescent="0.2">
      <c r="A140" s="7"/>
      <c r="B140" s="7"/>
      <c r="C140" s="7"/>
      <c r="D140" s="317"/>
      <c r="E140" s="317"/>
      <c r="F140" s="317"/>
      <c r="G140" s="7"/>
      <c r="I140" s="7"/>
      <c r="J140" s="7"/>
    </row>
    <row r="141" spans="1:10" s="260" customFormat="1" hidden="1" x14ac:dyDescent="0.2">
      <c r="A141" s="7" t="s">
        <v>120</v>
      </c>
      <c r="B141" s="7"/>
      <c r="C141" s="7"/>
      <c r="D141" s="317"/>
      <c r="E141" s="317"/>
      <c r="F141" s="23"/>
      <c r="G141" s="7"/>
      <c r="I141" s="7"/>
      <c r="J141" s="7"/>
    </row>
    <row r="142" spans="1:10" s="260" customFormat="1" ht="13.5" hidden="1" thickBot="1" x14ac:dyDescent="0.25">
      <c r="A142" s="55" t="s">
        <v>61</v>
      </c>
      <c r="B142" s="56" t="s">
        <v>62</v>
      </c>
      <c r="C142" s="56" t="s">
        <v>40</v>
      </c>
      <c r="D142" s="57" t="s">
        <v>229</v>
      </c>
      <c r="E142" s="57" t="s">
        <v>63</v>
      </c>
      <c r="F142" s="58" t="s">
        <v>64</v>
      </c>
      <c r="G142" s="7"/>
      <c r="I142" s="7"/>
      <c r="J142" s="7"/>
    </row>
    <row r="143" spans="1:10" s="260" customFormat="1" hidden="1" x14ac:dyDescent="0.2">
      <c r="A143" s="267" t="str">
        <f>+A136</f>
        <v>Coletor</v>
      </c>
      <c r="B143" s="274" t="s">
        <v>10</v>
      </c>
      <c r="C143" s="352">
        <f>C135*(E35+E36)</f>
        <v>0</v>
      </c>
      <c r="D143" s="320">
        <v>0</v>
      </c>
      <c r="E143" s="344">
        <f>C143*D143</f>
        <v>0</v>
      </c>
      <c r="F143" s="23"/>
      <c r="G143" s="7"/>
      <c r="I143" s="7"/>
      <c r="J143" s="7"/>
    </row>
    <row r="144" spans="1:10" s="260" customFormat="1" hidden="1" x14ac:dyDescent="0.2">
      <c r="A144" s="267" t="str">
        <f>+A137</f>
        <v>Motorista</v>
      </c>
      <c r="B144" s="274" t="s">
        <v>10</v>
      </c>
      <c r="C144" s="352">
        <f>C135*(E37+E38)</f>
        <v>26</v>
      </c>
      <c r="D144" s="320"/>
      <c r="E144" s="344">
        <f>C144*D144</f>
        <v>0</v>
      </c>
      <c r="F144" s="23"/>
      <c r="G144" s="7"/>
      <c r="I144" s="7"/>
      <c r="J144" s="7"/>
    </row>
    <row r="145" spans="1:10" s="260" customFormat="1" hidden="1" x14ac:dyDescent="0.2">
      <c r="A145" s="267" t="str">
        <f>+A138</f>
        <v>Supervisor</v>
      </c>
      <c r="B145" s="274" t="s">
        <v>10</v>
      </c>
      <c r="C145" s="352">
        <f>C135*(E39)</f>
        <v>0</v>
      </c>
      <c r="D145" s="320">
        <v>0</v>
      </c>
      <c r="E145" s="344">
        <f>C145*D145</f>
        <v>0</v>
      </c>
      <c r="F145" s="23"/>
      <c r="G145" s="7"/>
      <c r="I145" s="7"/>
      <c r="J145" s="7"/>
    </row>
    <row r="146" spans="1:10" s="260" customFormat="1" ht="13.5" hidden="1" thickBot="1" x14ac:dyDescent="0.25">
      <c r="A146" s="7"/>
      <c r="B146" s="7"/>
      <c r="C146" s="7"/>
      <c r="D146" s="317"/>
      <c r="E146" s="317"/>
      <c r="F146" s="22">
        <f>SUM(E143:E144)</f>
        <v>0</v>
      </c>
      <c r="G146" s="7"/>
      <c r="I146" s="7"/>
      <c r="J146" s="7"/>
    </row>
    <row r="147" spans="1:10" s="260" customFormat="1" hidden="1" x14ac:dyDescent="0.2">
      <c r="A147" s="7"/>
      <c r="B147" s="7"/>
      <c r="C147" s="7"/>
      <c r="D147" s="317"/>
      <c r="E147" s="317"/>
      <c r="F147" s="317"/>
      <c r="G147" s="7"/>
      <c r="I147" s="7"/>
      <c r="J147" s="7"/>
    </row>
    <row r="148" spans="1:10" s="260" customFormat="1" ht="13.5" thickBot="1" x14ac:dyDescent="0.25">
      <c r="A148" s="7" t="s">
        <v>121</v>
      </c>
      <c r="B148" s="7"/>
      <c r="C148" s="7"/>
      <c r="D148" s="317"/>
      <c r="E148" s="317"/>
      <c r="F148" s="23"/>
      <c r="G148" s="7"/>
      <c r="I148" s="7"/>
      <c r="J148" s="7"/>
    </row>
    <row r="149" spans="1:10" s="260" customFormat="1" ht="13.5" thickBot="1" x14ac:dyDescent="0.25">
      <c r="A149" s="55" t="s">
        <v>61</v>
      </c>
      <c r="B149" s="56" t="s">
        <v>62</v>
      </c>
      <c r="C149" s="56" t="s">
        <v>40</v>
      </c>
      <c r="D149" s="57" t="s">
        <v>229</v>
      </c>
      <c r="E149" s="57" t="s">
        <v>63</v>
      </c>
      <c r="F149" s="58" t="s">
        <v>64</v>
      </c>
      <c r="G149" s="7"/>
      <c r="I149" s="7"/>
      <c r="J149" s="7"/>
    </row>
    <row r="150" spans="1:10" s="260" customFormat="1" hidden="1" x14ac:dyDescent="0.2">
      <c r="A150" s="267" t="str">
        <f>+A143</f>
        <v>Coletor</v>
      </c>
      <c r="B150" s="274" t="s">
        <v>10</v>
      </c>
      <c r="C150" s="352">
        <f>E35+E36</f>
        <v>0</v>
      </c>
      <c r="D150" s="320">
        <v>400</v>
      </c>
      <c r="E150" s="344">
        <f>C150*D150</f>
        <v>0</v>
      </c>
      <c r="F150" s="23"/>
      <c r="G150" s="7"/>
      <c r="I150" s="7"/>
      <c r="J150" s="7"/>
    </row>
    <row r="151" spans="1:10" s="260" customFormat="1" ht="13.5" thickBot="1" x14ac:dyDescent="0.25">
      <c r="A151" s="267" t="str">
        <f>+A144</f>
        <v>Motorista</v>
      </c>
      <c r="B151" s="274" t="s">
        <v>10</v>
      </c>
      <c r="C151" s="353">
        <v>1</v>
      </c>
      <c r="D151" s="320"/>
      <c r="E151" s="344">
        <f>C151*D151</f>
        <v>0</v>
      </c>
      <c r="F151" s="23"/>
      <c r="G151" s="7"/>
      <c r="H151" s="260" t="s">
        <v>327</v>
      </c>
      <c r="I151" s="7"/>
      <c r="J151" s="7"/>
    </row>
    <row r="152" spans="1:10" s="260" customFormat="1" ht="13.5" hidden="1" thickBot="1" x14ac:dyDescent="0.25">
      <c r="A152" s="267" t="str">
        <f>+A145</f>
        <v>Supervisor</v>
      </c>
      <c r="B152" s="274" t="s">
        <v>10</v>
      </c>
      <c r="C152" s="352">
        <f>E39</f>
        <v>0</v>
      </c>
      <c r="D152" s="320">
        <v>400</v>
      </c>
      <c r="E152" s="344">
        <f>C152*D152</f>
        <v>0</v>
      </c>
      <c r="F152" s="23"/>
      <c r="G152" s="7"/>
      <c r="I152" s="7"/>
      <c r="J152" s="7"/>
    </row>
    <row r="153" spans="1:10" s="260" customFormat="1" ht="13.5" thickBot="1" x14ac:dyDescent="0.25">
      <c r="A153" s="7"/>
      <c r="B153" s="7"/>
      <c r="C153" s="7"/>
      <c r="D153" s="270" t="s">
        <v>190</v>
      </c>
      <c r="E153" s="344">
        <f>$B$45</f>
        <v>1</v>
      </c>
      <c r="F153" s="22">
        <f>SUM(E150:E151)*E153</f>
        <v>0</v>
      </c>
      <c r="G153" s="7"/>
      <c r="I153" s="7"/>
      <c r="J153" s="7"/>
    </row>
    <row r="154" spans="1:10" s="260" customFormat="1" ht="13.5" thickBot="1" x14ac:dyDescent="0.25">
      <c r="A154" s="7"/>
      <c r="B154" s="7"/>
      <c r="C154" s="7"/>
      <c r="D154" s="317"/>
      <c r="E154" s="317"/>
      <c r="F154" s="317"/>
      <c r="G154" s="7"/>
      <c r="I154" s="7"/>
      <c r="J154" s="7"/>
    </row>
    <row r="155" spans="1:10" s="260" customFormat="1" ht="13.5" thickBot="1" x14ac:dyDescent="0.25">
      <c r="A155" s="24" t="s">
        <v>91</v>
      </c>
      <c r="B155" s="25"/>
      <c r="C155" s="25"/>
      <c r="D155" s="26"/>
      <c r="E155" s="27"/>
      <c r="F155" s="22">
        <f>F153+F146+F139+F130+F115+F94+F79+F60</f>
        <v>0</v>
      </c>
      <c r="G155" s="7"/>
      <c r="I155" s="7"/>
      <c r="J155" s="7"/>
    </row>
    <row r="157" spans="1:10" x14ac:dyDescent="0.2">
      <c r="A157" s="11" t="s">
        <v>45</v>
      </c>
      <c r="G157" s="7"/>
    </row>
    <row r="158" spans="1:10" x14ac:dyDescent="0.2">
      <c r="G158" s="7"/>
    </row>
    <row r="159" spans="1:10" hidden="1" x14ac:dyDescent="0.2">
      <c r="A159" s="7" t="s">
        <v>192</v>
      </c>
      <c r="G159" s="7"/>
    </row>
    <row r="160" spans="1:10" hidden="1" x14ac:dyDescent="0.2">
      <c r="G160" s="7"/>
    </row>
    <row r="161" spans="1:10" ht="24.75" hidden="1" thickBot="1" x14ac:dyDescent="0.25">
      <c r="A161" s="55" t="s">
        <v>61</v>
      </c>
      <c r="B161" s="56" t="s">
        <v>62</v>
      </c>
      <c r="C161" s="225" t="s">
        <v>248</v>
      </c>
      <c r="D161" s="57" t="s">
        <v>229</v>
      </c>
      <c r="E161" s="57" t="s">
        <v>63</v>
      </c>
      <c r="F161" s="58" t="s">
        <v>64</v>
      </c>
      <c r="G161" s="7"/>
    </row>
    <row r="162" spans="1:10" hidden="1" x14ac:dyDescent="0.2">
      <c r="A162" s="254" t="s">
        <v>65</v>
      </c>
      <c r="B162" s="337" t="s">
        <v>10</v>
      </c>
      <c r="C162" s="354"/>
      <c r="D162" s="338"/>
      <c r="E162" s="339">
        <f t="shared" ref="E162:E173" si="1">IFERROR(D162/C162,0)</f>
        <v>0</v>
      </c>
      <c r="G162" s="7"/>
    </row>
    <row r="163" spans="1:10" hidden="1" x14ac:dyDescent="0.2">
      <c r="A163" s="267" t="s">
        <v>28</v>
      </c>
      <c r="B163" s="274" t="s">
        <v>10</v>
      </c>
      <c r="C163" s="354"/>
      <c r="D163" s="338"/>
      <c r="E163" s="339">
        <f t="shared" si="1"/>
        <v>0</v>
      </c>
      <c r="G163" s="7"/>
    </row>
    <row r="164" spans="1:10" hidden="1" x14ac:dyDescent="0.2">
      <c r="A164" s="267" t="s">
        <v>29</v>
      </c>
      <c r="B164" s="274" t="s">
        <v>10</v>
      </c>
      <c r="C164" s="354"/>
      <c r="D164" s="338"/>
      <c r="E164" s="339">
        <f t="shared" si="1"/>
        <v>0</v>
      </c>
      <c r="G164" s="7"/>
    </row>
    <row r="165" spans="1:10" hidden="1" x14ac:dyDescent="0.2">
      <c r="A165" s="267" t="s">
        <v>30</v>
      </c>
      <c r="B165" s="274" t="s">
        <v>10</v>
      </c>
      <c r="C165" s="354"/>
      <c r="D165" s="338"/>
      <c r="E165" s="339">
        <f t="shared" si="1"/>
        <v>0</v>
      </c>
      <c r="G165" s="7"/>
    </row>
    <row r="166" spans="1:10" hidden="1" x14ac:dyDescent="0.2">
      <c r="A166" s="267" t="s">
        <v>67</v>
      </c>
      <c r="B166" s="274" t="s">
        <v>48</v>
      </c>
      <c r="C166" s="354"/>
      <c r="D166" s="338"/>
      <c r="E166" s="339">
        <f t="shared" si="1"/>
        <v>0</v>
      </c>
      <c r="G166" s="7"/>
    </row>
    <row r="167" spans="1:10" hidden="1" x14ac:dyDescent="0.2">
      <c r="A167" s="267" t="s">
        <v>92</v>
      </c>
      <c r="B167" s="274" t="s">
        <v>48</v>
      </c>
      <c r="C167" s="354"/>
      <c r="D167" s="338"/>
      <c r="E167" s="339">
        <f t="shared" si="1"/>
        <v>0</v>
      </c>
    </row>
    <row r="168" spans="1:10" hidden="1" x14ac:dyDescent="0.2">
      <c r="A168" s="267" t="s">
        <v>66</v>
      </c>
      <c r="B168" s="274" t="s">
        <v>10</v>
      </c>
      <c r="C168" s="354"/>
      <c r="D168" s="338"/>
      <c r="E168" s="339">
        <f t="shared" si="1"/>
        <v>0</v>
      </c>
    </row>
    <row r="169" spans="1:10" s="231" customFormat="1" hidden="1" x14ac:dyDescent="0.2">
      <c r="A169" s="355" t="s">
        <v>11</v>
      </c>
      <c r="B169" s="356" t="s">
        <v>10</v>
      </c>
      <c r="C169" s="354"/>
      <c r="D169" s="338"/>
      <c r="E169" s="339">
        <f t="shared" si="1"/>
        <v>0</v>
      </c>
      <c r="F169" s="357"/>
      <c r="G169" s="357"/>
      <c r="H169" s="263"/>
    </row>
    <row r="170" spans="1:10" hidden="1" x14ac:dyDescent="0.2">
      <c r="A170" s="267" t="s">
        <v>31</v>
      </c>
      <c r="B170" s="274" t="s">
        <v>48</v>
      </c>
      <c r="C170" s="358"/>
      <c r="D170" s="338"/>
      <c r="E170" s="339">
        <f t="shared" si="1"/>
        <v>0</v>
      </c>
    </row>
    <row r="171" spans="1:10" hidden="1" x14ac:dyDescent="0.2">
      <c r="A171" s="267" t="s">
        <v>60</v>
      </c>
      <c r="B171" s="274" t="s">
        <v>49</v>
      </c>
      <c r="C171" s="354"/>
      <c r="D171" s="338"/>
      <c r="E171" s="339">
        <f t="shared" si="1"/>
        <v>0</v>
      </c>
    </row>
    <row r="172" spans="1:10" hidden="1" x14ac:dyDescent="0.2">
      <c r="A172" s="267" t="s">
        <v>304</v>
      </c>
      <c r="B172" s="274" t="s">
        <v>10</v>
      </c>
      <c r="C172" s="358"/>
      <c r="D172" s="338"/>
      <c r="E172" s="339">
        <f>IFERROR(D172/C172,0)</f>
        <v>0</v>
      </c>
    </row>
    <row r="173" spans="1:10" hidden="1" x14ac:dyDescent="0.2">
      <c r="A173" s="267" t="s">
        <v>193</v>
      </c>
      <c r="B173" s="274" t="s">
        <v>122</v>
      </c>
      <c r="C173" s="359">
        <v>1</v>
      </c>
      <c r="D173" s="338"/>
      <c r="E173" s="339">
        <f t="shared" si="1"/>
        <v>0</v>
      </c>
    </row>
    <row r="174" spans="1:10" s="260" customFormat="1" hidden="1" x14ac:dyDescent="0.2">
      <c r="A174" s="267" t="s">
        <v>5</v>
      </c>
      <c r="B174" s="274" t="s">
        <v>6</v>
      </c>
      <c r="C174" s="359">
        <f>E35+E36</f>
        <v>0</v>
      </c>
      <c r="D174" s="319">
        <f>+SUM(E162:E173)</f>
        <v>0</v>
      </c>
      <c r="E174" s="319">
        <f>C174*D174</f>
        <v>0</v>
      </c>
      <c r="F174" s="317"/>
      <c r="G174" s="317"/>
      <c r="I174" s="7"/>
      <c r="J174" s="7"/>
    </row>
    <row r="175" spans="1:10" s="260" customFormat="1" ht="13.5" hidden="1" thickBot="1" x14ac:dyDescent="0.25">
      <c r="A175" s="7"/>
      <c r="B175" s="7"/>
      <c r="C175" s="7"/>
      <c r="D175" s="270" t="s">
        <v>190</v>
      </c>
      <c r="E175" s="344">
        <f>$B$45</f>
        <v>1</v>
      </c>
      <c r="F175" s="105">
        <f>E174*E175</f>
        <v>0</v>
      </c>
      <c r="G175" s="317"/>
      <c r="I175" s="7"/>
      <c r="J175" s="7"/>
    </row>
    <row r="176" spans="1:10" s="260" customFormat="1" hidden="1" x14ac:dyDescent="0.2">
      <c r="A176" s="7"/>
      <c r="B176" s="7"/>
      <c r="C176" s="7"/>
      <c r="D176" s="317"/>
      <c r="E176" s="317"/>
      <c r="F176" s="317"/>
      <c r="G176" s="317"/>
      <c r="I176" s="7"/>
      <c r="J176" s="7"/>
    </row>
    <row r="177" spans="1:10" s="260" customFormat="1" ht="13.5" thickBot="1" x14ac:dyDescent="0.25">
      <c r="A177" s="7" t="s">
        <v>194</v>
      </c>
      <c r="B177" s="7"/>
      <c r="C177" s="7"/>
      <c r="D177" s="317"/>
      <c r="E177" s="317"/>
      <c r="F177" s="317"/>
      <c r="G177" s="317"/>
      <c r="I177" s="7"/>
      <c r="J177" s="7"/>
    </row>
    <row r="178" spans="1:10" s="260" customFormat="1" ht="24.75" thickBot="1" x14ac:dyDescent="0.25">
      <c r="A178" s="55" t="s">
        <v>61</v>
      </c>
      <c r="B178" s="56" t="s">
        <v>62</v>
      </c>
      <c r="C178" s="225" t="s">
        <v>248</v>
      </c>
      <c r="D178" s="57" t="s">
        <v>229</v>
      </c>
      <c r="E178" s="57" t="s">
        <v>63</v>
      </c>
      <c r="F178" s="58" t="s">
        <v>64</v>
      </c>
      <c r="G178" s="317"/>
      <c r="I178" s="7"/>
      <c r="J178" s="7"/>
    </row>
    <row r="179" spans="1:10" s="260" customFormat="1" hidden="1" x14ac:dyDescent="0.2">
      <c r="A179" s="254" t="s">
        <v>65</v>
      </c>
      <c r="B179" s="337" t="s">
        <v>10</v>
      </c>
      <c r="C179" s="358"/>
      <c r="D179" s="339">
        <f>+D162</f>
        <v>0</v>
      </c>
      <c r="E179" s="339">
        <f>IFERROR(D179/C179,0)</f>
        <v>0</v>
      </c>
      <c r="F179" s="317"/>
      <c r="G179" s="317"/>
      <c r="I179" s="7"/>
      <c r="J179" s="7"/>
    </row>
    <row r="180" spans="1:10" s="260" customFormat="1" x14ac:dyDescent="0.2">
      <c r="A180" s="267" t="s">
        <v>28</v>
      </c>
      <c r="B180" s="274" t="s">
        <v>10</v>
      </c>
      <c r="C180" s="360">
        <v>6</v>
      </c>
      <c r="D180" s="320"/>
      <c r="E180" s="339">
        <f t="shared" ref="E180:E185" si="2">IFERROR(D180/C180,0)</f>
        <v>0</v>
      </c>
      <c r="F180" s="317"/>
      <c r="G180" s="317"/>
      <c r="I180" s="7"/>
      <c r="J180" s="7"/>
    </row>
    <row r="181" spans="1:10" s="260" customFormat="1" x14ac:dyDescent="0.2">
      <c r="A181" s="267" t="s">
        <v>29</v>
      </c>
      <c r="B181" s="274" t="s">
        <v>10</v>
      </c>
      <c r="C181" s="360">
        <v>4</v>
      </c>
      <c r="D181" s="320"/>
      <c r="E181" s="339">
        <f t="shared" si="2"/>
        <v>0</v>
      </c>
      <c r="F181" s="317"/>
      <c r="G181" s="317"/>
      <c r="I181" s="7"/>
      <c r="J181" s="7"/>
    </row>
    <row r="182" spans="1:10" s="260" customFormat="1" x14ac:dyDescent="0.2">
      <c r="A182" s="267" t="s">
        <v>67</v>
      </c>
      <c r="B182" s="274" t="s">
        <v>48</v>
      </c>
      <c r="C182" s="360">
        <v>6</v>
      </c>
      <c r="D182" s="320"/>
      <c r="E182" s="339">
        <f t="shared" si="2"/>
        <v>0</v>
      </c>
      <c r="F182" s="317"/>
      <c r="G182" s="317"/>
      <c r="I182" s="7"/>
      <c r="J182" s="7"/>
    </row>
    <row r="183" spans="1:10" s="260" customFormat="1" x14ac:dyDescent="0.2">
      <c r="A183" s="267" t="s">
        <v>66</v>
      </c>
      <c r="B183" s="274" t="s">
        <v>10</v>
      </c>
      <c r="C183" s="360">
        <v>12</v>
      </c>
      <c r="D183" s="320"/>
      <c r="E183" s="339">
        <f t="shared" si="2"/>
        <v>0</v>
      </c>
      <c r="F183" s="317"/>
      <c r="G183" s="7"/>
      <c r="I183" s="7"/>
      <c r="J183" s="7"/>
    </row>
    <row r="184" spans="1:10" s="260" customFormat="1" x14ac:dyDescent="0.2">
      <c r="A184" s="267" t="s">
        <v>60</v>
      </c>
      <c r="B184" s="274" t="s">
        <v>49</v>
      </c>
      <c r="C184" s="360">
        <v>1</v>
      </c>
      <c r="D184" s="320"/>
      <c r="E184" s="339">
        <f t="shared" si="2"/>
        <v>0</v>
      </c>
      <c r="F184" s="317"/>
      <c r="G184" s="7"/>
      <c r="I184" s="7"/>
      <c r="J184" s="7"/>
    </row>
    <row r="185" spans="1:10" s="260" customFormat="1" x14ac:dyDescent="0.2">
      <c r="A185" s="267" t="s">
        <v>304</v>
      </c>
      <c r="B185" s="274" t="s">
        <v>10</v>
      </c>
      <c r="C185" s="361">
        <v>0.25</v>
      </c>
      <c r="D185" s="338"/>
      <c r="E185" s="339">
        <f t="shared" si="2"/>
        <v>0</v>
      </c>
      <c r="F185" s="317"/>
      <c r="G185" s="7"/>
      <c r="I185" s="7"/>
      <c r="J185" s="7"/>
    </row>
    <row r="186" spans="1:10" s="260" customFormat="1" hidden="1" x14ac:dyDescent="0.2">
      <c r="A186" s="267" t="s">
        <v>193</v>
      </c>
      <c r="B186" s="274" t="s">
        <v>122</v>
      </c>
      <c r="C186" s="359">
        <v>1</v>
      </c>
      <c r="D186" s="338"/>
      <c r="E186" s="319">
        <f>C186*D186</f>
        <v>0</v>
      </c>
      <c r="F186" s="317"/>
      <c r="G186" s="7"/>
      <c r="I186" s="7"/>
      <c r="J186" s="7"/>
    </row>
    <row r="187" spans="1:10" s="260" customFormat="1" ht="13.5" thickBot="1" x14ac:dyDescent="0.25">
      <c r="A187" s="267" t="s">
        <v>5</v>
      </c>
      <c r="B187" s="274" t="s">
        <v>6</v>
      </c>
      <c r="C187" s="359">
        <f>E37+E38</f>
        <v>1</v>
      </c>
      <c r="D187" s="319">
        <f>+SUM(E179:E186)</f>
        <v>0</v>
      </c>
      <c r="E187" s="319">
        <f>C187*D187</f>
        <v>0</v>
      </c>
      <c r="F187" s="317"/>
      <c r="G187" s="7"/>
      <c r="I187" s="7"/>
      <c r="J187" s="7"/>
    </row>
    <row r="188" spans="1:10" s="260" customFormat="1" ht="13.5" thickBot="1" x14ac:dyDescent="0.25">
      <c r="A188" s="7"/>
      <c r="B188" s="7"/>
      <c r="C188" s="7"/>
      <c r="D188" s="270" t="s">
        <v>190</v>
      </c>
      <c r="E188" s="344">
        <f>$B$45</f>
        <v>1</v>
      </c>
      <c r="F188" s="105">
        <f>E187*E188</f>
        <v>0</v>
      </c>
      <c r="G188" s="7"/>
      <c r="I188" s="7"/>
      <c r="J188" s="7"/>
    </row>
    <row r="189" spans="1:10" s="260" customFormat="1" ht="13.5" thickBot="1" x14ac:dyDescent="0.25">
      <c r="A189" s="7"/>
      <c r="B189" s="7"/>
      <c r="C189" s="7"/>
      <c r="D189" s="317"/>
      <c r="E189" s="317"/>
      <c r="F189" s="317"/>
      <c r="G189" s="7"/>
      <c r="I189" s="7"/>
      <c r="J189" s="7"/>
    </row>
    <row r="190" spans="1:10" ht="13.5" thickBot="1" x14ac:dyDescent="0.25">
      <c r="A190" s="24" t="s">
        <v>195</v>
      </c>
      <c r="B190" s="362"/>
      <c r="C190" s="362"/>
      <c r="D190" s="363"/>
      <c r="E190" s="364"/>
      <c r="F190" s="21">
        <f>+F175+F188</f>
        <v>0</v>
      </c>
      <c r="G190" s="7"/>
    </row>
    <row r="191" spans="1:10" x14ac:dyDescent="0.2">
      <c r="G191" s="7"/>
    </row>
    <row r="192" spans="1:10" x14ac:dyDescent="0.2">
      <c r="A192" s="11" t="s">
        <v>53</v>
      </c>
      <c r="G192" s="7"/>
      <c r="H192" s="272"/>
    </row>
    <row r="193" spans="1:13" x14ac:dyDescent="0.2">
      <c r="B193" s="92"/>
      <c r="G193" s="7"/>
      <c r="H193" s="272"/>
    </row>
    <row r="194" spans="1:13" x14ac:dyDescent="0.2">
      <c r="A194" s="7" t="s">
        <v>295</v>
      </c>
      <c r="G194" s="7"/>
      <c r="H194" s="272"/>
    </row>
    <row r="195" spans="1:13" ht="11.25" customHeight="1" x14ac:dyDescent="0.2">
      <c r="G195" s="7"/>
      <c r="H195" s="272"/>
    </row>
    <row r="196" spans="1:13" hidden="1" x14ac:dyDescent="0.2">
      <c r="A196" s="92" t="s">
        <v>46</v>
      </c>
      <c r="G196" s="7"/>
      <c r="H196" s="272"/>
    </row>
    <row r="197" spans="1:13" ht="13.5" hidden="1" thickBot="1" x14ac:dyDescent="0.25">
      <c r="A197" s="55" t="s">
        <v>61</v>
      </c>
      <c r="B197" s="56" t="s">
        <v>62</v>
      </c>
      <c r="C197" s="56" t="s">
        <v>40</v>
      </c>
      <c r="D197" s="57" t="s">
        <v>229</v>
      </c>
      <c r="E197" s="57" t="s">
        <v>63</v>
      </c>
      <c r="F197" s="58" t="s">
        <v>64</v>
      </c>
      <c r="G197" s="7"/>
      <c r="H197" s="272"/>
    </row>
    <row r="198" spans="1:13" hidden="1" x14ac:dyDescent="0.2">
      <c r="A198" s="254" t="s">
        <v>344</v>
      </c>
      <c r="B198" s="337" t="s">
        <v>10</v>
      </c>
      <c r="C198" s="337">
        <v>1</v>
      </c>
      <c r="D198" s="338">
        <v>358321.3</v>
      </c>
      <c r="E198" s="339">
        <f>C198*D198</f>
        <v>358321.3</v>
      </c>
      <c r="G198" s="7"/>
      <c r="J198" s="322"/>
      <c r="L198" s="322"/>
      <c r="M198" s="11"/>
    </row>
    <row r="199" spans="1:13" hidden="1" x14ac:dyDescent="0.2">
      <c r="A199" s="267" t="s">
        <v>100</v>
      </c>
      <c r="B199" s="274" t="s">
        <v>101</v>
      </c>
      <c r="C199" s="343">
        <v>10</v>
      </c>
      <c r="D199" s="341"/>
      <c r="E199" s="319"/>
      <c r="G199" s="7"/>
      <c r="L199" s="322"/>
    </row>
    <row r="200" spans="1:13" hidden="1" x14ac:dyDescent="0.2">
      <c r="A200" s="267" t="s">
        <v>203</v>
      </c>
      <c r="B200" s="274" t="s">
        <v>101</v>
      </c>
      <c r="C200" s="343">
        <v>0</v>
      </c>
      <c r="D200" s="319"/>
      <c r="E200" s="319"/>
      <c r="F200" s="365"/>
      <c r="L200" s="322"/>
    </row>
    <row r="201" spans="1:13" hidden="1" x14ac:dyDescent="0.2">
      <c r="A201" s="267" t="s">
        <v>104</v>
      </c>
      <c r="B201" s="274" t="s">
        <v>2</v>
      </c>
      <c r="C201" s="342">
        <f>IFERROR(VLOOKUP(C199,'[1]5. Depreciação'!A3:B17,2,FALSE),0)</f>
        <v>65.180000000000007</v>
      </c>
      <c r="D201" s="319">
        <f>E198</f>
        <v>358321.3</v>
      </c>
      <c r="E201" s="319">
        <f>C201*D201/100</f>
        <v>233553.82334000003</v>
      </c>
      <c r="L201" s="322"/>
    </row>
    <row r="202" spans="1:13" ht="13.5" hidden="1" thickBot="1" x14ac:dyDescent="0.25">
      <c r="A202" s="232" t="s">
        <v>345</v>
      </c>
      <c r="B202" s="233" t="s">
        <v>8</v>
      </c>
      <c r="C202" s="233">
        <f>C199*12</f>
        <v>120</v>
      </c>
      <c r="D202" s="234">
        <f>IF(C200&lt;=C199,E201,0)</f>
        <v>233553.82334000003</v>
      </c>
      <c r="E202" s="234">
        <f>IFERROR(D202/C202,0)</f>
        <v>1946.2818611666669</v>
      </c>
      <c r="L202" s="322"/>
    </row>
    <row r="203" spans="1:13" hidden="1" x14ac:dyDescent="0.2">
      <c r="A203" s="254" t="s">
        <v>105</v>
      </c>
      <c r="B203" s="337" t="s">
        <v>10</v>
      </c>
      <c r="C203" s="337">
        <f>C198</f>
        <v>1</v>
      </c>
      <c r="D203" s="338"/>
      <c r="E203" s="339">
        <f>C203*D203</f>
        <v>0</v>
      </c>
      <c r="G203" s="7"/>
    </row>
    <row r="204" spans="1:13" hidden="1" x14ac:dyDescent="0.2">
      <c r="A204" s="267" t="s">
        <v>102</v>
      </c>
      <c r="B204" s="274" t="s">
        <v>101</v>
      </c>
      <c r="C204" s="343"/>
      <c r="D204" s="319"/>
      <c r="E204" s="319"/>
    </row>
    <row r="205" spans="1:13" hidden="1" x14ac:dyDescent="0.2">
      <c r="A205" s="267" t="s">
        <v>204</v>
      </c>
      <c r="B205" s="274" t="s">
        <v>101</v>
      </c>
      <c r="C205" s="343"/>
      <c r="D205" s="319"/>
      <c r="E205" s="319"/>
      <c r="F205" s="365"/>
      <c r="J205" s="322"/>
    </row>
    <row r="206" spans="1:13" hidden="1" x14ac:dyDescent="0.2">
      <c r="A206" s="267" t="s">
        <v>103</v>
      </c>
      <c r="B206" s="274" t="s">
        <v>2</v>
      </c>
      <c r="C206" s="366">
        <f>IFERROR(VLOOKUP(C204,'[1]5. Depreciação'!A3:B17,2,FALSE),0)</f>
        <v>0</v>
      </c>
      <c r="D206" s="319">
        <f>E203</f>
        <v>0</v>
      </c>
      <c r="E206" s="319">
        <f>C206*D206/100</f>
        <v>0</v>
      </c>
    </row>
    <row r="207" spans="1:13" hidden="1" x14ac:dyDescent="0.2">
      <c r="A207" s="88" t="s">
        <v>106</v>
      </c>
      <c r="B207" s="89" t="s">
        <v>8</v>
      </c>
      <c r="C207" s="89">
        <f>C204*12</f>
        <v>0</v>
      </c>
      <c r="D207" s="90">
        <f>IF(C205&lt;=C204,E206,0)</f>
        <v>0</v>
      </c>
      <c r="E207" s="90">
        <f>IFERROR(D207/C207,0)</f>
        <v>0</v>
      </c>
    </row>
    <row r="208" spans="1:13" hidden="1" x14ac:dyDescent="0.2">
      <c r="A208" s="98" t="s">
        <v>251</v>
      </c>
      <c r="B208" s="99"/>
      <c r="C208" s="99"/>
      <c r="D208" s="100"/>
      <c r="E208" s="101">
        <f>E202+E207</f>
        <v>1946.2818611666669</v>
      </c>
    </row>
    <row r="209" spans="1:10" hidden="1" x14ac:dyDescent="0.2">
      <c r="A209" s="88" t="s">
        <v>252</v>
      </c>
      <c r="B209" s="89" t="s">
        <v>10</v>
      </c>
      <c r="C209" s="343">
        <v>0</v>
      </c>
      <c r="D209" s="90">
        <f>E208</f>
        <v>1946.2818611666669</v>
      </c>
      <c r="E209" s="101">
        <f>C209*D209</f>
        <v>0</v>
      </c>
    </row>
    <row r="210" spans="1:10" ht="13.5" hidden="1" thickBot="1" x14ac:dyDescent="0.25">
      <c r="A210" s="230"/>
      <c r="B210" s="230"/>
      <c r="C210" s="230"/>
      <c r="D210" s="270" t="s">
        <v>190</v>
      </c>
      <c r="E210" s="344">
        <f>$B$45</f>
        <v>1</v>
      </c>
      <c r="F210" s="21">
        <f>E209*E210</f>
        <v>0</v>
      </c>
    </row>
    <row r="211" spans="1:10" ht="11.25" hidden="1" customHeight="1" x14ac:dyDescent="0.2"/>
    <row r="212" spans="1:10" hidden="1" x14ac:dyDescent="0.2">
      <c r="A212" s="92" t="s">
        <v>111</v>
      </c>
    </row>
    <row r="213" spans="1:10" ht="13.5" hidden="1" thickBot="1" x14ac:dyDescent="0.25">
      <c r="A213" s="55" t="s">
        <v>61</v>
      </c>
      <c r="B213" s="56" t="s">
        <v>62</v>
      </c>
      <c r="C213" s="56" t="s">
        <v>40</v>
      </c>
      <c r="D213" s="57" t="s">
        <v>229</v>
      </c>
      <c r="E213" s="57" t="s">
        <v>63</v>
      </c>
      <c r="F213" s="58" t="s">
        <v>64</v>
      </c>
      <c r="I213" s="322"/>
      <c r="J213" s="322"/>
    </row>
    <row r="214" spans="1:10" hidden="1" x14ac:dyDescent="0.2">
      <c r="A214" s="254" t="s">
        <v>346</v>
      </c>
      <c r="B214" s="337" t="s">
        <v>10</v>
      </c>
      <c r="C214" s="337">
        <v>1</v>
      </c>
      <c r="D214" s="339">
        <f>D198</f>
        <v>358321.3</v>
      </c>
      <c r="E214" s="339">
        <f>C214*D214</f>
        <v>358321.3</v>
      </c>
      <c r="F214" s="365"/>
      <c r="I214" s="322"/>
      <c r="J214" s="322"/>
    </row>
    <row r="215" spans="1:10" hidden="1" x14ac:dyDescent="0.2">
      <c r="A215" s="267" t="s">
        <v>207</v>
      </c>
      <c r="B215" s="274" t="s">
        <v>2</v>
      </c>
      <c r="C215" s="343">
        <v>2</v>
      </c>
      <c r="D215" s="319"/>
      <c r="E215" s="319"/>
      <c r="F215" s="365"/>
      <c r="I215" s="322"/>
      <c r="J215" s="322"/>
    </row>
    <row r="216" spans="1:10" hidden="1" x14ac:dyDescent="0.2">
      <c r="A216" s="267" t="s">
        <v>205</v>
      </c>
      <c r="B216" s="274" t="s">
        <v>33</v>
      </c>
      <c r="C216" s="367">
        <f>IFERROR(IF(C200&lt;=C199,E198-(C201/(100*C199)*C200)*E198,E198-E201),0)</f>
        <v>358321.3</v>
      </c>
      <c r="D216" s="319"/>
      <c r="E216" s="319"/>
      <c r="F216" s="365"/>
      <c r="I216" s="322"/>
      <c r="J216" s="322"/>
    </row>
    <row r="217" spans="1:10" hidden="1" x14ac:dyDescent="0.2">
      <c r="A217" s="267" t="s">
        <v>114</v>
      </c>
      <c r="B217" s="274" t="s">
        <v>33</v>
      </c>
      <c r="C217" s="341">
        <f>IFERROR(IF(C200&gt;=C199,C216,((((C216)-(E198-E201))*(((C199-C200)+1)/(2*(C199-C200))))+(E198-E201))),0)</f>
        <v>253222.07949699997</v>
      </c>
      <c r="D217" s="319"/>
      <c r="E217" s="319"/>
      <c r="F217" s="365"/>
      <c r="I217" s="322"/>
      <c r="J217" s="322"/>
    </row>
    <row r="218" spans="1:10" ht="13.5" hidden="1" thickBot="1" x14ac:dyDescent="0.25">
      <c r="A218" s="232" t="s">
        <v>115</v>
      </c>
      <c r="B218" s="233" t="s">
        <v>33</v>
      </c>
      <c r="C218" s="233"/>
      <c r="D218" s="235">
        <f>C215*C217/12/100</f>
        <v>422.03679916166664</v>
      </c>
      <c r="E218" s="234">
        <f>D218</f>
        <v>422.03679916166664</v>
      </c>
      <c r="F218" s="365"/>
      <c r="I218" s="322"/>
      <c r="J218" s="322"/>
    </row>
    <row r="219" spans="1:10" hidden="1" x14ac:dyDescent="0.2">
      <c r="A219" s="254" t="s">
        <v>110</v>
      </c>
      <c r="B219" s="337" t="s">
        <v>10</v>
      </c>
      <c r="C219" s="337">
        <f>C203</f>
        <v>1</v>
      </c>
      <c r="D219" s="339">
        <f>D203</f>
        <v>0</v>
      </c>
      <c r="E219" s="339">
        <f>C219*D219</f>
        <v>0</v>
      </c>
      <c r="F219" s="365"/>
      <c r="I219" s="322"/>
      <c r="J219" s="322"/>
    </row>
    <row r="220" spans="1:10" hidden="1" x14ac:dyDescent="0.2">
      <c r="A220" s="267" t="s">
        <v>207</v>
      </c>
      <c r="B220" s="274" t="s">
        <v>2</v>
      </c>
      <c r="C220" s="274">
        <f>C215</f>
        <v>2</v>
      </c>
      <c r="D220" s="319"/>
      <c r="E220" s="319"/>
      <c r="F220" s="365"/>
      <c r="I220" s="322"/>
      <c r="J220" s="322"/>
    </row>
    <row r="221" spans="1:10" hidden="1" x14ac:dyDescent="0.2">
      <c r="A221" s="267" t="s">
        <v>206</v>
      </c>
      <c r="B221" s="274" t="s">
        <v>33</v>
      </c>
      <c r="C221" s="367">
        <f>IFERROR(IF(C205&lt;=C204,E203-(C206/(100*C204)*C205)*E203,E203-E206),0)</f>
        <v>0</v>
      </c>
      <c r="D221" s="319"/>
      <c r="E221" s="319"/>
      <c r="F221" s="365"/>
      <c r="I221" s="322"/>
      <c r="J221" s="322"/>
    </row>
    <row r="222" spans="1:10" hidden="1" x14ac:dyDescent="0.2">
      <c r="A222" s="267" t="s">
        <v>116</v>
      </c>
      <c r="B222" s="274" t="s">
        <v>33</v>
      </c>
      <c r="C222" s="341">
        <f>IFERROR(IF(C205&gt;=C204,C221,((((C221)-(E203-E206))*(((C204-C205)+1)/(2*(C204-C205))))+(E203-E206))),0)</f>
        <v>0</v>
      </c>
      <c r="D222" s="319"/>
      <c r="E222" s="319"/>
      <c r="F222" s="365"/>
      <c r="I222" s="322"/>
      <c r="J222" s="322"/>
    </row>
    <row r="223" spans="1:10" hidden="1" x14ac:dyDescent="0.2">
      <c r="A223" s="88" t="s">
        <v>113</v>
      </c>
      <c r="B223" s="89" t="s">
        <v>33</v>
      </c>
      <c r="C223" s="89"/>
      <c r="D223" s="95">
        <f>C220*C222/12/100</f>
        <v>0</v>
      </c>
      <c r="E223" s="90">
        <f>D223</f>
        <v>0</v>
      </c>
      <c r="F223" s="365"/>
      <c r="I223" s="322"/>
      <c r="J223" s="322"/>
    </row>
    <row r="224" spans="1:10" hidden="1" x14ac:dyDescent="0.2">
      <c r="A224" s="98" t="s">
        <v>251</v>
      </c>
      <c r="B224" s="99"/>
      <c r="C224" s="99"/>
      <c r="D224" s="100"/>
      <c r="E224" s="101">
        <f>E218+E223</f>
        <v>422.03679916166664</v>
      </c>
      <c r="F224" s="365"/>
      <c r="I224" s="322"/>
      <c r="J224" s="322"/>
    </row>
    <row r="225" spans="1:10" hidden="1" x14ac:dyDescent="0.2">
      <c r="A225" s="88" t="s">
        <v>252</v>
      </c>
      <c r="B225" s="89" t="s">
        <v>10</v>
      </c>
      <c r="C225" s="274">
        <f>C209</f>
        <v>0</v>
      </c>
      <c r="D225" s="90">
        <f>E224</f>
        <v>422.03679916166664</v>
      </c>
      <c r="E225" s="101">
        <f>C225*D225</f>
        <v>0</v>
      </c>
      <c r="F225" s="365"/>
      <c r="I225" s="322"/>
      <c r="J225" s="322"/>
    </row>
    <row r="226" spans="1:10" ht="13.5" hidden="1" thickBot="1" x14ac:dyDescent="0.25">
      <c r="C226" s="351"/>
      <c r="D226" s="270" t="s">
        <v>190</v>
      </c>
      <c r="E226" s="344">
        <f>$B$45</f>
        <v>1</v>
      </c>
      <c r="F226" s="21">
        <f>E225*E226</f>
        <v>0</v>
      </c>
      <c r="I226" s="322"/>
      <c r="J226" s="322"/>
    </row>
    <row r="227" spans="1:10" ht="11.25" hidden="1" customHeight="1" x14ac:dyDescent="0.2">
      <c r="I227" s="322"/>
      <c r="J227" s="322"/>
    </row>
    <row r="228" spans="1:10" hidden="1" x14ac:dyDescent="0.2">
      <c r="A228" s="7" t="s">
        <v>50</v>
      </c>
      <c r="I228" s="322"/>
      <c r="J228" s="322"/>
    </row>
    <row r="229" spans="1:10" ht="13.5" hidden="1" thickBot="1" x14ac:dyDescent="0.25">
      <c r="A229" s="55" t="s">
        <v>61</v>
      </c>
      <c r="B229" s="56" t="s">
        <v>62</v>
      </c>
      <c r="C229" s="56" t="s">
        <v>40</v>
      </c>
      <c r="D229" s="57" t="s">
        <v>229</v>
      </c>
      <c r="E229" s="57" t="s">
        <v>63</v>
      </c>
      <c r="F229" s="58" t="s">
        <v>64</v>
      </c>
      <c r="I229" s="322"/>
      <c r="J229" s="322"/>
    </row>
    <row r="230" spans="1:10" hidden="1" x14ac:dyDescent="0.2">
      <c r="A230" s="254" t="s">
        <v>12</v>
      </c>
      <c r="B230" s="337" t="s">
        <v>10</v>
      </c>
      <c r="C230" s="339">
        <f>C209</f>
        <v>0</v>
      </c>
      <c r="D230" s="339">
        <f>0.01*($E$198)</f>
        <v>3583.2129999999997</v>
      </c>
      <c r="E230" s="339">
        <f>C230*D230</f>
        <v>0</v>
      </c>
      <c r="I230" s="322"/>
      <c r="J230" s="322"/>
    </row>
    <row r="231" spans="1:10" hidden="1" x14ac:dyDescent="0.2">
      <c r="A231" s="267" t="s">
        <v>189</v>
      </c>
      <c r="B231" s="274" t="s">
        <v>10</v>
      </c>
      <c r="C231" s="339">
        <f>C209</f>
        <v>0</v>
      </c>
      <c r="D231" s="320">
        <f>137.77+5.78</f>
        <v>143.55000000000001</v>
      </c>
      <c r="E231" s="319">
        <f>C231*D231</f>
        <v>0</v>
      </c>
      <c r="I231" s="322"/>
      <c r="J231" s="322"/>
    </row>
    <row r="232" spans="1:10" hidden="1" x14ac:dyDescent="0.2">
      <c r="A232" s="267" t="s">
        <v>13</v>
      </c>
      <c r="B232" s="274" t="s">
        <v>10</v>
      </c>
      <c r="C232" s="339">
        <f>C209</f>
        <v>0</v>
      </c>
      <c r="D232" s="320">
        <v>1500</v>
      </c>
      <c r="E232" s="319">
        <f>C232*D232</f>
        <v>0</v>
      </c>
      <c r="F232" s="31"/>
      <c r="I232" s="322"/>
      <c r="J232" s="322"/>
    </row>
    <row r="233" spans="1:10" hidden="1" x14ac:dyDescent="0.2">
      <c r="A233" s="88" t="s">
        <v>14</v>
      </c>
      <c r="B233" s="89" t="s">
        <v>8</v>
      </c>
      <c r="C233" s="89">
        <v>12</v>
      </c>
      <c r="D233" s="90">
        <f>SUM(E230:E232)</f>
        <v>0</v>
      </c>
      <c r="E233" s="90">
        <f>D233/C233</f>
        <v>0</v>
      </c>
      <c r="I233" s="322"/>
      <c r="J233" s="322"/>
    </row>
    <row r="234" spans="1:10" ht="13.5" hidden="1" thickBot="1" x14ac:dyDescent="0.25">
      <c r="D234" s="270" t="s">
        <v>190</v>
      </c>
      <c r="E234" s="344">
        <f>$B$45</f>
        <v>1</v>
      </c>
      <c r="F234" s="105">
        <f>E233*E234</f>
        <v>0</v>
      </c>
      <c r="I234" s="322"/>
      <c r="J234" s="322"/>
    </row>
    <row r="235" spans="1:10" ht="11.25" hidden="1" customHeight="1" x14ac:dyDescent="0.2">
      <c r="I235" s="322"/>
      <c r="J235" s="322"/>
    </row>
    <row r="236" spans="1:10" x14ac:dyDescent="0.2">
      <c r="A236" s="7" t="s">
        <v>51</v>
      </c>
      <c r="B236" s="368"/>
      <c r="D236" s="294"/>
      <c r="E236" s="369"/>
      <c r="F236" s="296"/>
      <c r="H236" s="266"/>
      <c r="I236" s="282"/>
      <c r="J236" s="322"/>
    </row>
    <row r="237" spans="1:10" x14ac:dyDescent="0.2">
      <c r="B237" s="368"/>
      <c r="D237" s="294"/>
      <c r="E237" s="369"/>
      <c r="F237" s="296"/>
      <c r="H237" s="266"/>
      <c r="I237" s="282"/>
      <c r="J237" s="322"/>
    </row>
    <row r="238" spans="1:10" x14ac:dyDescent="0.2">
      <c r="A238" s="88" t="s">
        <v>347</v>
      </c>
      <c r="B238" s="314">
        <v>12740</v>
      </c>
      <c r="C238" s="275"/>
      <c r="D238" s="297"/>
      <c r="E238" s="298"/>
      <c r="F238" s="34"/>
      <c r="G238" s="350"/>
      <c r="H238" s="266"/>
      <c r="I238" s="282"/>
      <c r="J238" s="322"/>
    </row>
    <row r="239" spans="1:10" ht="13.5" thickBot="1" x14ac:dyDescent="0.25">
      <c r="B239" s="368"/>
      <c r="I239" s="322"/>
      <c r="J239" s="322"/>
    </row>
    <row r="240" spans="1:10" ht="13.5" thickBot="1" x14ac:dyDescent="0.25">
      <c r="A240" s="55" t="s">
        <v>61</v>
      </c>
      <c r="B240" s="56" t="s">
        <v>62</v>
      </c>
      <c r="C240" s="56" t="s">
        <v>250</v>
      </c>
      <c r="D240" s="57" t="s">
        <v>229</v>
      </c>
      <c r="E240" s="57" t="s">
        <v>63</v>
      </c>
      <c r="F240" s="58" t="s">
        <v>64</v>
      </c>
      <c r="I240" s="322"/>
      <c r="J240" s="322"/>
    </row>
    <row r="241" spans="1:11" x14ac:dyDescent="0.2">
      <c r="A241" s="254" t="s">
        <v>15</v>
      </c>
      <c r="B241" s="337" t="s">
        <v>16</v>
      </c>
      <c r="C241" s="370">
        <v>3.5</v>
      </c>
      <c r="D241" s="338"/>
      <c r="E241" s="339"/>
      <c r="G241" s="316"/>
      <c r="I241" s="317"/>
      <c r="J241" s="322"/>
    </row>
    <row r="242" spans="1:11" x14ac:dyDescent="0.2">
      <c r="A242" s="267" t="s">
        <v>17</v>
      </c>
      <c r="B242" s="274" t="s">
        <v>18</v>
      </c>
      <c r="C242" s="349">
        <f>B238</f>
        <v>12740</v>
      </c>
      <c r="D242" s="371">
        <f>IFERROR(+D241/C241,"-")</f>
        <v>0</v>
      </c>
      <c r="E242" s="319">
        <f>IFERROR(C242*D242,"-")</f>
        <v>0</v>
      </c>
      <c r="I242" s="317"/>
      <c r="J242" s="322"/>
    </row>
    <row r="243" spans="1:11" x14ac:dyDescent="0.2">
      <c r="A243" s="267" t="s">
        <v>230</v>
      </c>
      <c r="B243" s="274" t="s">
        <v>19</v>
      </c>
      <c r="C243" s="372">
        <v>0.55000000000000004</v>
      </c>
      <c r="D243" s="320"/>
      <c r="E243" s="319"/>
      <c r="G243" s="373"/>
      <c r="I243" s="317"/>
      <c r="J243" s="322"/>
    </row>
    <row r="244" spans="1:11" x14ac:dyDescent="0.2">
      <c r="A244" s="267" t="s">
        <v>20</v>
      </c>
      <c r="B244" s="274" t="s">
        <v>18</v>
      </c>
      <c r="C244" s="349">
        <f>C242</f>
        <v>12740</v>
      </c>
      <c r="D244" s="374">
        <f>+C243*D243/1000</f>
        <v>0</v>
      </c>
      <c r="E244" s="319">
        <f>C244*D244</f>
        <v>0</v>
      </c>
      <c r="G244" s="373"/>
      <c r="I244" s="317"/>
      <c r="J244" s="322"/>
    </row>
    <row r="245" spans="1:11" x14ac:dyDescent="0.2">
      <c r="A245" s="267" t="s">
        <v>231</v>
      </c>
      <c r="B245" s="274" t="s">
        <v>19</v>
      </c>
      <c r="C245" s="372">
        <v>0.5</v>
      </c>
      <c r="D245" s="320"/>
      <c r="E245" s="319"/>
      <c r="G245" s="373"/>
      <c r="I245" s="317"/>
      <c r="J245" s="322"/>
    </row>
    <row r="246" spans="1:11" x14ac:dyDescent="0.2">
      <c r="A246" s="267" t="s">
        <v>21</v>
      </c>
      <c r="B246" s="274" t="s">
        <v>18</v>
      </c>
      <c r="C246" s="349">
        <f>C242</f>
        <v>12740</v>
      </c>
      <c r="D246" s="374">
        <f>+C245*D245/1000</f>
        <v>0</v>
      </c>
      <c r="E246" s="319">
        <f>C246*D246</f>
        <v>0</v>
      </c>
      <c r="G246" s="373"/>
      <c r="I246" s="317"/>
      <c r="J246" s="322"/>
    </row>
    <row r="247" spans="1:11" x14ac:dyDescent="0.2">
      <c r="A247" s="267" t="s">
        <v>232</v>
      </c>
      <c r="B247" s="274" t="s">
        <v>19</v>
      </c>
      <c r="C247" s="372">
        <v>0.2</v>
      </c>
      <c r="D247" s="320"/>
      <c r="E247" s="319"/>
      <c r="G247" s="373"/>
      <c r="I247" s="317"/>
      <c r="J247" s="322"/>
    </row>
    <row r="248" spans="1:11" x14ac:dyDescent="0.2">
      <c r="A248" s="267" t="s">
        <v>22</v>
      </c>
      <c r="B248" s="274" t="s">
        <v>18</v>
      </c>
      <c r="C248" s="349">
        <f>C242</f>
        <v>12740</v>
      </c>
      <c r="D248" s="374">
        <f>+C247*D247/1000</f>
        <v>0</v>
      </c>
      <c r="E248" s="319">
        <f>C248*D248</f>
        <v>0</v>
      </c>
      <c r="G248" s="373"/>
      <c r="I248" s="317"/>
      <c r="J248" s="322"/>
    </row>
    <row r="249" spans="1:11" x14ac:dyDescent="0.2">
      <c r="A249" s="267" t="s">
        <v>23</v>
      </c>
      <c r="B249" s="274" t="s">
        <v>24</v>
      </c>
      <c r="C249" s="372">
        <v>0.3</v>
      </c>
      <c r="D249" s="320"/>
      <c r="E249" s="319"/>
      <c r="G249" s="373"/>
      <c r="I249" s="317"/>
      <c r="J249" s="322"/>
    </row>
    <row r="250" spans="1:11" x14ac:dyDescent="0.2">
      <c r="A250" s="267" t="s">
        <v>25</v>
      </c>
      <c r="B250" s="274" t="s">
        <v>18</v>
      </c>
      <c r="C250" s="349">
        <f>C242</f>
        <v>12740</v>
      </c>
      <c r="D250" s="374">
        <f>+C249*D249/1000</f>
        <v>0</v>
      </c>
      <c r="E250" s="319">
        <f>C250*D250</f>
        <v>0</v>
      </c>
      <c r="G250" s="373"/>
      <c r="I250" s="317"/>
      <c r="J250" s="322"/>
    </row>
    <row r="251" spans="1:11" ht="13.5" thickBot="1" x14ac:dyDescent="0.25">
      <c r="A251" s="88" t="s">
        <v>249</v>
      </c>
      <c r="B251" s="89" t="s">
        <v>118</v>
      </c>
      <c r="C251" s="227"/>
      <c r="D251" s="228">
        <f>IFERROR(D242+D244+D246+D248+D250,0)</f>
        <v>0</v>
      </c>
      <c r="E251" s="319"/>
      <c r="G251" s="373"/>
      <c r="I251" s="317"/>
      <c r="J251" s="322"/>
    </row>
    <row r="252" spans="1:11" ht="13.5" thickBot="1" x14ac:dyDescent="0.25">
      <c r="F252" s="21">
        <f>SUM(E241:E250)</f>
        <v>0</v>
      </c>
      <c r="I252" s="317"/>
      <c r="J252" s="322"/>
    </row>
    <row r="253" spans="1:11" ht="11.25" customHeight="1" x14ac:dyDescent="0.2">
      <c r="I253" s="317"/>
      <c r="J253" s="322"/>
    </row>
    <row r="254" spans="1:11" ht="13.5" thickBot="1" x14ac:dyDescent="0.25">
      <c r="A254" s="7" t="s">
        <v>52</v>
      </c>
      <c r="I254" s="317"/>
      <c r="J254" s="322"/>
    </row>
    <row r="255" spans="1:11" ht="13.5" thickBot="1" x14ac:dyDescent="0.25">
      <c r="A255" s="55" t="s">
        <v>61</v>
      </c>
      <c r="B255" s="56" t="s">
        <v>62</v>
      </c>
      <c r="C255" s="56" t="s">
        <v>40</v>
      </c>
      <c r="D255" s="57" t="s">
        <v>229</v>
      </c>
      <c r="E255" s="57" t="s">
        <v>63</v>
      </c>
      <c r="F255" s="58" t="s">
        <v>64</v>
      </c>
      <c r="H255" s="265"/>
      <c r="I255" s="317"/>
      <c r="J255" s="322"/>
    </row>
    <row r="256" spans="1:11" ht="13.5" thickBot="1" x14ac:dyDescent="0.25">
      <c r="A256" s="254" t="s">
        <v>117</v>
      </c>
      <c r="B256" s="337" t="s">
        <v>118</v>
      </c>
      <c r="C256" s="349">
        <f>C242</f>
        <v>12740</v>
      </c>
      <c r="D256" s="338"/>
      <c r="E256" s="339">
        <f>C256*D256</f>
        <v>0</v>
      </c>
      <c r="H256" s="265"/>
      <c r="I256" s="317"/>
      <c r="J256" s="322"/>
      <c r="K256" s="323"/>
    </row>
    <row r="257" spans="1:11" ht="13.5" thickBot="1" x14ac:dyDescent="0.25">
      <c r="F257" s="21">
        <f>E256</f>
        <v>0</v>
      </c>
      <c r="H257" s="265"/>
      <c r="I257" s="317"/>
      <c r="J257" s="322"/>
      <c r="K257" s="323"/>
    </row>
    <row r="258" spans="1:11" ht="11.25" customHeight="1" x14ac:dyDescent="0.2">
      <c r="H258" s="268"/>
      <c r="I258" s="317"/>
      <c r="J258" s="322"/>
      <c r="K258" s="323"/>
    </row>
    <row r="259" spans="1:11" ht="13.5" thickBot="1" x14ac:dyDescent="0.25">
      <c r="A259" s="7" t="s">
        <v>59</v>
      </c>
      <c r="I259" s="317"/>
      <c r="J259" s="322"/>
    </row>
    <row r="260" spans="1:11" ht="13.5" thickBot="1" x14ac:dyDescent="0.25">
      <c r="A260" s="55" t="s">
        <v>61</v>
      </c>
      <c r="B260" s="56" t="s">
        <v>62</v>
      </c>
      <c r="C260" s="56" t="s">
        <v>40</v>
      </c>
      <c r="D260" s="57" t="s">
        <v>229</v>
      </c>
      <c r="E260" s="57" t="s">
        <v>63</v>
      </c>
      <c r="F260" s="58" t="s">
        <v>64</v>
      </c>
      <c r="I260" s="317"/>
      <c r="J260" s="322"/>
    </row>
    <row r="261" spans="1:11" x14ac:dyDescent="0.2">
      <c r="A261" s="254" t="s">
        <v>330</v>
      </c>
      <c r="B261" s="337" t="s">
        <v>10</v>
      </c>
      <c r="C261" s="337">
        <v>6</v>
      </c>
      <c r="D261" s="338"/>
      <c r="E261" s="339">
        <f>C261*D261</f>
        <v>0</v>
      </c>
      <c r="H261" s="284"/>
      <c r="I261" s="317"/>
      <c r="J261" s="322"/>
    </row>
    <row r="262" spans="1:11" x14ac:dyDescent="0.2">
      <c r="A262" s="254" t="s">
        <v>119</v>
      </c>
      <c r="B262" s="337" t="s">
        <v>10</v>
      </c>
      <c r="C262" s="337">
        <v>1</v>
      </c>
      <c r="D262" s="375"/>
      <c r="E262" s="339"/>
      <c r="I262" s="317"/>
      <c r="J262" s="322"/>
    </row>
    <row r="263" spans="1:11" x14ac:dyDescent="0.2">
      <c r="A263" s="254" t="s">
        <v>68</v>
      </c>
      <c r="B263" s="337" t="s">
        <v>10</v>
      </c>
      <c r="C263" s="339">
        <f>C261*C262</f>
        <v>6</v>
      </c>
      <c r="D263" s="338"/>
      <c r="E263" s="339">
        <f>C263*D263</f>
        <v>0</v>
      </c>
      <c r="G263" s="376"/>
      <c r="H263" s="284"/>
      <c r="I263" s="317"/>
      <c r="J263" s="322"/>
    </row>
    <row r="264" spans="1:11" x14ac:dyDescent="0.2">
      <c r="A264" s="267" t="s">
        <v>296</v>
      </c>
      <c r="B264" s="274" t="s">
        <v>26</v>
      </c>
      <c r="C264" s="377">
        <v>100000</v>
      </c>
      <c r="D264" s="319">
        <f>E261+E263</f>
        <v>0</v>
      </c>
      <c r="E264" s="319">
        <f>IFERROR(D264/C264,"-")+IFERROR(D264/C264,"-")*G264</f>
        <v>0</v>
      </c>
      <c r="G264" s="376"/>
      <c r="I264" s="322"/>
      <c r="J264" s="322"/>
    </row>
    <row r="265" spans="1:11" ht="13.5" thickBot="1" x14ac:dyDescent="0.25">
      <c r="A265" s="267" t="s">
        <v>54</v>
      </c>
      <c r="B265" s="274" t="s">
        <v>18</v>
      </c>
      <c r="C265" s="349">
        <f>B238</f>
        <v>12740</v>
      </c>
      <c r="D265" s="319">
        <f>E264</f>
        <v>0</v>
      </c>
      <c r="E265" s="319">
        <f>IFERROR(C265*D265,0)</f>
        <v>0</v>
      </c>
      <c r="I265" s="322"/>
      <c r="J265" s="322"/>
    </row>
    <row r="266" spans="1:11" ht="13.5" thickBot="1" x14ac:dyDescent="0.25">
      <c r="F266" s="21">
        <f>E265</f>
        <v>0</v>
      </c>
      <c r="I266" s="322"/>
      <c r="J266" s="322"/>
    </row>
    <row r="267" spans="1:11" ht="11.25" customHeight="1" x14ac:dyDescent="0.2">
      <c r="I267" s="322"/>
      <c r="J267" s="322"/>
    </row>
    <row r="268" spans="1:11" ht="11.25" customHeight="1" thickBot="1" x14ac:dyDescent="0.25">
      <c r="G268" s="7"/>
    </row>
    <row r="269" spans="1:11" ht="13.5" thickBot="1" x14ac:dyDescent="0.25">
      <c r="A269" s="24" t="s">
        <v>218</v>
      </c>
      <c r="B269" s="25"/>
      <c r="C269" s="25"/>
      <c r="D269" s="26"/>
      <c r="E269" s="27"/>
      <c r="F269" s="21">
        <f>+SUM(F198:F268)</f>
        <v>0</v>
      </c>
      <c r="G269" s="7"/>
    </row>
    <row r="270" spans="1:11" s="260" customFormat="1" ht="11.25" customHeight="1" x14ac:dyDescent="0.2">
      <c r="A270" s="7"/>
      <c r="B270" s="7"/>
      <c r="C270" s="7"/>
      <c r="D270" s="317"/>
      <c r="E270" s="317"/>
      <c r="F270" s="317"/>
      <c r="G270" s="7"/>
      <c r="I270" s="7"/>
      <c r="J270" s="7"/>
    </row>
    <row r="271" spans="1:11" s="260" customFormat="1" hidden="1" x14ac:dyDescent="0.2">
      <c r="A271" s="11" t="s">
        <v>71</v>
      </c>
      <c r="B271" s="11"/>
      <c r="C271" s="11"/>
      <c r="D271" s="34"/>
      <c r="E271" s="34"/>
      <c r="F271" s="33"/>
      <c r="G271" s="7"/>
      <c r="I271" s="7"/>
      <c r="J271" s="7"/>
    </row>
    <row r="272" spans="1:11" s="260" customFormat="1" ht="11.25" hidden="1" customHeight="1" x14ac:dyDescent="0.2">
      <c r="A272" s="7"/>
      <c r="B272" s="7"/>
      <c r="C272" s="7"/>
      <c r="D272" s="317"/>
      <c r="E272" s="317"/>
      <c r="F272" s="317"/>
      <c r="G272" s="7"/>
      <c r="I272" s="7"/>
      <c r="J272" s="7"/>
    </row>
    <row r="273" spans="1:10" s="260" customFormat="1" ht="13.5" hidden="1" thickBot="1" x14ac:dyDescent="0.25">
      <c r="A273" s="55" t="s">
        <v>61</v>
      </c>
      <c r="B273" s="56" t="s">
        <v>62</v>
      </c>
      <c r="C273" s="56" t="s">
        <v>40</v>
      </c>
      <c r="D273" s="57" t="s">
        <v>229</v>
      </c>
      <c r="E273" s="57" t="s">
        <v>63</v>
      </c>
      <c r="F273" s="58" t="s">
        <v>64</v>
      </c>
      <c r="G273" s="7"/>
      <c r="I273" s="7"/>
      <c r="J273" s="7"/>
    </row>
    <row r="274" spans="1:10" s="260" customFormat="1" hidden="1" x14ac:dyDescent="0.2">
      <c r="A274" s="267" t="s">
        <v>348</v>
      </c>
      <c r="B274" s="274" t="s">
        <v>10</v>
      </c>
      <c r="C274" s="358"/>
      <c r="D274" s="338">
        <v>34.119999999999997</v>
      </c>
      <c r="E274" s="319">
        <f>C274*D274*3</f>
        <v>0</v>
      </c>
      <c r="F274" s="378"/>
      <c r="G274" s="7"/>
      <c r="I274" s="7"/>
      <c r="J274" s="7"/>
    </row>
    <row r="275" spans="1:10" s="260" customFormat="1" hidden="1" x14ac:dyDescent="0.2">
      <c r="A275" s="267" t="s">
        <v>349</v>
      </c>
      <c r="B275" s="274" t="s">
        <v>10</v>
      </c>
      <c r="C275" s="358"/>
      <c r="D275" s="338">
        <v>30.9</v>
      </c>
      <c r="E275" s="319">
        <f>C275*D275*3</f>
        <v>0</v>
      </c>
      <c r="F275" s="378"/>
      <c r="G275" s="7"/>
      <c r="I275" s="7"/>
      <c r="J275" s="7"/>
    </row>
    <row r="276" spans="1:10" s="260" customFormat="1" hidden="1" x14ac:dyDescent="0.2">
      <c r="A276" s="267" t="s">
        <v>350</v>
      </c>
      <c r="B276" s="274" t="s">
        <v>10</v>
      </c>
      <c r="C276" s="358"/>
      <c r="D276" s="338">
        <v>11.61</v>
      </c>
      <c r="E276" s="319">
        <f>C276*D276*3</f>
        <v>0</v>
      </c>
      <c r="F276" s="378"/>
      <c r="G276" s="7"/>
      <c r="I276" s="7"/>
      <c r="J276" s="7"/>
    </row>
    <row r="277" spans="1:10" s="260" customFormat="1" hidden="1" x14ac:dyDescent="0.2">
      <c r="A277" s="267" t="s">
        <v>351</v>
      </c>
      <c r="B277" s="274" t="s">
        <v>56</v>
      </c>
      <c r="C277" s="358"/>
      <c r="D277" s="338"/>
      <c r="E277" s="319">
        <f>C277*D277</f>
        <v>0</v>
      </c>
      <c r="F277" s="378"/>
      <c r="G277" s="7"/>
      <c r="I277" s="7"/>
      <c r="J277" s="7"/>
    </row>
    <row r="278" spans="1:10" s="260" customFormat="1" hidden="1" x14ac:dyDescent="0.2">
      <c r="A278" s="267" t="s">
        <v>352</v>
      </c>
      <c r="B278" s="274" t="s">
        <v>56</v>
      </c>
      <c r="C278" s="358"/>
      <c r="D278" s="338"/>
      <c r="E278" s="319">
        <f>C278*D278</f>
        <v>0</v>
      </c>
      <c r="F278" s="378"/>
      <c r="G278" s="7"/>
      <c r="I278" s="7"/>
      <c r="J278" s="7"/>
    </row>
    <row r="279" spans="1:10" s="260" customFormat="1" ht="13.5" hidden="1" thickBot="1" x14ac:dyDescent="0.25">
      <c r="A279" s="11"/>
      <c r="B279" s="11"/>
      <c r="C279" s="11"/>
      <c r="D279" s="11"/>
      <c r="E279" s="34"/>
      <c r="F279" s="21">
        <f>SUM(E274:E278)</f>
        <v>0</v>
      </c>
      <c r="G279" s="7"/>
      <c r="I279" s="7"/>
      <c r="J279" s="7"/>
    </row>
    <row r="280" spans="1:10" s="260" customFormat="1" ht="11.25" hidden="1" customHeight="1" x14ac:dyDescent="0.2">
      <c r="A280" s="7"/>
      <c r="B280" s="7"/>
      <c r="C280" s="7"/>
      <c r="D280" s="317"/>
      <c r="E280" s="317"/>
      <c r="F280" s="317"/>
      <c r="G280" s="7"/>
      <c r="I280" s="7"/>
      <c r="J280" s="7"/>
    </row>
    <row r="281" spans="1:10" s="260" customFormat="1" ht="13.5" hidden="1" thickBot="1" x14ac:dyDescent="0.25">
      <c r="A281" s="24" t="s">
        <v>219</v>
      </c>
      <c r="B281" s="25"/>
      <c r="C281" s="25"/>
      <c r="D281" s="26"/>
      <c r="E281" s="27"/>
      <c r="F281" s="21">
        <f>+F279</f>
        <v>0</v>
      </c>
      <c r="G281" s="7"/>
      <c r="I281" s="7"/>
      <c r="J281" s="7"/>
    </row>
    <row r="282" spans="1:10" s="260" customFormat="1" ht="11.25" hidden="1" customHeight="1" x14ac:dyDescent="0.2">
      <c r="A282" s="7"/>
      <c r="B282" s="7"/>
      <c r="C282" s="7"/>
      <c r="D282" s="317"/>
      <c r="E282" s="317"/>
      <c r="F282" s="317"/>
      <c r="G282" s="7"/>
      <c r="I282" s="7"/>
      <c r="J282" s="7"/>
    </row>
    <row r="283" spans="1:10" s="260" customFormat="1" hidden="1" x14ac:dyDescent="0.2">
      <c r="A283" s="11" t="s">
        <v>72</v>
      </c>
      <c r="B283" s="11"/>
      <c r="C283" s="11"/>
      <c r="D283" s="34"/>
      <c r="E283" s="34"/>
      <c r="F283" s="33"/>
      <c r="G283" s="317"/>
      <c r="I283" s="7"/>
      <c r="J283" s="7"/>
    </row>
    <row r="284" spans="1:10" s="260" customFormat="1" ht="11.25" hidden="1" customHeight="1" x14ac:dyDescent="0.2">
      <c r="A284" s="7"/>
      <c r="B284" s="7"/>
      <c r="C284" s="7"/>
      <c r="D284" s="317"/>
      <c r="E284" s="317"/>
      <c r="F284" s="317"/>
      <c r="G284" s="317"/>
      <c r="I284" s="7"/>
      <c r="J284" s="7"/>
    </row>
    <row r="285" spans="1:10" s="260" customFormat="1" ht="13.5" hidden="1" thickBot="1" x14ac:dyDescent="0.25">
      <c r="A285" s="55" t="s">
        <v>61</v>
      </c>
      <c r="B285" s="56" t="s">
        <v>62</v>
      </c>
      <c r="C285" s="56" t="s">
        <v>40</v>
      </c>
      <c r="D285" s="57" t="s">
        <v>229</v>
      </c>
      <c r="E285" s="57" t="s">
        <v>63</v>
      </c>
      <c r="F285" s="58" t="s">
        <v>64</v>
      </c>
      <c r="G285" s="317"/>
      <c r="I285" s="7"/>
      <c r="J285" s="7"/>
    </row>
    <row r="286" spans="1:10" hidden="1" x14ac:dyDescent="0.2">
      <c r="A286" s="267" t="s">
        <v>216</v>
      </c>
      <c r="B286" s="49" t="s">
        <v>56</v>
      </c>
      <c r="C286" s="359">
        <f>C209</f>
        <v>0</v>
      </c>
      <c r="D286" s="320">
        <v>5000</v>
      </c>
      <c r="E286" s="319">
        <f>+D286*C286</f>
        <v>0</v>
      </c>
      <c r="F286" s="378"/>
    </row>
    <row r="287" spans="1:10" hidden="1" x14ac:dyDescent="0.2">
      <c r="A287" s="267" t="s">
        <v>58</v>
      </c>
      <c r="B287" s="49" t="s">
        <v>8</v>
      </c>
      <c r="C287" s="274">
        <v>60</v>
      </c>
      <c r="D287" s="379">
        <f>SUM(E286:E286)</f>
        <v>0</v>
      </c>
      <c r="E287" s="379">
        <f>+D287/C287</f>
        <v>0</v>
      </c>
      <c r="F287" s="378"/>
    </row>
    <row r="288" spans="1:10" hidden="1" x14ac:dyDescent="0.2">
      <c r="A288" s="267" t="s">
        <v>217</v>
      </c>
      <c r="B288" s="274" t="s">
        <v>10</v>
      </c>
      <c r="C288" s="359">
        <f>+C286</f>
        <v>0</v>
      </c>
      <c r="D288" s="320">
        <v>300</v>
      </c>
      <c r="E288" s="319">
        <f>C288*D288</f>
        <v>0</v>
      </c>
      <c r="F288" s="378"/>
    </row>
    <row r="289" spans="1:10" hidden="1" x14ac:dyDescent="0.2">
      <c r="A289" s="267" t="s">
        <v>37</v>
      </c>
      <c r="B289" s="49" t="s">
        <v>8</v>
      </c>
      <c r="C289" s="274">
        <v>1</v>
      </c>
      <c r="D289" s="379">
        <f>+E288</f>
        <v>0</v>
      </c>
      <c r="E289" s="379">
        <f>+D289/C289</f>
        <v>0</v>
      </c>
      <c r="F289" s="378"/>
    </row>
    <row r="290" spans="1:10" ht="13.5" hidden="1" thickBot="1" x14ac:dyDescent="0.25">
      <c r="A290" s="12"/>
      <c r="B290" s="12"/>
      <c r="C290" s="12"/>
      <c r="D290" s="270" t="s">
        <v>190</v>
      </c>
      <c r="E290" s="344">
        <f>$B$45</f>
        <v>1</v>
      </c>
      <c r="F290" s="21">
        <f>(E287+E289)*E290</f>
        <v>0</v>
      </c>
    </row>
    <row r="291" spans="1:10" s="48" customFormat="1" ht="11.25" hidden="1" customHeight="1" x14ac:dyDescent="0.2">
      <c r="A291" s="7"/>
      <c r="B291" s="7"/>
      <c r="C291" s="7"/>
      <c r="D291" s="317"/>
      <c r="E291" s="317"/>
      <c r="F291" s="317"/>
      <c r="G291" s="76"/>
      <c r="H291" s="260"/>
    </row>
    <row r="292" spans="1:10" ht="13.5" hidden="1" thickBot="1" x14ac:dyDescent="0.25">
      <c r="A292" s="24" t="s">
        <v>215</v>
      </c>
      <c r="B292" s="25"/>
      <c r="C292" s="25"/>
      <c r="D292" s="26"/>
      <c r="E292" s="27"/>
      <c r="F292" s="21">
        <f>+F290</f>
        <v>0</v>
      </c>
    </row>
    <row r="293" spans="1:10" ht="11.25" hidden="1" customHeight="1" x14ac:dyDescent="0.2"/>
    <row r="294" spans="1:10" s="260" customFormat="1" hidden="1" x14ac:dyDescent="0.2">
      <c r="A294" s="11" t="s">
        <v>308</v>
      </c>
      <c r="B294" s="11"/>
      <c r="C294" s="11"/>
      <c r="D294" s="34"/>
      <c r="E294" s="34"/>
      <c r="F294" s="33"/>
      <c r="G294" s="317"/>
      <c r="I294" s="7"/>
      <c r="J294" s="7"/>
    </row>
    <row r="295" spans="1:10" s="260" customFormat="1" ht="11.25" hidden="1" customHeight="1" x14ac:dyDescent="0.2">
      <c r="A295" s="7"/>
      <c r="B295" s="7"/>
      <c r="C295" s="7"/>
      <c r="D295" s="317"/>
      <c r="E295" s="317"/>
      <c r="F295" s="317"/>
      <c r="G295" s="317"/>
      <c r="I295" s="7"/>
      <c r="J295" s="7"/>
    </row>
    <row r="296" spans="1:10" s="260" customFormat="1" ht="13.5" hidden="1" thickBot="1" x14ac:dyDescent="0.25">
      <c r="A296" s="55" t="s">
        <v>61</v>
      </c>
      <c r="B296" s="56" t="s">
        <v>62</v>
      </c>
      <c r="C296" s="56" t="s">
        <v>40</v>
      </c>
      <c r="D296" s="57" t="s">
        <v>229</v>
      </c>
      <c r="E296" s="57" t="s">
        <v>63</v>
      </c>
      <c r="F296" s="58" t="s">
        <v>64</v>
      </c>
      <c r="G296" s="317"/>
      <c r="I296" s="7"/>
      <c r="J296" s="7"/>
    </row>
    <row r="297" spans="1:10" hidden="1" x14ac:dyDescent="0.2">
      <c r="A297" s="267" t="s">
        <v>300</v>
      </c>
      <c r="B297" s="49" t="s">
        <v>302</v>
      </c>
      <c r="C297" s="347">
        <v>0</v>
      </c>
      <c r="D297" s="320">
        <v>20</v>
      </c>
      <c r="E297" s="319"/>
      <c r="F297" s="378"/>
    </row>
    <row r="298" spans="1:10" hidden="1" x14ac:dyDescent="0.2">
      <c r="A298" s="267" t="s">
        <v>301</v>
      </c>
      <c r="B298" s="49" t="s">
        <v>8</v>
      </c>
      <c r="C298" s="274">
        <f>C297*C135</f>
        <v>0</v>
      </c>
      <c r="D298" s="341">
        <f>C298*D297</f>
        <v>0</v>
      </c>
      <c r="E298" s="379">
        <f>D298</f>
        <v>0</v>
      </c>
      <c r="F298" s="378"/>
    </row>
    <row r="299" spans="1:10" ht="13.5" hidden="1" thickBot="1" x14ac:dyDescent="0.25">
      <c r="A299" s="12"/>
      <c r="B299" s="12"/>
      <c r="C299" s="12"/>
      <c r="D299" s="294"/>
      <c r="E299" s="296"/>
      <c r="F299" s="21">
        <f>(E298)</f>
        <v>0</v>
      </c>
    </row>
    <row r="300" spans="1:10" s="48" customFormat="1" ht="11.25" hidden="1" customHeight="1" x14ac:dyDescent="0.2">
      <c r="A300" s="7"/>
      <c r="B300" s="7"/>
      <c r="C300" s="7"/>
      <c r="D300" s="317"/>
      <c r="E300" s="317"/>
      <c r="F300" s="317"/>
      <c r="G300" s="76"/>
      <c r="H300" s="260"/>
    </row>
    <row r="301" spans="1:10" ht="13.5" hidden="1" thickBot="1" x14ac:dyDescent="0.25">
      <c r="A301" s="24" t="s">
        <v>303</v>
      </c>
      <c r="B301" s="25"/>
      <c r="C301" s="25"/>
      <c r="D301" s="26"/>
      <c r="E301" s="27"/>
      <c r="F301" s="21">
        <f>+F299</f>
        <v>0</v>
      </c>
    </row>
    <row r="302" spans="1:10" ht="11.25" customHeight="1" thickBot="1" x14ac:dyDescent="0.25"/>
    <row r="303" spans="1:10" ht="17.25" customHeight="1" thickBot="1" x14ac:dyDescent="0.25">
      <c r="A303" s="24" t="s">
        <v>220</v>
      </c>
      <c r="B303" s="362"/>
      <c r="C303" s="362"/>
      <c r="D303" s="363"/>
      <c r="E303" s="364"/>
      <c r="F303" s="22">
        <f>+F155+F190+F269+F281+F292+F301</f>
        <v>0</v>
      </c>
    </row>
    <row r="304" spans="1:10" ht="11.25" customHeight="1" x14ac:dyDescent="0.2"/>
    <row r="305" spans="1:8" x14ac:dyDescent="0.2">
      <c r="A305" s="11" t="s">
        <v>309</v>
      </c>
    </row>
    <row r="306" spans="1:8" ht="11.25" customHeight="1" thickBot="1" x14ac:dyDescent="0.25"/>
    <row r="307" spans="1:8" ht="13.5" thickBot="1" x14ac:dyDescent="0.25">
      <c r="A307" s="55" t="s">
        <v>61</v>
      </c>
      <c r="B307" s="56" t="s">
        <v>62</v>
      </c>
      <c r="C307" s="56" t="s">
        <v>40</v>
      </c>
      <c r="D307" s="57" t="s">
        <v>229</v>
      </c>
      <c r="E307" s="57" t="s">
        <v>63</v>
      </c>
      <c r="F307" s="58" t="s">
        <v>64</v>
      </c>
    </row>
    <row r="308" spans="1:8" ht="13.5" thickBot="1" x14ac:dyDescent="0.25">
      <c r="A308" s="254" t="s">
        <v>36</v>
      </c>
      <c r="B308" s="337" t="s">
        <v>2</v>
      </c>
      <c r="C308" s="342">
        <f>BDI!C19*100</f>
        <v>25.509999999999998</v>
      </c>
      <c r="D308" s="339">
        <f>+F303</f>
        <v>0</v>
      </c>
      <c r="E308" s="339">
        <f>C308*D308/100</f>
        <v>0</v>
      </c>
    </row>
    <row r="309" spans="1:8" ht="13.5" thickBot="1" x14ac:dyDescent="0.25">
      <c r="F309" s="21">
        <f>+E308</f>
        <v>0</v>
      </c>
    </row>
    <row r="310" spans="1:8" ht="11.25" customHeight="1" thickBot="1" x14ac:dyDescent="0.25"/>
    <row r="311" spans="1:8" ht="13.5" thickBot="1" x14ac:dyDescent="0.25">
      <c r="A311" s="24" t="s">
        <v>234</v>
      </c>
      <c r="B311" s="362"/>
      <c r="C311" s="362"/>
      <c r="D311" s="363"/>
      <c r="E311" s="364"/>
      <c r="F311" s="22">
        <f>F309</f>
        <v>0</v>
      </c>
    </row>
    <row r="312" spans="1:8" ht="13.5" thickBot="1" x14ac:dyDescent="0.25">
      <c r="A312" s="11"/>
      <c r="B312" s="11"/>
      <c r="C312" s="11"/>
      <c r="D312" s="34"/>
      <c r="E312" s="34"/>
      <c r="F312" s="33"/>
    </row>
    <row r="313" spans="1:8" ht="24.75" customHeight="1" thickBot="1" x14ac:dyDescent="0.25">
      <c r="A313" s="24" t="s">
        <v>299</v>
      </c>
      <c r="B313" s="362"/>
      <c r="C313" s="362"/>
      <c r="D313" s="363"/>
      <c r="E313" s="364"/>
      <c r="F313" s="22">
        <f>F303+F311</f>
        <v>0</v>
      </c>
    </row>
    <row r="314" spans="1:8" ht="12.6" customHeight="1" x14ac:dyDescent="0.2">
      <c r="A314" s="51"/>
      <c r="B314" s="51"/>
      <c r="C314" s="51"/>
      <c r="D314" s="52"/>
      <c r="E314" s="52"/>
      <c r="F314" s="52"/>
    </row>
    <row r="315" spans="1:8" ht="12.6" customHeight="1" x14ac:dyDescent="0.2">
      <c r="A315" s="11" t="s">
        <v>353</v>
      </c>
      <c r="B315" s="51"/>
      <c r="C315" s="51"/>
      <c r="D315" s="52"/>
      <c r="E315" s="52"/>
      <c r="F315" s="52"/>
    </row>
    <row r="316" spans="1:8" ht="12.6" customHeight="1" thickBot="1" x14ac:dyDescent="0.25">
      <c r="A316" s="51"/>
      <c r="B316" s="51"/>
      <c r="C316" s="51"/>
      <c r="D316" s="52"/>
      <c r="E316" s="52"/>
      <c r="F316" s="52"/>
      <c r="H316" s="265"/>
    </row>
    <row r="317" spans="1:8" ht="12.6" customHeight="1" thickBot="1" x14ac:dyDescent="0.25">
      <c r="A317" s="24" t="s">
        <v>333</v>
      </c>
      <c r="B317" s="380">
        <v>0.03</v>
      </c>
      <c r="C317" s="362"/>
      <c r="D317" s="363"/>
      <c r="E317" s="364"/>
      <c r="F317" s="22">
        <f>(F313/(1-B317))*B317</f>
        <v>0</v>
      </c>
    </row>
    <row r="318" spans="1:8" ht="12.6" customHeight="1" thickBot="1" x14ac:dyDescent="0.25">
      <c r="A318" s="51"/>
      <c r="B318" s="51"/>
      <c r="C318" s="51"/>
      <c r="D318" s="52"/>
      <c r="E318" s="52"/>
      <c r="F318" s="52"/>
    </row>
    <row r="319" spans="1:8" ht="24.75" customHeight="1" thickBot="1" x14ac:dyDescent="0.25">
      <c r="A319" s="24" t="s">
        <v>336</v>
      </c>
      <c r="B319" s="362"/>
      <c r="C319" s="362"/>
      <c r="D319" s="363"/>
      <c r="E319" s="364"/>
      <c r="F319" s="22">
        <f>ROUND(F313+F317,2)</f>
        <v>0</v>
      </c>
    </row>
    <row r="320" spans="1:8" ht="12.6" customHeight="1" x14ac:dyDescent="0.2">
      <c r="A320" s="51"/>
      <c r="B320" s="51"/>
      <c r="C320" s="51"/>
      <c r="D320" s="52"/>
      <c r="E320" s="52"/>
      <c r="F320" s="52"/>
    </row>
    <row r="321" spans="1:14" ht="16.149999999999999" customHeight="1" x14ac:dyDescent="0.2">
      <c r="A321" s="271" t="s">
        <v>354</v>
      </c>
      <c r="B321" s="381"/>
      <c r="C321" s="381"/>
      <c r="D321" s="313">
        <f>152880/12</f>
        <v>12740</v>
      </c>
      <c r="E321" s="382" t="s">
        <v>18</v>
      </c>
      <c r="G321" s="317" t="s">
        <v>200</v>
      </c>
      <c r="I321" s="260" t="s">
        <v>294</v>
      </c>
    </row>
    <row r="322" spans="1:14" ht="13.5" thickBot="1" x14ac:dyDescent="0.25"/>
    <row r="323" spans="1:14" ht="25.5" customHeight="1" thickBot="1" x14ac:dyDescent="0.25">
      <c r="A323" s="24" t="s">
        <v>355</v>
      </c>
      <c r="B323" s="25"/>
      <c r="C323" s="25"/>
      <c r="D323" s="26"/>
      <c r="E323" s="213" t="s">
        <v>356</v>
      </c>
      <c r="F323" s="214">
        <f>ROUND(IFERROR(F319/D321,"-"),2)</f>
        <v>0</v>
      </c>
      <c r="G323" s="317" t="s">
        <v>200</v>
      </c>
      <c r="N323" s="383"/>
    </row>
    <row r="324" spans="1:14" ht="12.6" customHeight="1" x14ac:dyDescent="0.2">
      <c r="A324" s="11"/>
      <c r="B324" s="11"/>
      <c r="C324" s="11"/>
      <c r="D324" s="34"/>
      <c r="E324" s="34"/>
      <c r="F324" s="34"/>
    </row>
    <row r="325" spans="1:14" ht="12.6" customHeight="1" thickBot="1" x14ac:dyDescent="0.25">
      <c r="A325" s="11"/>
      <c r="B325" s="11"/>
      <c r="C325" s="11"/>
      <c r="D325" s="34"/>
      <c r="E325" s="34"/>
      <c r="F325" s="34"/>
    </row>
    <row r="326" spans="1:14" ht="12.6" customHeight="1" x14ac:dyDescent="0.2">
      <c r="A326" s="428" t="s">
        <v>357</v>
      </c>
      <c r="B326" s="429"/>
      <c r="C326" s="429"/>
      <c r="D326" s="430"/>
      <c r="E326" s="34"/>
      <c r="F326" s="34"/>
    </row>
    <row r="327" spans="1:14" ht="12.6" customHeight="1" x14ac:dyDescent="0.2">
      <c r="A327" s="384" t="s">
        <v>312</v>
      </c>
      <c r="B327" s="385" t="s">
        <v>358</v>
      </c>
      <c r="C327" s="431">
        <f>Coleta!F322</f>
        <v>0</v>
      </c>
      <c r="D327" s="432"/>
      <c r="E327" s="34"/>
      <c r="F327" s="34"/>
    </row>
    <row r="328" spans="1:14" ht="12.6" customHeight="1" x14ac:dyDescent="0.2">
      <c r="A328" s="384" t="s">
        <v>341</v>
      </c>
      <c r="B328" s="385" t="s">
        <v>358</v>
      </c>
      <c r="C328" s="431">
        <f>F319</f>
        <v>0</v>
      </c>
      <c r="D328" s="432"/>
      <c r="E328" s="34"/>
      <c r="F328" s="34"/>
    </row>
    <row r="329" spans="1:14" ht="12.6" customHeight="1" thickBot="1" x14ac:dyDescent="0.25">
      <c r="A329" s="386" t="s">
        <v>359</v>
      </c>
      <c r="B329" s="387"/>
      <c r="C329" s="425">
        <f>SUM(C327:D328)</f>
        <v>0</v>
      </c>
      <c r="D329" s="426"/>
      <c r="E329" s="34"/>
      <c r="F329" s="34"/>
    </row>
    <row r="330" spans="1:14" ht="12.6" customHeight="1" x14ac:dyDescent="0.2">
      <c r="A330" s="11"/>
      <c r="B330" s="11"/>
      <c r="C330" s="11"/>
      <c r="D330" s="34"/>
      <c r="E330" s="34"/>
      <c r="F330" s="34"/>
    </row>
    <row r="331" spans="1:14" ht="12.6" customHeight="1" x14ac:dyDescent="0.2">
      <c r="A331" s="11"/>
      <c r="B331" s="11"/>
      <c r="C331" s="11"/>
      <c r="D331" s="34"/>
      <c r="E331" s="34"/>
      <c r="F331" s="34"/>
      <c r="I331" s="427"/>
      <c r="J331" s="427"/>
    </row>
    <row r="332" spans="1:14" x14ac:dyDescent="0.2">
      <c r="A332" s="11" t="s">
        <v>305</v>
      </c>
      <c r="B332" s="11"/>
      <c r="C332" s="11"/>
      <c r="D332" s="34"/>
      <c r="E332" s="34"/>
      <c r="F332" s="34"/>
      <c r="H332" s="388"/>
      <c r="I332" s="368"/>
      <c r="J332" s="389"/>
    </row>
    <row r="333" spans="1:14" x14ac:dyDescent="0.2">
      <c r="A333" s="406" t="s">
        <v>360</v>
      </c>
      <c r="B333" s="406"/>
      <c r="C333" s="406"/>
      <c r="D333" s="406"/>
      <c r="E333" s="406"/>
      <c r="F333" s="406"/>
      <c r="H333" s="388"/>
      <c r="I333" s="368"/>
      <c r="J333" s="389"/>
    </row>
    <row r="334" spans="1:14" x14ac:dyDescent="0.2">
      <c r="A334" s="406"/>
      <c r="B334" s="406"/>
      <c r="C334" s="406"/>
      <c r="D334" s="406"/>
      <c r="E334" s="406"/>
      <c r="F334" s="406"/>
      <c r="I334" s="390"/>
      <c r="J334" s="390"/>
    </row>
    <row r="335" spans="1:14" x14ac:dyDescent="0.2">
      <c r="I335" s="391"/>
      <c r="J335" s="392"/>
    </row>
    <row r="337" spans="4:10" x14ac:dyDescent="0.2">
      <c r="I337" s="427"/>
      <c r="J337" s="427"/>
    </row>
    <row r="338" spans="4:10" x14ac:dyDescent="0.2">
      <c r="D338" s="317">
        <f>C329*12</f>
        <v>0</v>
      </c>
      <c r="H338" s="388"/>
      <c r="I338" s="368"/>
      <c r="J338" s="389"/>
    </row>
    <row r="339" spans="4:10" x14ac:dyDescent="0.2">
      <c r="H339" s="388"/>
      <c r="I339" s="368"/>
      <c r="J339" s="389"/>
    </row>
    <row r="340" spans="4:10" x14ac:dyDescent="0.2">
      <c r="I340" s="390"/>
      <c r="J340" s="390"/>
    </row>
    <row r="341" spans="4:10" x14ac:dyDescent="0.2">
      <c r="D341" s="317">
        <f>D321*12</f>
        <v>152880</v>
      </c>
      <c r="I341" s="391"/>
      <c r="J341" s="392"/>
    </row>
    <row r="368" spans="4:6" x14ac:dyDescent="0.2">
      <c r="D368" s="7"/>
      <c r="E368" s="7"/>
      <c r="F368" s="7"/>
    </row>
    <row r="369" spans="1:10" s="260" customFormat="1" ht="9" customHeight="1" x14ac:dyDescent="0.2">
      <c r="A369" s="7"/>
      <c r="B369" s="7"/>
      <c r="C369" s="7"/>
      <c r="D369" s="317"/>
      <c r="E369" s="317"/>
      <c r="F369" s="317"/>
      <c r="G369" s="317"/>
      <c r="I369" s="7"/>
      <c r="J369" s="7"/>
    </row>
    <row r="370" spans="1:10" x14ac:dyDescent="0.2">
      <c r="G370" s="7"/>
    </row>
  </sheetData>
  <mergeCells count="16">
    <mergeCell ref="C329:D329"/>
    <mergeCell ref="I331:J331"/>
    <mergeCell ref="A333:F334"/>
    <mergeCell ref="I337:J337"/>
    <mergeCell ref="A33:E33"/>
    <mergeCell ref="A34:D34"/>
    <mergeCell ref="A42:D42"/>
    <mergeCell ref="A326:D326"/>
    <mergeCell ref="C327:D327"/>
    <mergeCell ref="C328:D328"/>
    <mergeCell ref="A18:C18"/>
    <mergeCell ref="A1:F1"/>
    <mergeCell ref="A2:F2"/>
    <mergeCell ref="A5:F5"/>
    <mergeCell ref="A6:F6"/>
    <mergeCell ref="A8:F8"/>
  </mergeCells>
  <hyperlinks>
    <hyperlink ref="A212" location="AbaRemun" display="3.1.2. Remuneração do Capital" xr:uid="{70FB97F1-5D70-4B3F-A3AD-976912CCF6D5}"/>
    <hyperlink ref="A196" location="AbaDeprec" display="3.1.1. Depreciação" xr:uid="{DF626D60-E24A-4D78-B4C6-CFFC459C5989}"/>
  </hyperlinks>
  <pageMargins left="0.59055118110236227" right="0.39370078740157483" top="0.59055118110236227" bottom="0.59055118110236227" header="0.31496062992125984" footer="0.31496062992125984"/>
  <pageSetup paperSize="9" scale="81" fitToHeight="0" orientation="portrait" blackAndWhite="1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5"/>
  <sheetViews>
    <sheetView view="pageBreakPreview" topLeftCell="A4" zoomScaleNormal="100" zoomScaleSheetLayoutView="100" workbookViewId="0">
      <selection activeCell="F32" sqref="F32"/>
    </sheetView>
  </sheetViews>
  <sheetFormatPr defaultRowHeight="12.75" x14ac:dyDescent="0.2"/>
  <cols>
    <col min="1" max="1" width="13.140625" style="1" customWidth="1"/>
    <col min="2" max="2" width="52.7109375" style="1" customWidth="1"/>
    <col min="3" max="3" width="16.5703125" style="1" customWidth="1"/>
    <col min="4" max="4" width="37.28515625" style="1" customWidth="1"/>
    <col min="5" max="10" width="9.140625" style="1"/>
    <col min="11" max="11" width="11" style="1" bestFit="1" customWidth="1"/>
    <col min="12" max="16384" width="9.140625" style="1"/>
  </cols>
  <sheetData>
    <row r="1" spans="1:7" x14ac:dyDescent="0.2">
      <c r="A1" s="11" t="s">
        <v>198</v>
      </c>
    </row>
    <row r="2" spans="1:7" x14ac:dyDescent="0.2">
      <c r="A2" s="119" t="s">
        <v>239</v>
      </c>
    </row>
    <row r="3" spans="1:7" s="4" customFormat="1" ht="13.5" thickBot="1" x14ac:dyDescent="0.25">
      <c r="B3" s="5"/>
      <c r="C3" s="5"/>
      <c r="D3" s="5"/>
      <c r="E3" s="5"/>
      <c r="F3" s="5"/>
      <c r="G3" s="6"/>
    </row>
    <row r="4" spans="1:7" ht="18" x14ac:dyDescent="0.2">
      <c r="A4" s="433" t="s">
        <v>223</v>
      </c>
      <c r="B4" s="434"/>
      <c r="C4" s="435"/>
      <c r="D4" s="127"/>
      <c r="E4" s="127"/>
      <c r="F4" s="127"/>
    </row>
    <row r="5" spans="1:7" ht="15" x14ac:dyDescent="0.2">
      <c r="A5" s="221" t="s">
        <v>139</v>
      </c>
      <c r="B5" s="299" t="s">
        <v>140</v>
      </c>
      <c r="C5" s="300" t="s">
        <v>141</v>
      </c>
      <c r="D5" s="144"/>
    </row>
    <row r="6" spans="1:7" ht="14.25" x14ac:dyDescent="0.2">
      <c r="A6" s="142" t="s">
        <v>142</v>
      </c>
      <c r="B6" s="143" t="s">
        <v>41</v>
      </c>
      <c r="C6" s="145">
        <v>0.2</v>
      </c>
      <c r="D6" s="144"/>
    </row>
    <row r="7" spans="1:7" ht="14.25" x14ac:dyDescent="0.2">
      <c r="A7" s="142" t="s">
        <v>143</v>
      </c>
      <c r="B7" s="143" t="s">
        <v>144</v>
      </c>
      <c r="C7" s="145">
        <v>1.4999999999999999E-2</v>
      </c>
      <c r="D7" s="144"/>
    </row>
    <row r="8" spans="1:7" ht="14.25" x14ac:dyDescent="0.2">
      <c r="A8" s="142" t="s">
        <v>145</v>
      </c>
      <c r="B8" s="143" t="s">
        <v>146</v>
      </c>
      <c r="C8" s="145">
        <v>0.01</v>
      </c>
      <c r="D8" s="144"/>
    </row>
    <row r="9" spans="1:7" ht="14.25" x14ac:dyDescent="0.2">
      <c r="A9" s="142" t="s">
        <v>147</v>
      </c>
      <c r="B9" s="143" t="s">
        <v>148</v>
      </c>
      <c r="C9" s="145">
        <v>2E-3</v>
      </c>
      <c r="D9" s="144"/>
    </row>
    <row r="10" spans="1:7" ht="14.25" x14ac:dyDescent="0.2">
      <c r="A10" s="142" t="s">
        <v>149</v>
      </c>
      <c r="B10" s="143" t="s">
        <v>150</v>
      </c>
      <c r="C10" s="145">
        <v>6.0000000000000001E-3</v>
      </c>
      <c r="D10" s="144"/>
    </row>
    <row r="11" spans="1:7" ht="14.25" x14ac:dyDescent="0.2">
      <c r="A11" s="142" t="s">
        <v>151</v>
      </c>
      <c r="B11" s="143" t="s">
        <v>152</v>
      </c>
      <c r="C11" s="145">
        <v>2.5000000000000001E-2</v>
      </c>
      <c r="D11" s="144"/>
    </row>
    <row r="12" spans="1:7" ht="14.25" x14ac:dyDescent="0.2">
      <c r="A12" s="142" t="s">
        <v>153</v>
      </c>
      <c r="B12" s="143" t="s">
        <v>154</v>
      </c>
      <c r="C12" s="145">
        <v>0.03</v>
      </c>
      <c r="D12" s="144"/>
    </row>
    <row r="13" spans="1:7" ht="14.25" x14ac:dyDescent="0.2">
      <c r="A13" s="142" t="s">
        <v>155</v>
      </c>
      <c r="B13" s="143" t="s">
        <v>42</v>
      </c>
      <c r="C13" s="145">
        <v>0.08</v>
      </c>
      <c r="D13" s="144"/>
    </row>
    <row r="14" spans="1:7" ht="15" x14ac:dyDescent="0.2">
      <c r="A14" s="142" t="s">
        <v>156</v>
      </c>
      <c r="B14" s="146" t="s">
        <v>157</v>
      </c>
      <c r="C14" s="147">
        <f>SUM(C6:C13)</f>
        <v>0.36800000000000005</v>
      </c>
      <c r="D14" s="144"/>
    </row>
    <row r="15" spans="1:7" ht="15" x14ac:dyDescent="0.2">
      <c r="A15" s="148"/>
      <c r="B15" s="149"/>
      <c r="C15" s="150"/>
      <c r="D15" s="144"/>
    </row>
    <row r="16" spans="1:7" ht="14.25" x14ac:dyDescent="0.2">
      <c r="A16" s="142" t="s">
        <v>158</v>
      </c>
      <c r="B16" s="151" t="s">
        <v>159</v>
      </c>
      <c r="C16" s="145">
        <v>6.1899999999999997E-2</v>
      </c>
      <c r="D16" s="144"/>
    </row>
    <row r="17" spans="1:8" ht="14.25" x14ac:dyDescent="0.2">
      <c r="A17" s="142" t="s">
        <v>160</v>
      </c>
      <c r="B17" s="151" t="s">
        <v>161</v>
      </c>
      <c r="C17" s="145">
        <v>8.3299999999999999E-2</v>
      </c>
      <c r="D17" s="144"/>
    </row>
    <row r="18" spans="1:8" ht="14.25" x14ac:dyDescent="0.2">
      <c r="A18" s="142" t="s">
        <v>214</v>
      </c>
      <c r="B18" s="151" t="s">
        <v>163</v>
      </c>
      <c r="C18" s="145">
        <v>5.9999999999999995E-4</v>
      </c>
      <c r="D18" s="144"/>
    </row>
    <row r="19" spans="1:8" ht="14.25" x14ac:dyDescent="0.2">
      <c r="A19" s="142" t="s">
        <v>162</v>
      </c>
      <c r="B19" s="151" t="s">
        <v>165</v>
      </c>
      <c r="C19" s="145">
        <v>8.2000000000000007E-3</v>
      </c>
      <c r="D19" s="144"/>
    </row>
    <row r="20" spans="1:8" ht="14.25" x14ac:dyDescent="0.2">
      <c r="A20" s="142" t="s">
        <v>164</v>
      </c>
      <c r="B20" s="151" t="s">
        <v>167</v>
      </c>
      <c r="C20" s="145">
        <v>3.0999999999999999E-3</v>
      </c>
      <c r="D20" s="144"/>
    </row>
    <row r="21" spans="1:8" ht="14.25" x14ac:dyDescent="0.2">
      <c r="A21" s="142" t="s">
        <v>166</v>
      </c>
      <c r="B21" s="151" t="s">
        <v>168</v>
      </c>
      <c r="C21" s="145">
        <v>1.66E-2</v>
      </c>
      <c r="D21" s="144"/>
    </row>
    <row r="22" spans="1:8" ht="15" x14ac:dyDescent="0.2">
      <c r="A22" s="142" t="s">
        <v>169</v>
      </c>
      <c r="B22" s="146" t="s">
        <v>170</v>
      </c>
      <c r="C22" s="147">
        <f>SUM(C16:C21)</f>
        <v>0.17369999999999999</v>
      </c>
      <c r="D22" s="152"/>
    </row>
    <row r="23" spans="1:8" ht="15" x14ac:dyDescent="0.2">
      <c r="A23" s="148"/>
      <c r="B23" s="149"/>
      <c r="C23" s="150"/>
      <c r="D23" s="152"/>
    </row>
    <row r="24" spans="1:8" ht="14.25" x14ac:dyDescent="0.2">
      <c r="A24" s="142" t="s">
        <v>171</v>
      </c>
      <c r="B24" s="143" t="s">
        <v>172</v>
      </c>
      <c r="C24" s="145">
        <v>2.5600000000000001E-2</v>
      </c>
      <c r="D24" s="144"/>
      <c r="E24" s="153"/>
    </row>
    <row r="25" spans="1:8" ht="14.25" x14ac:dyDescent="0.2">
      <c r="A25" s="142" t="s">
        <v>213</v>
      </c>
      <c r="B25" s="143" t="s">
        <v>174</v>
      </c>
      <c r="C25" s="145">
        <v>4.9200000000000001E-2</v>
      </c>
      <c r="D25" s="144"/>
      <c r="H25" s="154"/>
    </row>
    <row r="26" spans="1:8" ht="14.25" x14ac:dyDescent="0.2">
      <c r="A26" s="142" t="s">
        <v>173</v>
      </c>
      <c r="B26" s="143" t="s">
        <v>176</v>
      </c>
      <c r="C26" s="145">
        <f>C24*C25</f>
        <v>1.2595200000000001E-3</v>
      </c>
      <c r="D26" s="144"/>
      <c r="E26" s="153"/>
    </row>
    <row r="27" spans="1:8" ht="14.25" x14ac:dyDescent="0.2">
      <c r="A27" s="142" t="s">
        <v>175</v>
      </c>
      <c r="B27" s="143" t="s">
        <v>178</v>
      </c>
      <c r="C27" s="145">
        <v>2.0500000000000001E-2</v>
      </c>
      <c r="D27" s="144"/>
      <c r="G27" s="153"/>
    </row>
    <row r="28" spans="1:8" ht="14.25" x14ac:dyDescent="0.2">
      <c r="A28" s="142" t="s">
        <v>177</v>
      </c>
      <c r="B28" s="143" t="s">
        <v>179</v>
      </c>
      <c r="C28" s="145">
        <v>1.8E-3</v>
      </c>
      <c r="D28" s="144"/>
    </row>
    <row r="29" spans="1:8" ht="15" x14ac:dyDescent="0.2">
      <c r="A29" s="142" t="s">
        <v>180</v>
      </c>
      <c r="B29" s="146" t="s">
        <v>181</v>
      </c>
      <c r="C29" s="147">
        <f>SUM(C24:C28)</f>
        <v>9.8359520000000006E-2</v>
      </c>
      <c r="D29" s="152"/>
    </row>
    <row r="30" spans="1:8" ht="15" x14ac:dyDescent="0.2">
      <c r="A30" s="148"/>
      <c r="B30" s="149"/>
      <c r="C30" s="150"/>
      <c r="D30" s="152"/>
    </row>
    <row r="31" spans="1:8" ht="14.25" x14ac:dyDescent="0.2">
      <c r="A31" s="142" t="s">
        <v>182</v>
      </c>
      <c r="B31" s="143" t="s">
        <v>183</v>
      </c>
      <c r="C31" s="145">
        <f>ROUND(C14*C22,4)</f>
        <v>6.3899999999999998E-2</v>
      </c>
      <c r="D31" s="144"/>
    </row>
    <row r="32" spans="1:8" ht="14.25" x14ac:dyDescent="0.2">
      <c r="A32" s="142" t="s">
        <v>184</v>
      </c>
      <c r="B32" s="155" t="s">
        <v>280</v>
      </c>
      <c r="C32" s="145">
        <f>ROUND((C24*C13),4)</f>
        <v>2E-3</v>
      </c>
      <c r="D32" s="144"/>
    </row>
    <row r="33" spans="1:4" ht="15" x14ac:dyDescent="0.2">
      <c r="A33" s="142" t="s">
        <v>185</v>
      </c>
      <c r="B33" s="146" t="s">
        <v>186</v>
      </c>
      <c r="C33" s="147">
        <f>SUM(C31:C32)</f>
        <v>6.59E-2</v>
      </c>
      <c r="D33" s="152"/>
    </row>
    <row r="34" spans="1:4" ht="15.75" thickBot="1" x14ac:dyDescent="0.25">
      <c r="A34" s="156"/>
      <c r="B34" s="157" t="s">
        <v>187</v>
      </c>
      <c r="C34" s="158">
        <f>C33+C29+C22+C14</f>
        <v>0.70595951999999995</v>
      </c>
      <c r="D34" s="152"/>
    </row>
    <row r="35" spans="1:4" ht="15" x14ac:dyDescent="0.2">
      <c r="A35" s="144"/>
      <c r="B35" s="159"/>
      <c r="C35" s="160"/>
      <c r="D35" s="152"/>
    </row>
    <row r="36" spans="1:4" ht="14.25" x14ac:dyDescent="0.2">
      <c r="A36" s="144"/>
      <c r="B36" s="144"/>
      <c r="C36" s="161"/>
      <c r="D36" s="144"/>
    </row>
    <row r="37" spans="1:4" ht="14.25" x14ac:dyDescent="0.2">
      <c r="A37" s="144"/>
      <c r="B37" s="144"/>
      <c r="C37" s="161"/>
      <c r="D37" s="144"/>
    </row>
    <row r="38" spans="1:4" ht="14.25" x14ac:dyDescent="0.2">
      <c r="A38" s="144"/>
      <c r="B38" s="144"/>
      <c r="C38" s="161"/>
      <c r="D38" s="144"/>
    </row>
    <row r="39" spans="1:4" ht="15" x14ac:dyDescent="0.2">
      <c r="A39" s="144"/>
      <c r="B39" s="159"/>
      <c r="C39" s="160"/>
      <c r="D39" s="144"/>
    </row>
    <row r="40" spans="1:4" ht="15" x14ac:dyDescent="0.2">
      <c r="A40" s="152"/>
      <c r="B40" s="159"/>
      <c r="C40" s="160"/>
      <c r="D40" s="152"/>
    </row>
    <row r="41" spans="1:4" ht="16.5" x14ac:dyDescent="0.2">
      <c r="A41" s="162"/>
    </row>
    <row r="42" spans="1:4" x14ac:dyDescent="0.2">
      <c r="A42" s="163"/>
      <c r="B42" s="164"/>
      <c r="C42" s="164"/>
    </row>
    <row r="43" spans="1:4" ht="14.25" x14ac:dyDescent="0.2">
      <c r="A43" s="144"/>
      <c r="B43" s="165"/>
      <c r="C43" s="164"/>
    </row>
    <row r="44" spans="1:4" ht="14.25" x14ac:dyDescent="0.2">
      <c r="A44" s="144"/>
      <c r="B44" s="165"/>
      <c r="C44" s="144"/>
    </row>
    <row r="45" spans="1:4" ht="14.25" x14ac:dyDescent="0.2">
      <c r="A45" s="144"/>
      <c r="B45" s="161"/>
      <c r="C45" s="164"/>
    </row>
    <row r="46" spans="1:4" ht="14.25" x14ac:dyDescent="0.2">
      <c r="A46" s="144"/>
      <c r="B46" s="165"/>
      <c r="C46" s="144"/>
    </row>
    <row r="47" spans="1:4" ht="14.25" x14ac:dyDescent="0.2">
      <c r="A47" s="144"/>
      <c r="B47" s="161"/>
      <c r="C47" s="164"/>
    </row>
    <row r="48" spans="1:4" ht="14.25" x14ac:dyDescent="0.2">
      <c r="A48" s="144"/>
      <c r="B48" s="165"/>
      <c r="C48" s="144"/>
    </row>
    <row r="49" spans="1:3" ht="14.25" x14ac:dyDescent="0.2">
      <c r="A49" s="144"/>
      <c r="B49" s="161"/>
      <c r="C49" s="164"/>
    </row>
    <row r="50" spans="1:3" ht="14.25" x14ac:dyDescent="0.2">
      <c r="A50" s="144"/>
      <c r="B50" s="165"/>
      <c r="C50" s="144"/>
    </row>
    <row r="51" spans="1:3" ht="14.25" x14ac:dyDescent="0.2">
      <c r="A51" s="144"/>
      <c r="B51" s="161"/>
      <c r="C51" s="164"/>
    </row>
    <row r="52" spans="1:3" ht="16.5" x14ac:dyDescent="0.2">
      <c r="A52" s="162"/>
    </row>
    <row r="55" spans="1:3" x14ac:dyDescent="0.2">
      <c r="A55" s="166"/>
    </row>
  </sheetData>
  <mergeCells count="1">
    <mergeCell ref="A4:C4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5"/>
  <sheetViews>
    <sheetView zoomScaleNormal="100" workbookViewId="0">
      <selection activeCell="E18" sqref="E18"/>
    </sheetView>
  </sheetViews>
  <sheetFormatPr defaultRowHeight="12.75" x14ac:dyDescent="0.2"/>
  <cols>
    <col min="1" max="1" width="8.5703125" style="1" customWidth="1"/>
    <col min="2" max="2" width="67.140625" style="1" customWidth="1"/>
    <col min="3" max="3" width="13.7109375" style="1" customWidth="1"/>
    <col min="4" max="4" width="10.28515625" style="1" customWidth="1"/>
    <col min="5" max="5" width="13.7109375" style="1" customWidth="1"/>
    <col min="6" max="16384" width="9.140625" style="1"/>
  </cols>
  <sheetData>
    <row r="1" spans="1:3" x14ac:dyDescent="0.2">
      <c r="A1" s="93" t="s">
        <v>235</v>
      </c>
    </row>
    <row r="3" spans="1:3" x14ac:dyDescent="0.2">
      <c r="A3" s="253" t="s">
        <v>292</v>
      </c>
    </row>
    <row r="5" spans="1:3" x14ac:dyDescent="0.2">
      <c r="A5" s="253" t="s">
        <v>291</v>
      </c>
    </row>
    <row r="6" spans="1:3" ht="13.5" thickBot="1" x14ac:dyDescent="0.25"/>
    <row r="7" spans="1:3" ht="18" x14ac:dyDescent="0.25">
      <c r="B7" s="436" t="s">
        <v>221</v>
      </c>
      <c r="C7" s="437"/>
    </row>
    <row r="8" spans="1:3" ht="15" x14ac:dyDescent="0.25">
      <c r="B8" s="131" t="s">
        <v>201</v>
      </c>
      <c r="C8" s="167"/>
    </row>
    <row r="9" spans="1:3" ht="15" x14ac:dyDescent="0.25">
      <c r="B9" s="132" t="s">
        <v>123</v>
      </c>
      <c r="C9" s="133"/>
    </row>
    <row r="10" spans="1:3" ht="15" x14ac:dyDescent="0.25">
      <c r="B10" s="134" t="s">
        <v>124</v>
      </c>
      <c r="C10" s="133"/>
    </row>
    <row r="11" spans="1:3" ht="14.25" x14ac:dyDescent="0.2">
      <c r="B11" s="168" t="s">
        <v>125</v>
      </c>
      <c r="C11" s="169"/>
    </row>
    <row r="12" spans="1:3" ht="14.25" x14ac:dyDescent="0.2">
      <c r="B12" s="168" t="s">
        <v>126</v>
      </c>
      <c r="C12" s="169"/>
    </row>
    <row r="13" spans="1:3" ht="14.25" x14ac:dyDescent="0.2">
      <c r="B13" s="168" t="s">
        <v>127</v>
      </c>
      <c r="C13" s="169"/>
    </row>
    <row r="14" spans="1:3" ht="14.25" x14ac:dyDescent="0.2">
      <c r="B14" s="168" t="s">
        <v>128</v>
      </c>
      <c r="C14" s="169"/>
    </row>
    <row r="15" spans="1:3" ht="14.25" x14ac:dyDescent="0.2">
      <c r="B15" s="168" t="s">
        <v>129</v>
      </c>
      <c r="C15" s="169"/>
    </row>
    <row r="16" spans="1:3" ht="14.25" x14ac:dyDescent="0.2">
      <c r="B16" s="168" t="s">
        <v>130</v>
      </c>
      <c r="C16" s="169"/>
    </row>
    <row r="17" spans="1:5" ht="14.25" x14ac:dyDescent="0.2">
      <c r="B17" s="168" t="s">
        <v>131</v>
      </c>
      <c r="C17" s="169"/>
    </row>
    <row r="18" spans="1:5" ht="14.25" x14ac:dyDescent="0.2">
      <c r="B18" s="170" t="s">
        <v>132</v>
      </c>
      <c r="C18" s="171"/>
    </row>
    <row r="19" spans="1:5" ht="14.25" x14ac:dyDescent="0.2">
      <c r="B19" s="259" t="s">
        <v>287</v>
      </c>
      <c r="C19" s="171"/>
    </row>
    <row r="20" spans="1:5" ht="15" x14ac:dyDescent="0.25">
      <c r="A20" s="1" t="s">
        <v>133</v>
      </c>
      <c r="B20" s="131" t="s">
        <v>134</v>
      </c>
      <c r="C20" s="167"/>
    </row>
    <row r="21" spans="1:5" ht="14.25" x14ac:dyDescent="0.2">
      <c r="B21" s="172" t="s">
        <v>289</v>
      </c>
      <c r="C21" s="173"/>
    </row>
    <row r="22" spans="1:5" ht="14.25" x14ac:dyDescent="0.2">
      <c r="B22" s="168" t="s">
        <v>290</v>
      </c>
      <c r="C22" s="169"/>
    </row>
    <row r="23" spans="1:5" ht="14.25" x14ac:dyDescent="0.2">
      <c r="B23" s="168" t="s">
        <v>288</v>
      </c>
      <c r="C23" s="187">
        <f>C9-C10</f>
        <v>0</v>
      </c>
    </row>
    <row r="24" spans="1:5" ht="14.25" x14ac:dyDescent="0.2">
      <c r="B24" s="174"/>
      <c r="C24" s="175"/>
    </row>
    <row r="25" spans="1:5" s="93" customFormat="1" ht="15" x14ac:dyDescent="0.25">
      <c r="B25" s="132" t="s">
        <v>136</v>
      </c>
      <c r="C25" s="176" t="e">
        <f>MEDIAN(C21,C22)</f>
        <v>#NUM!</v>
      </c>
    </row>
    <row r="26" spans="1:5" ht="15" x14ac:dyDescent="0.25">
      <c r="B26" s="134" t="s">
        <v>285</v>
      </c>
      <c r="C26" s="257" t="e">
        <f>C12/C25</f>
        <v>#NUM!</v>
      </c>
    </row>
    <row r="27" spans="1:5" ht="15" x14ac:dyDescent="0.25">
      <c r="B27" s="134" t="s">
        <v>286</v>
      </c>
      <c r="C27" s="257" t="e">
        <f>MEDIAN(C9,C10)/C25</f>
        <v>#NUM!</v>
      </c>
      <c r="E27" s="231"/>
    </row>
    <row r="28" spans="1:5" s="93" customFormat="1" ht="15" x14ac:dyDescent="0.25">
      <c r="B28" s="134" t="s">
        <v>240</v>
      </c>
      <c r="C28" s="255" t="e">
        <f>12/C27</f>
        <v>#NUM!</v>
      </c>
    </row>
    <row r="29" spans="1:5" ht="15" x14ac:dyDescent="0.25">
      <c r="B29" s="134" t="s">
        <v>135</v>
      </c>
      <c r="C29" s="136">
        <v>360</v>
      </c>
    </row>
    <row r="30" spans="1:5" ht="15" x14ac:dyDescent="0.25">
      <c r="B30" s="134" t="s">
        <v>236</v>
      </c>
      <c r="C30" s="136">
        <v>10</v>
      </c>
    </row>
    <row r="31" spans="1:5" ht="15" x14ac:dyDescent="0.25">
      <c r="B31" s="132" t="s">
        <v>237</v>
      </c>
      <c r="C31" s="135">
        <v>30</v>
      </c>
    </row>
    <row r="32" spans="1:5" ht="15" x14ac:dyDescent="0.25">
      <c r="B32" s="132" t="s">
        <v>238</v>
      </c>
      <c r="C32" s="135">
        <v>30</v>
      </c>
    </row>
    <row r="33" spans="2:4" s="93" customFormat="1" ht="15" x14ac:dyDescent="0.25">
      <c r="B33" s="132" t="s">
        <v>138</v>
      </c>
      <c r="C33" s="135" t="e">
        <f>30+(3*TRUNC(1/C27))</f>
        <v>#NUM!</v>
      </c>
    </row>
    <row r="34" spans="2:4" s="93" customFormat="1" ht="15" x14ac:dyDescent="0.25">
      <c r="B34" s="134" t="s">
        <v>42</v>
      </c>
      <c r="C34" s="256">
        <v>0.08</v>
      </c>
    </row>
    <row r="35" spans="2:4" s="93" customFormat="1" ht="15.75" thickBot="1" x14ac:dyDescent="0.3">
      <c r="B35" s="137" t="s">
        <v>137</v>
      </c>
      <c r="C35" s="258">
        <v>0.4</v>
      </c>
      <c r="D35" s="93" t="s">
        <v>293</v>
      </c>
    </row>
  </sheetData>
  <mergeCells count="1">
    <mergeCell ref="B7:C7"/>
  </mergeCells>
  <pageMargins left="0.90551181102362199" right="0.51181102362204722" top="0.74803149606299213" bottom="0.74803149606299213" header="0.31496062992125984" footer="0.31496062992125984"/>
  <pageSetup paperSize="9" scale="98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4"/>
  <sheetViews>
    <sheetView view="pageBreakPreview" zoomScaleNormal="100" zoomScaleSheetLayoutView="100" workbookViewId="0">
      <selection activeCell="H19" sqref="H19"/>
    </sheetView>
  </sheetViews>
  <sheetFormatPr defaultRowHeight="12.75" x14ac:dyDescent="0.2"/>
  <cols>
    <col min="1" max="1" width="50.7109375" customWidth="1"/>
    <col min="2" max="2" width="14.5703125" customWidth="1"/>
    <col min="3" max="3" width="15.42578125" customWidth="1"/>
    <col min="4" max="4" width="9.7109375" hidden="1" customWidth="1"/>
    <col min="5" max="5" width="8" style="103" hidden="1" customWidth="1"/>
    <col min="6" max="6" width="9.7109375" hidden="1" customWidth="1"/>
    <col min="7" max="7" width="12" bestFit="1" customWidth="1"/>
    <col min="8" max="8" width="10.5703125" bestFit="1" customWidth="1"/>
    <col min="9" max="9" width="10.140625" bestFit="1" customWidth="1"/>
  </cols>
  <sheetData>
    <row r="1" spans="1:14" s="124" customFormat="1" ht="14.25" x14ac:dyDescent="0.2">
      <c r="A1" s="441" t="s">
        <v>198</v>
      </c>
      <c r="B1" s="441"/>
      <c r="C1" s="441"/>
      <c r="D1" s="441"/>
      <c r="E1" s="441"/>
      <c r="F1" s="441"/>
    </row>
    <row r="2" spans="1:14" s="124" customFormat="1" ht="14.25" x14ac:dyDescent="0.2">
      <c r="A2" s="440" t="s">
        <v>241</v>
      </c>
      <c r="B2" s="440"/>
      <c r="C2" s="440"/>
      <c r="D2" s="440"/>
      <c r="E2" s="440"/>
      <c r="F2" s="440"/>
    </row>
    <row r="3" spans="1:14" s="124" customFormat="1" ht="14.25" x14ac:dyDescent="0.2">
      <c r="A3" s="439" t="s">
        <v>199</v>
      </c>
      <c r="B3" s="439"/>
      <c r="C3" s="439"/>
      <c r="D3" s="439"/>
      <c r="E3" s="439"/>
      <c r="F3" s="439"/>
    </row>
    <row r="4" spans="1:14" s="394" customFormat="1" ht="16.5" customHeight="1" x14ac:dyDescent="0.2">
      <c r="A4" s="438"/>
      <c r="B4" s="438"/>
      <c r="C4" s="438"/>
      <c r="D4" s="438"/>
      <c r="E4" s="438"/>
      <c r="F4" s="438"/>
      <c r="G4" s="393"/>
    </row>
    <row r="5" spans="1:14" s="124" customFormat="1" ht="15" thickBot="1" x14ac:dyDescent="0.25">
      <c r="B5" s="8"/>
      <c r="C5" s="8"/>
      <c r="E5" s="125"/>
    </row>
    <row r="6" spans="1:14" ht="15.75" x14ac:dyDescent="0.2">
      <c r="A6" s="445" t="s">
        <v>222</v>
      </c>
      <c r="B6" s="446"/>
      <c r="C6" s="446"/>
      <c r="D6" s="446"/>
      <c r="E6" s="446"/>
      <c r="F6" s="447"/>
    </row>
    <row r="7" spans="1:14" ht="16.5" thickBot="1" x14ac:dyDescent="0.25">
      <c r="A7" s="301"/>
      <c r="B7" s="292"/>
      <c r="C7" s="292"/>
      <c r="D7" s="292"/>
      <c r="E7" s="292"/>
      <c r="F7" s="302"/>
    </row>
    <row r="8" spans="1:14" ht="15" x14ac:dyDescent="0.25">
      <c r="A8" s="303"/>
      <c r="B8" s="8"/>
      <c r="C8" s="8"/>
      <c r="D8" s="448" t="s">
        <v>316</v>
      </c>
      <c r="E8" s="449"/>
      <c r="F8" s="450"/>
    </row>
    <row r="9" spans="1:14" ht="15" thickBot="1" x14ac:dyDescent="0.25">
      <c r="A9" s="174"/>
      <c r="B9" s="124"/>
      <c r="C9" s="124"/>
      <c r="D9" s="304" t="s">
        <v>317</v>
      </c>
      <c r="E9" s="305" t="s">
        <v>318</v>
      </c>
      <c r="F9" s="306" t="s">
        <v>319</v>
      </c>
    </row>
    <row r="10" spans="1:14" ht="14.25" x14ac:dyDescent="0.2">
      <c r="A10" s="177" t="s">
        <v>73</v>
      </c>
      <c r="B10" s="178" t="s">
        <v>74</v>
      </c>
      <c r="C10" s="179">
        <v>2.9700000000000001E-2</v>
      </c>
      <c r="D10" s="200">
        <v>2.9700000000000001E-2</v>
      </c>
      <c r="E10" s="201">
        <v>5.0799999999999998E-2</v>
      </c>
      <c r="F10" s="202">
        <v>6.2700000000000006E-2</v>
      </c>
      <c r="G10" s="124"/>
      <c r="H10" s="279"/>
    </row>
    <row r="11" spans="1:14" ht="14.25" x14ac:dyDescent="0.2">
      <c r="A11" s="181" t="s">
        <v>75</v>
      </c>
      <c r="B11" s="182" t="s">
        <v>76</v>
      </c>
      <c r="C11" s="183">
        <v>8.6E-3</v>
      </c>
      <c r="D11" s="200">
        <f>0.3%+0.56%</f>
        <v>8.6E-3</v>
      </c>
      <c r="E11" s="201">
        <f>0.48%+0.85%</f>
        <v>1.3299999999999999E-2</v>
      </c>
      <c r="F11" s="202">
        <f>0.82%+0.89%</f>
        <v>1.7099999999999997E-2</v>
      </c>
      <c r="G11" s="124"/>
      <c r="H11" s="279"/>
    </row>
    <row r="12" spans="1:14" ht="14.25" x14ac:dyDescent="0.2">
      <c r="A12" s="181" t="s">
        <v>77</v>
      </c>
      <c r="B12" s="182" t="s">
        <v>78</v>
      </c>
      <c r="C12" s="183">
        <v>0.10199999999999999</v>
      </c>
      <c r="D12" s="200">
        <v>7.7799999999999994E-2</v>
      </c>
      <c r="E12" s="201">
        <v>0.1085</v>
      </c>
      <c r="F12" s="202">
        <v>0.13550000000000001</v>
      </c>
      <c r="G12" s="124"/>
      <c r="H12" s="279"/>
    </row>
    <row r="13" spans="1:14" ht="14.25" x14ac:dyDescent="0.2">
      <c r="A13" s="181" t="s">
        <v>79</v>
      </c>
      <c r="B13" s="182" t="s">
        <v>80</v>
      </c>
      <c r="C13" s="184">
        <f>(1+E13)^(E14/252)-1</f>
        <v>2.0452168217350852E-3</v>
      </c>
      <c r="D13" s="200" t="s">
        <v>276</v>
      </c>
      <c r="E13" s="185">
        <v>0.02</v>
      </c>
      <c r="F13" s="180"/>
      <c r="G13" s="124"/>
      <c r="H13" s="279"/>
      <c r="I13" s="321"/>
    </row>
    <row r="14" spans="1:14" ht="14.25" x14ac:dyDescent="0.2">
      <c r="A14" s="181" t="s">
        <v>81</v>
      </c>
      <c r="B14" s="442" t="s">
        <v>82</v>
      </c>
      <c r="C14" s="183">
        <v>0.05</v>
      </c>
      <c r="D14" s="251" t="s">
        <v>188</v>
      </c>
      <c r="E14" s="186">
        <v>26</v>
      </c>
      <c r="F14" s="187"/>
      <c r="G14" s="124"/>
      <c r="H14" s="280"/>
      <c r="I14" s="321"/>
      <c r="N14" s="124"/>
    </row>
    <row r="15" spans="1:14" ht="14.25" x14ac:dyDescent="0.2">
      <c r="A15" s="181" t="s">
        <v>83</v>
      </c>
      <c r="B15" s="443"/>
      <c r="C15" s="293">
        <v>3.6499999999999998E-2</v>
      </c>
      <c r="D15" s="251"/>
      <c r="E15" s="186"/>
      <c r="F15" s="187"/>
      <c r="G15" s="124"/>
      <c r="H15" s="280"/>
      <c r="N15" s="124"/>
    </row>
    <row r="16" spans="1:14" ht="15" thickBot="1" x14ac:dyDescent="0.25">
      <c r="A16" s="188" t="s">
        <v>313</v>
      </c>
      <c r="B16" s="444"/>
      <c r="C16" s="189"/>
      <c r="D16" s="168"/>
      <c r="E16" s="190"/>
      <c r="F16" s="187"/>
      <c r="G16" s="124"/>
      <c r="H16" s="280"/>
      <c r="N16" s="124"/>
    </row>
    <row r="17" spans="1:8" ht="14.25" x14ac:dyDescent="0.2">
      <c r="A17" s="191" t="s">
        <v>84</v>
      </c>
      <c r="B17" s="192"/>
      <c r="C17" s="193"/>
      <c r="D17" s="168"/>
      <c r="E17" s="190"/>
      <c r="F17" s="187"/>
      <c r="G17" s="124"/>
    </row>
    <row r="18" spans="1:8" ht="15" thickBot="1" x14ac:dyDescent="0.25">
      <c r="A18" s="194" t="s">
        <v>85</v>
      </c>
      <c r="B18" s="195"/>
      <c r="C18" s="196"/>
      <c r="D18" s="168"/>
      <c r="E18" s="190"/>
      <c r="F18" s="187"/>
      <c r="G18" s="124"/>
      <c r="H18" s="124"/>
    </row>
    <row r="19" spans="1:8" ht="15.75" thickBot="1" x14ac:dyDescent="0.25">
      <c r="A19" s="197" t="s">
        <v>86</v>
      </c>
      <c r="B19" s="198"/>
      <c r="C19" s="199">
        <f>ROUND((((1+C10+C11)*(1+C12)*(1+C13))/(1-(C14+C15+C16)))-1,4)</f>
        <v>0.25509999999999999</v>
      </c>
      <c r="D19" s="203">
        <v>0.21429999999999999</v>
      </c>
      <c r="E19" s="204">
        <v>0.2717</v>
      </c>
      <c r="F19" s="205">
        <v>0.3362</v>
      </c>
      <c r="G19" s="124"/>
      <c r="H19" s="281"/>
    </row>
    <row r="20" spans="1:8" ht="14.25" x14ac:dyDescent="0.2">
      <c r="A20" s="124"/>
      <c r="B20" s="124"/>
      <c r="C20" s="124"/>
      <c r="D20" s="124"/>
      <c r="E20" s="125"/>
      <c r="F20" s="124"/>
      <c r="G20" s="124"/>
      <c r="H20" s="124"/>
    </row>
    <row r="21" spans="1:8" ht="14.25" x14ac:dyDescent="0.2">
      <c r="A21" s="124"/>
      <c r="B21" s="124"/>
      <c r="C21" s="124"/>
      <c r="D21" s="124"/>
      <c r="E21" s="125"/>
      <c r="F21" s="124"/>
      <c r="G21" s="124"/>
      <c r="H21" s="124"/>
    </row>
    <row r="22" spans="1:8" ht="14.25" x14ac:dyDescent="0.2">
      <c r="A22" s="124"/>
      <c r="B22" s="124"/>
      <c r="C22" s="124"/>
      <c r="D22" s="124"/>
      <c r="E22" s="125"/>
      <c r="F22" s="124"/>
      <c r="G22" s="403"/>
      <c r="H22" s="124"/>
    </row>
    <row r="23" spans="1:8" ht="14.25" x14ac:dyDescent="0.2">
      <c r="A23" s="124"/>
      <c r="B23" s="124"/>
      <c r="C23" s="281"/>
      <c r="D23" s="124"/>
      <c r="E23" s="125"/>
      <c r="F23" s="124"/>
      <c r="G23" s="124"/>
      <c r="H23" s="124"/>
    </row>
    <row r="24" spans="1:8" x14ac:dyDescent="0.2">
      <c r="H24" s="396"/>
    </row>
  </sheetData>
  <mergeCells count="7">
    <mergeCell ref="A4:F4"/>
    <mergeCell ref="A3:F3"/>
    <mergeCell ref="A2:F2"/>
    <mergeCell ref="A1:F1"/>
    <mergeCell ref="B14:B16"/>
    <mergeCell ref="A6:F6"/>
    <mergeCell ref="D8:F8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7"/>
  <sheetViews>
    <sheetView view="pageBreakPreview" zoomScaleNormal="100" zoomScaleSheetLayoutView="100" workbookViewId="0">
      <selection activeCell="F32" sqref="F32"/>
    </sheetView>
  </sheetViews>
  <sheetFormatPr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451" t="s">
        <v>224</v>
      </c>
      <c r="B1" s="452"/>
    </row>
    <row r="2" spans="1:2" s="93" customFormat="1" ht="19.5" customHeight="1" x14ac:dyDescent="0.2">
      <c r="A2" s="221" t="s">
        <v>202</v>
      </c>
      <c r="B2" s="222" t="s">
        <v>278</v>
      </c>
    </row>
    <row r="3" spans="1:2" ht="19.5" customHeight="1" x14ac:dyDescent="0.2">
      <c r="A3" s="139">
        <v>1</v>
      </c>
      <c r="B3" s="138">
        <v>33.629999999999995</v>
      </c>
    </row>
    <row r="4" spans="1:2" ht="19.5" customHeight="1" x14ac:dyDescent="0.2">
      <c r="A4" s="139">
        <v>2</v>
      </c>
      <c r="B4" s="138">
        <v>43.13</v>
      </c>
    </row>
    <row r="5" spans="1:2" ht="19.5" customHeight="1" x14ac:dyDescent="0.2">
      <c r="A5" s="139">
        <v>3</v>
      </c>
      <c r="B5" s="138">
        <v>48.68</v>
      </c>
    </row>
    <row r="6" spans="1:2" ht="19.5" customHeight="1" x14ac:dyDescent="0.2">
      <c r="A6" s="139">
        <v>4</v>
      </c>
      <c r="B6" s="138">
        <v>52.62</v>
      </c>
    </row>
    <row r="7" spans="1:2" ht="19.5" customHeight="1" x14ac:dyDescent="0.2">
      <c r="A7" s="139">
        <v>5</v>
      </c>
      <c r="B7" s="138">
        <v>55.679999999999993</v>
      </c>
    </row>
    <row r="8" spans="1:2" ht="19.5" customHeight="1" x14ac:dyDescent="0.2">
      <c r="A8" s="139">
        <v>6</v>
      </c>
      <c r="B8" s="138">
        <v>58.18</v>
      </c>
    </row>
    <row r="9" spans="1:2" ht="19.5" customHeight="1" x14ac:dyDescent="0.2">
      <c r="A9" s="139">
        <v>7</v>
      </c>
      <c r="B9" s="138">
        <v>60.29</v>
      </c>
    </row>
    <row r="10" spans="1:2" ht="19.5" customHeight="1" x14ac:dyDescent="0.2">
      <c r="A10" s="139">
        <v>8</v>
      </c>
      <c r="B10" s="138">
        <v>62.12</v>
      </c>
    </row>
    <row r="11" spans="1:2" ht="19.5" customHeight="1" x14ac:dyDescent="0.2">
      <c r="A11" s="139">
        <v>9</v>
      </c>
      <c r="B11" s="138">
        <v>63.73</v>
      </c>
    </row>
    <row r="12" spans="1:2" ht="19.5" customHeight="1" x14ac:dyDescent="0.2">
      <c r="A12" s="139">
        <v>10</v>
      </c>
      <c r="B12" s="138">
        <v>65.180000000000007</v>
      </c>
    </row>
    <row r="13" spans="1:2" ht="19.5" customHeight="1" x14ac:dyDescent="0.2">
      <c r="A13" s="139">
        <v>11</v>
      </c>
      <c r="B13" s="138">
        <v>66.47999999999999</v>
      </c>
    </row>
    <row r="14" spans="1:2" ht="19.5" customHeight="1" x14ac:dyDescent="0.2">
      <c r="A14" s="139">
        <v>12</v>
      </c>
      <c r="B14" s="138">
        <v>67.67</v>
      </c>
    </row>
    <row r="15" spans="1:2" ht="19.5" customHeight="1" x14ac:dyDescent="0.2">
      <c r="A15" s="139">
        <v>13</v>
      </c>
      <c r="B15" s="138">
        <v>68.77</v>
      </c>
    </row>
    <row r="16" spans="1:2" ht="19.5" customHeight="1" x14ac:dyDescent="0.2">
      <c r="A16" s="139">
        <v>14</v>
      </c>
      <c r="B16" s="138">
        <v>69.789999999999992</v>
      </c>
    </row>
    <row r="17" spans="1:2" ht="19.5" customHeight="1" thickBot="1" x14ac:dyDescent="0.25">
      <c r="A17" s="140">
        <v>15</v>
      </c>
      <c r="B17" s="141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7"/>
  <sheetViews>
    <sheetView view="pageBreakPreview" zoomScaleNormal="100" zoomScaleSheetLayoutView="100" workbookViewId="0">
      <selection activeCell="F32" sqref="F32"/>
    </sheetView>
  </sheetViews>
  <sheetFormatPr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09" t="s">
        <v>228</v>
      </c>
    </row>
    <row r="2" spans="1:1" x14ac:dyDescent="0.2">
      <c r="A2" s="206"/>
    </row>
    <row r="3" spans="1:1" x14ac:dyDescent="0.2">
      <c r="A3" s="206" t="s">
        <v>242</v>
      </c>
    </row>
    <row r="4" spans="1:1" x14ac:dyDescent="0.2">
      <c r="A4" s="206"/>
    </row>
    <row r="5" spans="1:1" x14ac:dyDescent="0.2">
      <c r="A5" s="206"/>
    </row>
    <row r="6" spans="1:1" x14ac:dyDescent="0.2">
      <c r="A6" s="206"/>
    </row>
    <row r="7" spans="1:1" x14ac:dyDescent="0.2">
      <c r="A7" s="206"/>
    </row>
    <row r="8" spans="1:1" x14ac:dyDescent="0.2">
      <c r="A8" s="206"/>
    </row>
    <row r="9" spans="1:1" x14ac:dyDescent="0.2">
      <c r="A9" s="206"/>
    </row>
    <row r="10" spans="1:1" x14ac:dyDescent="0.2">
      <c r="A10" s="206"/>
    </row>
    <row r="11" spans="1:1" x14ac:dyDescent="0.2">
      <c r="A11" s="206"/>
    </row>
    <row r="12" spans="1:1" ht="19.5" x14ac:dyDescent="0.35">
      <c r="A12" s="207" t="s">
        <v>225</v>
      </c>
    </row>
    <row r="13" spans="1:1" ht="15" x14ac:dyDescent="0.2">
      <c r="A13" s="207" t="s">
        <v>107</v>
      </c>
    </row>
    <row r="14" spans="1:1" ht="15" x14ac:dyDescent="0.2">
      <c r="A14" s="207" t="s">
        <v>112</v>
      </c>
    </row>
    <row r="15" spans="1:1" ht="19.5" x14ac:dyDescent="0.35">
      <c r="A15" s="207" t="s">
        <v>226</v>
      </c>
    </row>
    <row r="16" spans="1:1" ht="19.5" x14ac:dyDescent="0.35">
      <c r="A16" s="207" t="s">
        <v>227</v>
      </c>
    </row>
    <row r="17" spans="1:1" ht="15.75" thickBot="1" x14ac:dyDescent="0.25">
      <c r="A17" s="208" t="s">
        <v>108</v>
      </c>
    </row>
  </sheetData>
  <pageMargins left="0.90551181102362199" right="0.51181102362204722" top="0.74803149606299213" bottom="0.74803149606299213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24"/>
  <sheetViews>
    <sheetView zoomScaleNormal="100" workbookViewId="0">
      <selection activeCell="F36" sqref="F36"/>
    </sheetView>
  </sheetViews>
  <sheetFormatPr defaultRowHeight="12.75" x14ac:dyDescent="0.2"/>
  <cols>
    <col min="1" max="1" width="58.28515625" style="231" customWidth="1"/>
    <col min="2" max="2" width="11.140625" style="231" bestFit="1" customWidth="1"/>
    <col min="3" max="3" width="11.7109375" style="231" customWidth="1"/>
    <col min="4" max="11" width="9.140625" style="231"/>
    <col min="12" max="12" width="9.140625" style="231" bestFit="1" customWidth="1"/>
    <col min="13" max="13" width="11.7109375" style="231" bestFit="1" customWidth="1"/>
    <col min="14" max="14" width="6.5703125" style="231" bestFit="1" customWidth="1"/>
    <col min="15" max="16384" width="9.140625" style="231"/>
  </cols>
  <sheetData>
    <row r="1" spans="1:14" x14ac:dyDescent="0.2">
      <c r="A1" s="11" t="s">
        <v>198</v>
      </c>
    </row>
    <row r="2" spans="1:14" x14ac:dyDescent="0.2">
      <c r="A2" s="236" t="s">
        <v>253</v>
      </c>
    </row>
    <row r="3" spans="1:14" x14ac:dyDescent="0.2">
      <c r="A3" s="236" t="s">
        <v>279</v>
      </c>
    </row>
    <row r="4" spans="1:14" x14ac:dyDescent="0.2">
      <c r="A4" s="7" t="s">
        <v>277</v>
      </c>
    </row>
    <row r="5" spans="1:14" x14ac:dyDescent="0.2">
      <c r="A5" s="7"/>
    </row>
    <row r="6" spans="1:14" s="4" customFormat="1" ht="15.6" customHeight="1" x14ac:dyDescent="0.2">
      <c r="A6" s="252" t="s">
        <v>284</v>
      </c>
      <c r="B6" s="5"/>
      <c r="C6" s="5"/>
      <c r="D6" s="5"/>
      <c r="E6" s="5"/>
      <c r="F6" s="5"/>
      <c r="G6" s="6"/>
    </row>
    <row r="7" spans="1:14" s="4" customFormat="1" ht="16.5" customHeight="1" x14ac:dyDescent="0.2">
      <c r="A7" s="252" t="s">
        <v>281</v>
      </c>
      <c r="B7" s="5"/>
      <c r="C7" s="5"/>
      <c r="D7" s="6"/>
      <c r="E7" s="6"/>
      <c r="F7" s="6"/>
      <c r="G7" s="6"/>
    </row>
    <row r="8" spans="1:14" ht="13.5" thickBot="1" x14ac:dyDescent="0.25">
      <c r="L8" s="278">
        <v>934.17</v>
      </c>
      <c r="M8" s="278">
        <v>204117.75</v>
      </c>
      <c r="N8" s="278">
        <f t="shared" ref="N8:N19" si="0">M8/L8</f>
        <v>218.50171810270081</v>
      </c>
    </row>
    <row r="9" spans="1:14" ht="18" x14ac:dyDescent="0.25">
      <c r="A9" s="453" t="s">
        <v>273</v>
      </c>
      <c r="B9" s="454"/>
      <c r="C9" s="455"/>
      <c r="L9" s="278">
        <v>876.1</v>
      </c>
      <c r="M9" s="278">
        <v>191427.85</v>
      </c>
      <c r="N9" s="278">
        <f t="shared" si="0"/>
        <v>218.5</v>
      </c>
    </row>
    <row r="10" spans="1:14" ht="18" x14ac:dyDescent="0.25">
      <c r="A10" s="248"/>
      <c r="B10" s="247"/>
      <c r="C10" s="249"/>
      <c r="L10" s="278">
        <v>835.51</v>
      </c>
      <c r="M10" s="278">
        <v>182558.94</v>
      </c>
      <c r="N10" s="278">
        <f t="shared" si="0"/>
        <v>218.50000598436884</v>
      </c>
    </row>
    <row r="11" spans="1:14" s="93" customFormat="1" ht="15" x14ac:dyDescent="0.25">
      <c r="A11" s="237" t="s">
        <v>274</v>
      </c>
      <c r="B11" s="238" t="s">
        <v>254</v>
      </c>
      <c r="C11" s="239" t="s">
        <v>141</v>
      </c>
      <c r="L11" s="278">
        <v>828.87</v>
      </c>
      <c r="M11" s="278">
        <v>181090.61</v>
      </c>
      <c r="N11" s="278">
        <f t="shared" si="0"/>
        <v>218.47890501526172</v>
      </c>
    </row>
    <row r="12" spans="1:14" ht="14.25" x14ac:dyDescent="0.2">
      <c r="A12" s="168" t="s">
        <v>262</v>
      </c>
      <c r="B12" s="240" t="s">
        <v>255</v>
      </c>
      <c r="C12" s="276">
        <v>56406</v>
      </c>
      <c r="H12" s="231" t="s">
        <v>314</v>
      </c>
      <c r="L12" s="278">
        <v>754.84</v>
      </c>
      <c r="M12" s="278">
        <v>164934.72</v>
      </c>
      <c r="N12" s="278">
        <f t="shared" si="0"/>
        <v>218.50288802925124</v>
      </c>
    </row>
    <row r="13" spans="1:14" ht="14.25" x14ac:dyDescent="0.2">
      <c r="A13" s="168" t="s">
        <v>263</v>
      </c>
      <c r="B13" s="240" t="s">
        <v>260</v>
      </c>
      <c r="C13" s="277">
        <v>0.53185831294543173</v>
      </c>
      <c r="L13" s="278">
        <v>834.44</v>
      </c>
      <c r="M13" s="278">
        <v>182322.95</v>
      </c>
      <c r="N13" s="278">
        <f t="shared" si="0"/>
        <v>218.49737548535543</v>
      </c>
    </row>
    <row r="14" spans="1:14" ht="14.25" x14ac:dyDescent="0.2">
      <c r="A14" s="168" t="s">
        <v>264</v>
      </c>
      <c r="B14" s="240" t="s">
        <v>261</v>
      </c>
      <c r="C14" s="241">
        <f>C12*C13/1000</f>
        <v>30.000000000000021</v>
      </c>
      <c r="J14" s="278">
        <f>L21</f>
        <v>837.71833333333359</v>
      </c>
      <c r="L14" s="278">
        <v>757.05</v>
      </c>
      <c r="M14" s="278">
        <v>165415.43</v>
      </c>
      <c r="N14" s="278">
        <f t="shared" si="0"/>
        <v>218.50000660458358</v>
      </c>
    </row>
    <row r="15" spans="1:14" ht="14.25" x14ac:dyDescent="0.2">
      <c r="A15" s="168" t="s">
        <v>270</v>
      </c>
      <c r="B15" s="240" t="s">
        <v>256</v>
      </c>
      <c r="C15" s="242">
        <f>(C14*30)</f>
        <v>900.00000000000068</v>
      </c>
      <c r="J15" s="231">
        <f>J14/30</f>
        <v>27.923944444444452</v>
      </c>
      <c r="L15" s="278">
        <v>698.18</v>
      </c>
      <c r="M15" s="278">
        <v>152552.32999999999</v>
      </c>
      <c r="N15" s="278">
        <f t="shared" si="0"/>
        <v>218.5</v>
      </c>
    </row>
    <row r="16" spans="1:14" ht="14.25" x14ac:dyDescent="0.2">
      <c r="A16" s="168" t="s">
        <v>266</v>
      </c>
      <c r="B16" s="240" t="s">
        <v>90</v>
      </c>
      <c r="C16" s="245">
        <v>6</v>
      </c>
      <c r="J16" s="231">
        <f>J15/C12</f>
        <v>4.9505273276680584E-4</v>
      </c>
      <c r="L16" s="278">
        <v>843.6</v>
      </c>
      <c r="M16" s="278">
        <v>184326.6</v>
      </c>
      <c r="N16" s="278">
        <f t="shared" si="0"/>
        <v>218.5</v>
      </c>
    </row>
    <row r="17" spans="1:14" ht="14.25" x14ac:dyDescent="0.2">
      <c r="A17" s="168" t="s">
        <v>265</v>
      </c>
      <c r="B17" s="240" t="s">
        <v>261</v>
      </c>
      <c r="C17" s="241">
        <f>IFERROR(C14*7/C16,0)</f>
        <v>35.000000000000021</v>
      </c>
      <c r="J17" s="231">
        <f>J16*1000</f>
        <v>0.49505273276680584</v>
      </c>
      <c r="L17" s="278">
        <v>1002</v>
      </c>
      <c r="M17" s="278">
        <v>219039.69</v>
      </c>
      <c r="N17" s="278">
        <f t="shared" si="0"/>
        <v>218.60248502994011</v>
      </c>
    </row>
    <row r="18" spans="1:14" ht="14.25" x14ac:dyDescent="0.2">
      <c r="A18" s="168" t="s">
        <v>257</v>
      </c>
      <c r="B18" s="240" t="s">
        <v>258</v>
      </c>
      <c r="C18" s="187">
        <v>500</v>
      </c>
      <c r="L18" s="278">
        <v>827.76</v>
      </c>
      <c r="M18" s="278">
        <v>180865.56</v>
      </c>
      <c r="N18" s="278">
        <f t="shared" si="0"/>
        <v>218.5</v>
      </c>
    </row>
    <row r="19" spans="1:14" ht="14.25" x14ac:dyDescent="0.2">
      <c r="A19" s="168" t="s">
        <v>271</v>
      </c>
      <c r="B19" s="240"/>
      <c r="C19" s="169">
        <v>1</v>
      </c>
      <c r="L19" s="278">
        <v>860.1</v>
      </c>
      <c r="M19" s="278">
        <v>187931.85</v>
      </c>
      <c r="N19" s="278">
        <f t="shared" si="0"/>
        <v>218.5</v>
      </c>
    </row>
    <row r="20" spans="1:14" ht="14.25" x14ac:dyDescent="0.2">
      <c r="A20" s="168" t="s">
        <v>272</v>
      </c>
      <c r="B20" s="240" t="s">
        <v>259</v>
      </c>
      <c r="C20" s="169">
        <v>15</v>
      </c>
      <c r="L20" s="278">
        <f>SUM(L8:L19)</f>
        <v>10052.620000000003</v>
      </c>
      <c r="M20" s="278">
        <f>SUM(M8:M19)</f>
        <v>2196584.2800000003</v>
      </c>
      <c r="N20" s="278"/>
    </row>
    <row r="21" spans="1:14" ht="14.25" x14ac:dyDescent="0.2">
      <c r="A21" s="168" t="s">
        <v>267</v>
      </c>
      <c r="B21" s="240" t="s">
        <v>256</v>
      </c>
      <c r="C21" s="187">
        <f>IF(AND(C20&gt;=15,C19=1),5.8,C20/2)</f>
        <v>5.8</v>
      </c>
      <c r="L21" s="278">
        <f>L20/12</f>
        <v>837.71833333333359</v>
      </c>
    </row>
    <row r="22" spans="1:14" ht="14.25" x14ac:dyDescent="0.2">
      <c r="A22" s="168" t="s">
        <v>268</v>
      </c>
      <c r="B22" s="240"/>
      <c r="C22" s="241">
        <f>IFERROR(C17/C21,0)</f>
        <v>6.0344827586206939</v>
      </c>
    </row>
    <row r="23" spans="1:14" ht="14.25" x14ac:dyDescent="0.2">
      <c r="A23" s="168" t="s">
        <v>275</v>
      </c>
      <c r="B23" s="240"/>
      <c r="C23" s="250">
        <v>2</v>
      </c>
    </row>
    <row r="24" spans="1:14" ht="15" thickBot="1" x14ac:dyDescent="0.25">
      <c r="A24" s="243" t="s">
        <v>269</v>
      </c>
      <c r="B24" s="244"/>
      <c r="C24" s="246">
        <f>IFERROR(C22/C23,0)</f>
        <v>3.017241379310347</v>
      </c>
    </row>
  </sheetData>
  <mergeCells count="1">
    <mergeCell ref="A9:C9"/>
  </mergeCells>
  <conditionalFormatting sqref="C21">
    <cfRule type="expression" dxfId="0" priority="1">
      <formula>"SE(E(C20&gt;=15;C19=1))"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7</vt:i4>
      </vt:variant>
    </vt:vector>
  </HeadingPairs>
  <TitlesOfParts>
    <vt:vector size="16" baseType="lpstr">
      <vt:lpstr>Resumo</vt:lpstr>
      <vt:lpstr>Coleta</vt:lpstr>
      <vt:lpstr>Transporte</vt:lpstr>
      <vt:lpstr>Encargos Sociais</vt:lpstr>
      <vt:lpstr>3.CAGED</vt:lpstr>
      <vt:lpstr>BDI</vt:lpstr>
      <vt:lpstr>Depreciação</vt:lpstr>
      <vt:lpstr>Remuneração de capital</vt:lpstr>
      <vt:lpstr>7. Dimensionamento</vt:lpstr>
      <vt:lpstr>AbaDeprec</vt:lpstr>
      <vt:lpstr>AbaRemun</vt:lpstr>
      <vt:lpstr>Coleta!Area_de_impressao</vt:lpstr>
      <vt:lpstr>'Encargos Sociais'!Area_de_impressao</vt:lpstr>
      <vt:lpstr>Resumo!Area_de_impressao</vt:lpstr>
      <vt:lpstr>Transporte!Area_de_impressao</vt:lpstr>
      <vt:lpstr>Coleta!Titulos_de_impressao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Tiago Bampi</cp:lastModifiedBy>
  <cp:lastPrinted>2026-06-16T12:57:29Z</cp:lastPrinted>
  <dcterms:created xsi:type="dcterms:W3CDTF">2000-12-13T10:02:50Z</dcterms:created>
  <dcterms:modified xsi:type="dcterms:W3CDTF">2026-06-17T14:39:06Z</dcterms:modified>
</cp:coreProperties>
</file>